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pdated2\htdocs\codeigniter\public\template\"/>
    </mc:Choice>
  </mc:AlternateContent>
  <xr:revisionPtr revIDLastSave="0" documentId="13_ncr:1_{D42BE552-BBFF-4DFD-A150-0A9D7B269CC3}" xr6:coauthVersionLast="47" xr6:coauthVersionMax="47" xr10:uidLastSave="{00000000-0000-0000-0000-000000000000}"/>
  <bookViews>
    <workbookView xWindow="-120" yWindow="-120" windowWidth="20730" windowHeight="11160" tabRatio="603" xr2:uid="{00000000-000D-0000-FFFF-FFFF00000000}"/>
  </bookViews>
  <sheets>
    <sheet name="Tamay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4" i="3" l="1"/>
  <c r="R223" i="3"/>
  <c r="R224" i="3"/>
  <c r="R225" i="3"/>
  <c r="R226" i="3"/>
  <c r="R227" i="3"/>
  <c r="R228" i="3"/>
  <c r="R229" i="3"/>
  <c r="R230" i="3"/>
  <c r="R231" i="3"/>
  <c r="R232" i="3"/>
  <c r="T543" i="3" s="1"/>
  <c r="V543" i="3" s="1"/>
  <c r="R233" i="3"/>
  <c r="T544" i="3" s="1"/>
  <c r="V544" i="3" s="1"/>
  <c r="R234" i="3"/>
  <c r="R235" i="3"/>
  <c r="R236" i="3"/>
  <c r="T547" i="3" s="1"/>
  <c r="V547" i="3" s="1"/>
  <c r="R237" i="3"/>
  <c r="R222" i="3"/>
  <c r="T533" i="3" s="1"/>
  <c r="V533" i="3" s="1"/>
  <c r="N502" i="3"/>
  <c r="T502" i="3"/>
  <c r="V502" i="3" s="1"/>
  <c r="Z502" i="3"/>
  <c r="BM502" i="3"/>
  <c r="T624" i="3"/>
  <c r="V624" i="3" s="1"/>
  <c r="N533" i="3"/>
  <c r="H544" i="3"/>
  <c r="J544" i="3" s="1"/>
  <c r="H320" i="3"/>
  <c r="J320" i="3" s="1"/>
  <c r="N320" i="3"/>
  <c r="T320" i="3"/>
  <c r="V320" i="3" s="1"/>
  <c r="Z320" i="3"/>
  <c r="AL320" i="3"/>
  <c r="BM320" i="3"/>
  <c r="H321" i="3"/>
  <c r="J321" i="3" s="1"/>
  <c r="M321" i="3"/>
  <c r="N321" i="3"/>
  <c r="T321" i="3"/>
  <c r="V321" i="3" s="1"/>
  <c r="Z321" i="3"/>
  <c r="AL321" i="3"/>
  <c r="BM321" i="3"/>
  <c r="H322" i="3"/>
  <c r="J322" i="3"/>
  <c r="N322" i="3"/>
  <c r="T322" i="3"/>
  <c r="V322" i="3" s="1"/>
  <c r="Z322" i="3"/>
  <c r="AL322" i="3"/>
  <c r="BM322" i="3"/>
  <c r="H323" i="3"/>
  <c r="J323" i="3" s="1"/>
  <c r="N323" i="3"/>
  <c r="T323" i="3"/>
  <c r="V323" i="3"/>
  <c r="Z323" i="3"/>
  <c r="AL323" i="3"/>
  <c r="BM323" i="3"/>
  <c r="H324" i="3"/>
  <c r="J324" i="3" s="1"/>
  <c r="N324" i="3"/>
  <c r="T324" i="3"/>
  <c r="V324" i="3"/>
  <c r="Z324" i="3"/>
  <c r="AL324" i="3"/>
  <c r="BM324" i="3"/>
  <c r="H325" i="3"/>
  <c r="J325" i="3"/>
  <c r="N325" i="3"/>
  <c r="T325" i="3"/>
  <c r="V325" i="3" s="1"/>
  <c r="Z325" i="3"/>
  <c r="AL325" i="3"/>
  <c r="BM325" i="3"/>
  <c r="H326" i="3"/>
  <c r="J326" i="3" s="1"/>
  <c r="N326" i="3"/>
  <c r="T326" i="3"/>
  <c r="V326" i="3"/>
  <c r="Z326" i="3"/>
  <c r="AH326" i="3"/>
  <c r="AL326" i="3"/>
  <c r="BL326" i="3"/>
  <c r="BM326" i="3"/>
  <c r="H327" i="3"/>
  <c r="J327" i="3" s="1"/>
  <c r="N327" i="3"/>
  <c r="T327" i="3"/>
  <c r="V327" i="3" s="1"/>
  <c r="Z327" i="3"/>
  <c r="AH327" i="3"/>
  <c r="AL327" i="3"/>
  <c r="BM327" i="3"/>
  <c r="H328" i="3"/>
  <c r="J328" i="3"/>
  <c r="N328" i="3"/>
  <c r="T328" i="3"/>
  <c r="V328" i="3"/>
  <c r="Z328" i="3"/>
  <c r="AH328" i="3"/>
  <c r="AL328" i="3"/>
  <c r="BM328" i="3"/>
  <c r="H329" i="3"/>
  <c r="J329" i="3" s="1"/>
  <c r="N329" i="3"/>
  <c r="T329" i="3"/>
  <c r="V329" i="3" s="1"/>
  <c r="Z329" i="3"/>
  <c r="AH329" i="3"/>
  <c r="AL329" i="3"/>
  <c r="BM329" i="3"/>
  <c r="H330" i="3"/>
  <c r="J330" i="3" s="1"/>
  <c r="N330" i="3"/>
  <c r="T330" i="3"/>
  <c r="V330" i="3" s="1"/>
  <c r="Z330" i="3"/>
  <c r="AH330" i="3"/>
  <c r="BM330" i="3"/>
  <c r="H331" i="3"/>
  <c r="J331" i="3"/>
  <c r="N331" i="3"/>
  <c r="T331" i="3"/>
  <c r="V331" i="3"/>
  <c r="Z331" i="3"/>
  <c r="AH331" i="3"/>
  <c r="AL331" i="3"/>
  <c r="BM331" i="3"/>
  <c r="H332" i="3"/>
  <c r="J332" i="3" s="1"/>
  <c r="N332" i="3"/>
  <c r="T332" i="3"/>
  <c r="V332" i="3" s="1"/>
  <c r="Z332" i="3"/>
  <c r="AH332" i="3"/>
  <c r="AL332" i="3"/>
  <c r="BM332" i="3"/>
  <c r="H333" i="3"/>
  <c r="J333" i="3" s="1"/>
  <c r="N333" i="3"/>
  <c r="T333" i="3"/>
  <c r="V333" i="3" s="1"/>
  <c r="Z333" i="3"/>
  <c r="AH333" i="3"/>
  <c r="AL333" i="3"/>
  <c r="BL333" i="3"/>
  <c r="BM333" i="3"/>
  <c r="H334" i="3"/>
  <c r="J334" i="3" s="1"/>
  <c r="N334" i="3"/>
  <c r="T334" i="3"/>
  <c r="V334" i="3" s="1"/>
  <c r="Y334" i="3"/>
  <c r="Z334" i="3"/>
  <c r="AH334" i="3"/>
  <c r="AL334" i="3"/>
  <c r="BM334" i="3"/>
  <c r="H335" i="3"/>
  <c r="J335" i="3" s="1"/>
  <c r="N335" i="3"/>
  <c r="T335" i="3"/>
  <c r="V335" i="3" s="1"/>
  <c r="Z335" i="3"/>
  <c r="AL335" i="3"/>
  <c r="BM335" i="3"/>
  <c r="H336" i="3"/>
  <c r="J336" i="3" s="1"/>
  <c r="N336" i="3"/>
  <c r="T336" i="3"/>
  <c r="V336" i="3"/>
  <c r="Z336" i="3"/>
  <c r="AL336" i="3"/>
  <c r="BL336" i="3"/>
  <c r="BM336" i="3"/>
  <c r="H337" i="3"/>
  <c r="J337" i="3"/>
  <c r="N337" i="3"/>
  <c r="T337" i="3"/>
  <c r="V337" i="3" s="1"/>
  <c r="Z337" i="3"/>
  <c r="AL337" i="3"/>
  <c r="BM337" i="3"/>
  <c r="H338" i="3"/>
  <c r="J338" i="3" s="1"/>
  <c r="M338" i="3"/>
  <c r="N338" i="3"/>
  <c r="T338" i="3"/>
  <c r="V338" i="3" s="1"/>
  <c r="Z338" i="3"/>
  <c r="BM338" i="3"/>
  <c r="H339" i="3"/>
  <c r="J339" i="3" s="1"/>
  <c r="N339" i="3"/>
  <c r="T339" i="3"/>
  <c r="V339" i="3" s="1"/>
  <c r="Z339" i="3"/>
  <c r="BM339" i="3"/>
  <c r="H340" i="3"/>
  <c r="J340" i="3" s="1"/>
  <c r="N340" i="3"/>
  <c r="T340" i="3"/>
  <c r="V340" i="3" s="1"/>
  <c r="Z340" i="3"/>
  <c r="AL340" i="3"/>
  <c r="BL340" i="3"/>
  <c r="BM340" i="3"/>
  <c r="H341" i="3"/>
  <c r="J341" i="3" s="1"/>
  <c r="N341" i="3"/>
  <c r="T341" i="3"/>
  <c r="V341" i="3" s="1"/>
  <c r="Z341" i="3"/>
  <c r="AL341" i="3"/>
  <c r="BM341" i="3"/>
  <c r="H342" i="3"/>
  <c r="J342" i="3"/>
  <c r="N342" i="3"/>
  <c r="T342" i="3"/>
  <c r="V342" i="3" s="1"/>
  <c r="Z342" i="3"/>
  <c r="BM342" i="3"/>
  <c r="H343" i="3"/>
  <c r="J343" i="3"/>
  <c r="N343" i="3"/>
  <c r="T343" i="3"/>
  <c r="V343" i="3" s="1"/>
  <c r="Y343" i="3"/>
  <c r="Z343" i="3"/>
  <c r="BL343" i="3"/>
  <c r="BM343" i="3"/>
  <c r="H344" i="3"/>
  <c r="J344" i="3" s="1"/>
  <c r="N344" i="3"/>
  <c r="T344" i="3"/>
  <c r="V344" i="3" s="1"/>
  <c r="Z344" i="3"/>
  <c r="AL344" i="3"/>
  <c r="BM344" i="3"/>
  <c r="H345" i="3"/>
  <c r="J345" i="3" s="1"/>
  <c r="M345" i="3"/>
  <c r="N345" i="3"/>
  <c r="T345" i="3"/>
  <c r="V345" i="3" s="1"/>
  <c r="Y345" i="3"/>
  <c r="Z345" i="3"/>
  <c r="BM345" i="3"/>
  <c r="H346" i="3"/>
  <c r="J346" i="3"/>
  <c r="N346" i="3"/>
  <c r="T346" i="3"/>
  <c r="V346" i="3" s="1"/>
  <c r="Z346" i="3"/>
  <c r="AL346" i="3"/>
  <c r="BM346" i="3"/>
  <c r="H347" i="3"/>
  <c r="J347" i="3" s="1"/>
  <c r="N347" i="3"/>
  <c r="T347" i="3"/>
  <c r="V347" i="3" s="1"/>
  <c r="Z347" i="3"/>
  <c r="BL347" i="3"/>
  <c r="BM347" i="3"/>
  <c r="H348" i="3"/>
  <c r="J348" i="3" s="1"/>
  <c r="N348" i="3"/>
  <c r="T348" i="3"/>
  <c r="V348" i="3" s="1"/>
  <c r="Z348" i="3"/>
  <c r="BM348" i="3"/>
  <c r="H349" i="3"/>
  <c r="J349" i="3" s="1"/>
  <c r="N349" i="3"/>
  <c r="T349" i="3"/>
  <c r="V349" i="3" s="1"/>
  <c r="Z349" i="3"/>
  <c r="BM349" i="3"/>
  <c r="N350" i="3"/>
  <c r="Z350" i="3"/>
  <c r="AH350" i="3"/>
  <c r="AL350" i="3"/>
  <c r="AN350" i="3"/>
  <c r="BM350" i="3"/>
  <c r="N351" i="3"/>
  <c r="Z351" i="3"/>
  <c r="AL351" i="3"/>
  <c r="BB351" i="3"/>
  <c r="BM351" i="3"/>
  <c r="N352" i="3"/>
  <c r="Z352" i="3"/>
  <c r="AL352" i="3"/>
  <c r="BB352" i="3"/>
  <c r="BM352" i="3"/>
  <c r="N353" i="3"/>
  <c r="Y353" i="3"/>
  <c r="Z353" i="3"/>
  <c r="AL353" i="3"/>
  <c r="BB353" i="3"/>
  <c r="BM353" i="3"/>
  <c r="N354" i="3"/>
  <c r="Z354" i="3"/>
  <c r="AL354" i="3"/>
  <c r="AN354" i="3"/>
  <c r="BB354" i="3"/>
  <c r="BM354" i="3"/>
  <c r="N355" i="3"/>
  <c r="Z355" i="3"/>
  <c r="AL355" i="3"/>
  <c r="BM355" i="3"/>
  <c r="N356" i="3"/>
  <c r="Z356" i="3"/>
  <c r="AL356" i="3"/>
  <c r="BB356" i="3"/>
  <c r="BM356" i="3"/>
  <c r="N357" i="3"/>
  <c r="Z357" i="3"/>
  <c r="AL357" i="3"/>
  <c r="BM357" i="3"/>
  <c r="N358" i="3"/>
  <c r="Z358" i="3"/>
  <c r="AL358" i="3"/>
  <c r="BB358" i="3"/>
  <c r="BM358" i="3"/>
  <c r="N359" i="3"/>
  <c r="Z359" i="3"/>
  <c r="AL359" i="3"/>
  <c r="BM359" i="3"/>
  <c r="N360" i="3"/>
  <c r="Z360" i="3"/>
  <c r="AL360" i="3"/>
  <c r="AN360" i="3"/>
  <c r="BB360" i="3"/>
  <c r="BM360" i="3"/>
  <c r="N361" i="3"/>
  <c r="Z361" i="3"/>
  <c r="AL361" i="3"/>
  <c r="BM361" i="3"/>
  <c r="N362" i="3"/>
  <c r="Z362" i="3"/>
  <c r="AL362" i="3"/>
  <c r="AZ362" i="3"/>
  <c r="BM362" i="3"/>
  <c r="N363" i="3"/>
  <c r="Z363" i="3"/>
  <c r="AL363" i="3"/>
  <c r="AN363" i="3"/>
  <c r="BB363" i="3"/>
  <c r="BM363" i="3"/>
  <c r="N364" i="3"/>
  <c r="Z364" i="3"/>
  <c r="AL364" i="3"/>
  <c r="BM364" i="3"/>
  <c r="N365" i="3"/>
  <c r="Z365" i="3"/>
  <c r="AL365" i="3"/>
  <c r="BB365" i="3"/>
  <c r="BM365" i="3"/>
  <c r="N366" i="3"/>
  <c r="Y366" i="3"/>
  <c r="Z366" i="3"/>
  <c r="AL366" i="3"/>
  <c r="BM366" i="3"/>
  <c r="N367" i="3"/>
  <c r="Z367" i="3"/>
  <c r="AL367" i="3"/>
  <c r="AN367" i="3"/>
  <c r="BB367" i="3"/>
  <c r="BM367" i="3"/>
  <c r="N368" i="3"/>
  <c r="Z368" i="3"/>
  <c r="AL368" i="3"/>
  <c r="AN368" i="3"/>
  <c r="BB368" i="3"/>
  <c r="BM368" i="3"/>
  <c r="N369" i="3"/>
  <c r="Z369" i="3"/>
  <c r="AL369" i="3"/>
  <c r="BL369" i="3"/>
  <c r="BM369" i="3"/>
  <c r="M370" i="3"/>
  <c r="N370" i="3"/>
  <c r="Z370" i="3"/>
  <c r="AL370" i="3"/>
  <c r="AZ370" i="3"/>
  <c r="BB370" i="3"/>
  <c r="BM370" i="3"/>
  <c r="N371" i="3"/>
  <c r="Z371" i="3"/>
  <c r="AL371" i="3"/>
  <c r="AN371" i="3"/>
  <c r="BM371" i="3"/>
  <c r="N372" i="3"/>
  <c r="Z372" i="3"/>
  <c r="AL372" i="3"/>
  <c r="AN372" i="3"/>
  <c r="BB372" i="3"/>
  <c r="BM372" i="3"/>
  <c r="N373" i="3"/>
  <c r="Z373" i="3"/>
  <c r="AL373" i="3"/>
  <c r="AZ373" i="3"/>
  <c r="BB373" i="3"/>
  <c r="BL373" i="3"/>
  <c r="BM373" i="3"/>
  <c r="M374" i="3"/>
  <c r="N374" i="3"/>
  <c r="Z374" i="3"/>
  <c r="AL374" i="3"/>
  <c r="AZ374" i="3"/>
  <c r="BL374" i="3"/>
  <c r="BM374" i="3"/>
  <c r="M375" i="3"/>
  <c r="N375" i="3"/>
  <c r="Z375" i="3"/>
  <c r="AL375" i="3"/>
  <c r="BB375" i="3"/>
  <c r="BM375" i="3"/>
  <c r="M376" i="3"/>
  <c r="N376" i="3"/>
  <c r="Z376" i="3"/>
  <c r="AL376" i="3"/>
  <c r="AZ376" i="3"/>
  <c r="BB376" i="3"/>
  <c r="BL376" i="3"/>
  <c r="BM376" i="3"/>
  <c r="N377" i="3"/>
  <c r="Z377" i="3"/>
  <c r="AL377" i="3"/>
  <c r="BM377" i="3"/>
  <c r="N378" i="3"/>
  <c r="Z378" i="3"/>
  <c r="AL378" i="3"/>
  <c r="AZ378" i="3"/>
  <c r="BM378" i="3"/>
  <c r="M379" i="3"/>
  <c r="N379" i="3"/>
  <c r="Z379" i="3"/>
  <c r="AL379" i="3"/>
  <c r="BM379" i="3"/>
  <c r="N380" i="3"/>
  <c r="Z380" i="3"/>
  <c r="AL380" i="3"/>
  <c r="BL380" i="3"/>
  <c r="BM380" i="3"/>
  <c r="N381" i="3"/>
  <c r="Y381" i="3"/>
  <c r="Z381" i="3"/>
  <c r="AL381" i="3"/>
  <c r="AN381" i="3"/>
  <c r="BB381" i="3"/>
  <c r="BM381" i="3"/>
  <c r="N382" i="3"/>
  <c r="Z382" i="3"/>
  <c r="AL382" i="3"/>
  <c r="BB382" i="3"/>
  <c r="BL382" i="3"/>
  <c r="BM382" i="3"/>
  <c r="N383" i="3"/>
  <c r="Z383" i="3"/>
  <c r="AL383" i="3"/>
  <c r="BL383" i="3"/>
  <c r="BM383" i="3"/>
  <c r="N384" i="3"/>
  <c r="Z384" i="3"/>
  <c r="AL384" i="3"/>
  <c r="BM384" i="3"/>
  <c r="N385" i="3"/>
  <c r="Z385" i="3"/>
  <c r="AL385" i="3"/>
  <c r="AZ385" i="3"/>
  <c r="BB385" i="3"/>
  <c r="BM385" i="3"/>
  <c r="N386" i="3"/>
  <c r="Z386" i="3"/>
  <c r="AL386" i="3"/>
  <c r="AZ386" i="3"/>
  <c r="BM386" i="3"/>
  <c r="N387" i="3"/>
  <c r="Z387" i="3"/>
  <c r="AL387" i="3"/>
  <c r="AZ387" i="3"/>
  <c r="BM387" i="3"/>
  <c r="N388" i="3"/>
  <c r="Z388" i="3"/>
  <c r="AL388" i="3"/>
  <c r="AN388" i="3"/>
  <c r="BM388" i="3"/>
  <c r="N389" i="3"/>
  <c r="Z389" i="3"/>
  <c r="AL389" i="3"/>
  <c r="BB389" i="3"/>
  <c r="BM389" i="3"/>
  <c r="N390" i="3"/>
  <c r="Z390" i="3"/>
  <c r="AL390" i="3"/>
  <c r="AN390" i="3"/>
  <c r="AZ390" i="3"/>
  <c r="BB390" i="3"/>
  <c r="BM390" i="3"/>
  <c r="N391" i="3"/>
  <c r="Z391" i="3"/>
  <c r="AL391" i="3"/>
  <c r="AN391" i="3"/>
  <c r="BM391" i="3"/>
  <c r="N392" i="3"/>
  <c r="Z392" i="3"/>
  <c r="AL392" i="3"/>
  <c r="BM392" i="3"/>
  <c r="N393" i="3"/>
  <c r="Z393" i="3"/>
  <c r="AL393" i="3"/>
  <c r="AN393" i="3"/>
  <c r="BB393" i="3"/>
  <c r="BM393" i="3"/>
  <c r="N394" i="3"/>
  <c r="Z394" i="3"/>
  <c r="AL394" i="3"/>
  <c r="AZ394" i="3"/>
  <c r="BB394" i="3"/>
  <c r="BM394" i="3"/>
  <c r="N395" i="3"/>
  <c r="Y395" i="3"/>
  <c r="Z395" i="3"/>
  <c r="AL395" i="3"/>
  <c r="AN395" i="3"/>
  <c r="BM395" i="3"/>
  <c r="M396" i="3"/>
  <c r="N396" i="3"/>
  <c r="Y396" i="3"/>
  <c r="Z396" i="3"/>
  <c r="AL396" i="3"/>
  <c r="BB396" i="3"/>
  <c r="BM396" i="3"/>
  <c r="N397" i="3"/>
  <c r="Z397" i="3"/>
  <c r="AL397" i="3"/>
  <c r="AN397" i="3"/>
  <c r="BB397" i="3"/>
  <c r="BM397" i="3"/>
  <c r="N398" i="3"/>
  <c r="Z398" i="3"/>
  <c r="BM398" i="3"/>
  <c r="N399" i="3"/>
  <c r="Z399" i="3"/>
  <c r="AL399" i="3"/>
  <c r="AZ399" i="3"/>
  <c r="BM399" i="3"/>
  <c r="M400" i="3"/>
  <c r="N400" i="3"/>
  <c r="Z400" i="3"/>
  <c r="AL400" i="3"/>
  <c r="BB400" i="3"/>
  <c r="BM400" i="3"/>
  <c r="N401" i="3"/>
  <c r="Z401" i="3"/>
  <c r="AL401" i="3"/>
  <c r="AZ401" i="3"/>
  <c r="BM401" i="3"/>
  <c r="N402" i="3"/>
  <c r="Z402" i="3"/>
  <c r="AL402" i="3"/>
  <c r="BM402" i="3"/>
  <c r="N403" i="3"/>
  <c r="Z403" i="3"/>
  <c r="AL403" i="3"/>
  <c r="AZ403" i="3"/>
  <c r="BB403" i="3"/>
  <c r="BM403" i="3"/>
  <c r="N404" i="3"/>
  <c r="Z404" i="3"/>
  <c r="AL404" i="3"/>
  <c r="AZ404" i="3"/>
  <c r="BB404" i="3"/>
  <c r="BM404" i="3"/>
  <c r="N405" i="3"/>
  <c r="Z405" i="3"/>
  <c r="AL405" i="3"/>
  <c r="BL405" i="3"/>
  <c r="BM405" i="3"/>
  <c r="N406" i="3"/>
  <c r="Z406" i="3"/>
  <c r="AL406" i="3"/>
  <c r="AZ406" i="3"/>
  <c r="BM406" i="3"/>
  <c r="N407" i="3"/>
  <c r="Z407" i="3"/>
  <c r="AL407" i="3"/>
  <c r="BM407" i="3"/>
  <c r="N408" i="3"/>
  <c r="Z408" i="3"/>
  <c r="AL408" i="3"/>
  <c r="AN408" i="3"/>
  <c r="AZ408" i="3"/>
  <c r="BB408" i="3"/>
  <c r="BM408" i="3"/>
  <c r="M409" i="3"/>
  <c r="N409" i="3"/>
  <c r="Z409" i="3"/>
  <c r="AL409" i="3"/>
  <c r="AN409" i="3"/>
  <c r="BM409" i="3"/>
  <c r="N410" i="3"/>
  <c r="Z410" i="3"/>
  <c r="AL410" i="3"/>
  <c r="BM410" i="3"/>
  <c r="N411" i="3"/>
  <c r="Y411" i="3"/>
  <c r="Z411" i="3"/>
  <c r="AL411" i="3"/>
  <c r="AN411" i="3"/>
  <c r="BM411" i="3"/>
  <c r="N412" i="3"/>
  <c r="Z412" i="3"/>
  <c r="AL412" i="3"/>
  <c r="BM412" i="3"/>
  <c r="N413" i="3"/>
  <c r="Z413" i="3"/>
  <c r="AL413" i="3"/>
  <c r="BM413" i="3"/>
  <c r="N414" i="3"/>
  <c r="Y414" i="3"/>
  <c r="Z414" i="3"/>
  <c r="AL414" i="3"/>
  <c r="AZ414" i="3"/>
  <c r="BM414" i="3"/>
  <c r="M415" i="3"/>
  <c r="N415" i="3"/>
  <c r="Z415" i="3"/>
  <c r="AL415" i="3"/>
  <c r="AZ415" i="3"/>
  <c r="BM415" i="3"/>
  <c r="N416" i="3"/>
  <c r="Y416" i="3"/>
  <c r="Z416" i="3"/>
  <c r="AL416" i="3"/>
  <c r="AN416" i="3"/>
  <c r="BM416" i="3"/>
  <c r="BS416" i="3"/>
  <c r="BS419" i="3" s="1"/>
  <c r="BS426" i="3" s="1"/>
  <c r="N417" i="3"/>
  <c r="Z417" i="3"/>
  <c r="AL417" i="3"/>
  <c r="BB417" i="3"/>
  <c r="BM417" i="3"/>
  <c r="N418" i="3"/>
  <c r="Z418" i="3"/>
  <c r="AL418" i="3"/>
  <c r="BM418" i="3"/>
  <c r="N419" i="3"/>
  <c r="Z419" i="3"/>
  <c r="AL419" i="3"/>
  <c r="AN419" i="3"/>
  <c r="BM419" i="3"/>
  <c r="N420" i="3"/>
  <c r="Z420" i="3"/>
  <c r="AL420" i="3"/>
  <c r="BM420" i="3"/>
  <c r="N421" i="3"/>
  <c r="Z421" i="3"/>
  <c r="AL421" i="3"/>
  <c r="AN421" i="3"/>
  <c r="BM421" i="3"/>
  <c r="N422" i="3"/>
  <c r="Z422" i="3"/>
  <c r="AL422" i="3"/>
  <c r="AN422" i="3"/>
  <c r="BB422" i="3"/>
  <c r="BM422" i="3"/>
  <c r="BQ422" i="3"/>
  <c r="N423" i="3"/>
  <c r="U423" i="3"/>
  <c r="Z423" i="3"/>
  <c r="AL423" i="3"/>
  <c r="AN423" i="3"/>
  <c r="BB423" i="3"/>
  <c r="BM423" i="3"/>
  <c r="N424" i="3"/>
  <c r="Z424" i="3"/>
  <c r="AL424" i="3"/>
  <c r="AZ424" i="3"/>
  <c r="BB424" i="3"/>
  <c r="BM424" i="3"/>
  <c r="N425" i="3"/>
  <c r="Z425" i="3"/>
  <c r="AL425" i="3"/>
  <c r="BB425" i="3"/>
  <c r="BM425" i="3"/>
  <c r="N426" i="3"/>
  <c r="Z426" i="3"/>
  <c r="AL426" i="3"/>
  <c r="BB426" i="3"/>
  <c r="BM426" i="3"/>
  <c r="N427" i="3"/>
  <c r="Z427" i="3"/>
  <c r="AL427" i="3"/>
  <c r="BM427" i="3"/>
  <c r="N428" i="3"/>
  <c r="Z428" i="3"/>
  <c r="AL428" i="3"/>
  <c r="AN428" i="3"/>
  <c r="BM428" i="3"/>
  <c r="N429" i="3"/>
  <c r="Z429" i="3"/>
  <c r="AL429" i="3"/>
  <c r="AN429" i="3"/>
  <c r="BB429" i="3"/>
  <c r="BM429" i="3"/>
  <c r="N430" i="3"/>
  <c r="Z430" i="3"/>
  <c r="AL430" i="3"/>
  <c r="BM430" i="3"/>
  <c r="N431" i="3"/>
  <c r="Y431" i="3"/>
  <c r="Z431" i="3"/>
  <c r="AL431" i="3"/>
  <c r="AN431" i="3"/>
  <c r="BM431" i="3"/>
  <c r="N432" i="3"/>
  <c r="Z432" i="3"/>
  <c r="AL432" i="3"/>
  <c r="BB432" i="3"/>
  <c r="BM432" i="3"/>
  <c r="BQ438" i="3"/>
  <c r="N433" i="3"/>
  <c r="Z433" i="3"/>
  <c r="AL433" i="3"/>
  <c r="AN433" i="3"/>
  <c r="BM433" i="3"/>
  <c r="N434" i="3"/>
  <c r="Z434" i="3"/>
  <c r="AL434" i="3"/>
  <c r="BB434" i="3"/>
  <c r="BM434" i="3"/>
  <c r="M435" i="3"/>
  <c r="N435" i="3"/>
  <c r="Z435" i="3"/>
  <c r="AL435" i="3"/>
  <c r="AN435" i="3"/>
  <c r="BB435" i="3"/>
  <c r="BM435" i="3"/>
  <c r="M436" i="3"/>
  <c r="N436" i="3"/>
  <c r="Z436" i="3"/>
  <c r="BM436" i="3"/>
  <c r="N437" i="3"/>
  <c r="Z437" i="3"/>
  <c r="AL437" i="3"/>
  <c r="AN437" i="3"/>
  <c r="AZ437" i="3"/>
  <c r="BB437" i="3"/>
  <c r="BL437" i="3"/>
  <c r="BM437" i="3"/>
  <c r="N438" i="3"/>
  <c r="Z438" i="3"/>
  <c r="AN438" i="3"/>
  <c r="BB438" i="3"/>
  <c r="BM438" i="3"/>
  <c r="N439" i="3"/>
  <c r="Z439" i="3"/>
  <c r="AL439" i="3"/>
  <c r="AZ439" i="3"/>
  <c r="BB439" i="3"/>
  <c r="BM439" i="3"/>
  <c r="N440" i="3"/>
  <c r="Z440" i="3"/>
  <c r="AL440" i="3"/>
  <c r="BM440" i="3"/>
  <c r="N441" i="3"/>
  <c r="Z441" i="3"/>
  <c r="AN441" i="3"/>
  <c r="AZ441" i="3"/>
  <c r="BM441" i="3"/>
  <c r="N442" i="3"/>
  <c r="Z442" i="3"/>
  <c r="AL442" i="3"/>
  <c r="BJ442" i="3"/>
  <c r="BM442" i="3"/>
  <c r="N443" i="3"/>
  <c r="Z443" i="3"/>
  <c r="AL443" i="3"/>
  <c r="AZ443" i="3"/>
  <c r="BB443" i="3"/>
  <c r="BM443" i="3"/>
  <c r="N444" i="3"/>
  <c r="Z444" i="3"/>
  <c r="BB444" i="3"/>
  <c r="BM444" i="3"/>
  <c r="N445" i="3"/>
  <c r="Z445" i="3"/>
  <c r="AL445" i="3"/>
  <c r="BB445" i="3"/>
  <c r="BM445" i="3"/>
  <c r="N446" i="3"/>
  <c r="Z446" i="3"/>
  <c r="AE446" i="3"/>
  <c r="AL446" i="3"/>
  <c r="AZ446" i="3"/>
  <c r="BB446" i="3"/>
  <c r="BM446" i="3"/>
  <c r="N447" i="3"/>
  <c r="Z447" i="3"/>
  <c r="AL447" i="3"/>
  <c r="AN447" i="3"/>
  <c r="BM447" i="3"/>
  <c r="N448" i="3"/>
  <c r="Z448" i="3"/>
  <c r="AN448" i="3"/>
  <c r="BB448" i="3"/>
  <c r="BM448" i="3"/>
  <c r="N449" i="3"/>
  <c r="Z449" i="3"/>
  <c r="BM449" i="3"/>
  <c r="N450" i="3"/>
  <c r="Z450" i="3"/>
  <c r="AL450" i="3"/>
  <c r="AN450" i="3"/>
  <c r="BM450" i="3"/>
  <c r="N451" i="3"/>
  <c r="Z451" i="3"/>
  <c r="BB451" i="3"/>
  <c r="BM451" i="3"/>
  <c r="N452" i="3"/>
  <c r="Z452" i="3"/>
  <c r="AL452" i="3"/>
  <c r="AN452" i="3"/>
  <c r="BM452" i="3"/>
  <c r="N453" i="3"/>
  <c r="Z453" i="3"/>
  <c r="AL453" i="3"/>
  <c r="AZ453" i="3"/>
  <c r="BM453" i="3"/>
  <c r="N454" i="3"/>
  <c r="Z454" i="3"/>
  <c r="BM454" i="3"/>
  <c r="I455" i="3"/>
  <c r="N455" i="3"/>
  <c r="Z455" i="3"/>
  <c r="BB455" i="3"/>
  <c r="BM455" i="3"/>
  <c r="N456" i="3"/>
  <c r="Z456" i="3"/>
  <c r="AL456" i="3"/>
  <c r="AN456" i="3"/>
  <c r="BM456" i="3"/>
  <c r="N457" i="3"/>
  <c r="Z457" i="3"/>
  <c r="AL457" i="3"/>
  <c r="BB457" i="3"/>
  <c r="BM457" i="3"/>
  <c r="N458" i="3"/>
  <c r="Z458" i="3"/>
  <c r="AL458" i="3"/>
  <c r="AN458" i="3"/>
  <c r="AZ458" i="3"/>
  <c r="BB458" i="3"/>
  <c r="BM458" i="3"/>
  <c r="N459" i="3"/>
  <c r="Z459" i="3"/>
  <c r="BM459" i="3"/>
  <c r="N460" i="3"/>
  <c r="Z460" i="3"/>
  <c r="AN460" i="3"/>
  <c r="BB460" i="3"/>
  <c r="BM460" i="3"/>
  <c r="N461" i="3"/>
  <c r="Z461" i="3"/>
  <c r="BM461" i="3"/>
  <c r="N462" i="3"/>
  <c r="Z462" i="3"/>
  <c r="BM462" i="3"/>
  <c r="N463" i="3"/>
  <c r="Z463" i="3"/>
  <c r="BB463" i="3"/>
  <c r="BM463" i="3"/>
  <c r="N464" i="3"/>
  <c r="Z464" i="3"/>
  <c r="BM464" i="3"/>
  <c r="N465" i="3"/>
  <c r="Z465" i="3"/>
  <c r="AL465" i="3"/>
  <c r="AN465" i="3"/>
  <c r="BM465" i="3"/>
  <c r="N466" i="3"/>
  <c r="Z466" i="3"/>
  <c r="AZ466" i="3"/>
  <c r="BB466" i="3"/>
  <c r="BM466" i="3"/>
  <c r="N467" i="3"/>
  <c r="Z467" i="3"/>
  <c r="BB467" i="3"/>
  <c r="BM467" i="3"/>
  <c r="N468" i="3"/>
  <c r="Z468" i="3"/>
  <c r="BB468" i="3"/>
  <c r="BL468" i="3"/>
  <c r="BM468" i="3"/>
  <c r="N469" i="3"/>
  <c r="Z469" i="3"/>
  <c r="BM469" i="3"/>
  <c r="N470" i="3"/>
  <c r="Z470" i="3"/>
  <c r="AE470" i="3"/>
  <c r="AL470" i="3"/>
  <c r="AN470" i="3"/>
  <c r="BM470" i="3"/>
  <c r="N471" i="3"/>
  <c r="Z471" i="3"/>
  <c r="AE471" i="3"/>
  <c r="AN471" i="3"/>
  <c r="BM471" i="3"/>
  <c r="N472" i="3"/>
  <c r="Z472" i="3"/>
  <c r="AL472" i="3"/>
  <c r="AN472" i="3"/>
  <c r="BB472" i="3"/>
  <c r="BM472" i="3"/>
  <c r="N473" i="3"/>
  <c r="Z473" i="3"/>
  <c r="AN473" i="3"/>
  <c r="BM473" i="3"/>
  <c r="N474" i="3"/>
  <c r="Z474" i="3"/>
  <c r="BM474" i="3"/>
  <c r="N475" i="3"/>
  <c r="Z475" i="3"/>
  <c r="AN475" i="3"/>
  <c r="BM475" i="3"/>
  <c r="N476" i="3"/>
  <c r="Z476" i="3"/>
  <c r="AZ476" i="3"/>
  <c r="BB476" i="3"/>
  <c r="BM476" i="3"/>
  <c r="N477" i="3"/>
  <c r="Z477" i="3"/>
  <c r="AL477" i="3"/>
  <c r="BM477" i="3"/>
  <c r="N478" i="3"/>
  <c r="Z478" i="3"/>
  <c r="AE478" i="3"/>
  <c r="AL478" i="3"/>
  <c r="BB478" i="3"/>
  <c r="BM478" i="3"/>
  <c r="N479" i="3"/>
  <c r="Z479" i="3"/>
  <c r="AE479" i="3"/>
  <c r="AL479" i="3"/>
  <c r="BB479" i="3"/>
  <c r="BM479" i="3"/>
  <c r="N480" i="3"/>
  <c r="U480" i="3"/>
  <c r="Z480" i="3"/>
  <c r="AE480" i="3"/>
  <c r="AL480" i="3"/>
  <c r="BB480" i="3"/>
  <c r="BM480" i="3"/>
  <c r="N481" i="3"/>
  <c r="Z481" i="3"/>
  <c r="AE481" i="3"/>
  <c r="AL481" i="3"/>
  <c r="BB481" i="3"/>
  <c r="BM481" i="3"/>
  <c r="N482" i="3"/>
  <c r="Z482" i="3"/>
  <c r="BM482" i="3"/>
  <c r="N483" i="3"/>
  <c r="Z483" i="3"/>
  <c r="BM483" i="3"/>
  <c r="N484" i="3"/>
  <c r="Z484" i="3"/>
  <c r="BM484" i="3"/>
  <c r="N485" i="3"/>
  <c r="Z485" i="3"/>
  <c r="BM485" i="3"/>
  <c r="N486" i="3"/>
  <c r="Z486" i="3"/>
  <c r="BM486" i="3"/>
  <c r="N487" i="3"/>
  <c r="Z487" i="3"/>
  <c r="BM487" i="3"/>
  <c r="N488" i="3"/>
  <c r="V488" i="3"/>
  <c r="Z488" i="3"/>
  <c r="BM488" i="3"/>
  <c r="N489" i="3"/>
  <c r="Z489" i="3"/>
  <c r="BM489" i="3"/>
  <c r="N490" i="3"/>
  <c r="Z490" i="3"/>
  <c r="BM490" i="3"/>
  <c r="N491" i="3"/>
  <c r="Z491" i="3"/>
  <c r="BM491" i="3"/>
  <c r="N492" i="3"/>
  <c r="Z492" i="3"/>
  <c r="BM492" i="3"/>
  <c r="N493" i="3"/>
  <c r="Z493" i="3"/>
  <c r="BM493" i="3"/>
  <c r="N494" i="3"/>
  <c r="Z494" i="3"/>
  <c r="BM494" i="3"/>
  <c r="N495" i="3"/>
  <c r="Z495" i="3"/>
  <c r="BM495" i="3"/>
  <c r="N496" i="3"/>
  <c r="Z496" i="3"/>
  <c r="BM496" i="3"/>
  <c r="N497" i="3"/>
  <c r="Z497" i="3"/>
  <c r="BM497" i="3"/>
  <c r="N498" i="3"/>
  <c r="Z498" i="3"/>
  <c r="BM498" i="3"/>
  <c r="N499" i="3"/>
  <c r="T499" i="3"/>
  <c r="V499" i="3" s="1"/>
  <c r="Z499" i="3"/>
  <c r="BM499" i="3"/>
  <c r="N500" i="3"/>
  <c r="T500" i="3"/>
  <c r="V500" i="3"/>
  <c r="Z500" i="3"/>
  <c r="BM500" i="3"/>
  <c r="N501" i="3"/>
  <c r="T501" i="3"/>
  <c r="V501" i="3"/>
  <c r="Z501" i="3"/>
  <c r="BM501" i="3"/>
  <c r="N185" i="3"/>
  <c r="F185" i="3" s="1"/>
  <c r="AA185" i="3"/>
  <c r="R185" i="3" s="1"/>
  <c r="T496" i="3" s="1"/>
  <c r="V496" i="3" s="1"/>
  <c r="N186" i="3"/>
  <c r="F186" i="3" s="1"/>
  <c r="H497" i="3" s="1"/>
  <c r="J497" i="3" s="1"/>
  <c r="AA186" i="3"/>
  <c r="R186" i="3" s="1"/>
  <c r="T497" i="3" s="1"/>
  <c r="V497" i="3" s="1"/>
  <c r="N187" i="3"/>
  <c r="F187" i="3" s="1"/>
  <c r="H498" i="3" s="1"/>
  <c r="J498" i="3" s="1"/>
  <c r="AA187" i="3"/>
  <c r="R187" i="3" s="1"/>
  <c r="T498" i="3" s="1"/>
  <c r="V498" i="3" s="1"/>
  <c r="N188" i="3"/>
  <c r="F188" i="3" s="1"/>
  <c r="H499" i="3" s="1"/>
  <c r="J499" i="3" s="1"/>
  <c r="AA188" i="3"/>
  <c r="N189" i="3"/>
  <c r="F189" i="3" s="1"/>
  <c r="AA189" i="3"/>
  <c r="N190" i="3"/>
  <c r="F190" i="3" s="1"/>
  <c r="H501" i="3" s="1"/>
  <c r="J501" i="3" s="1"/>
  <c r="AA190" i="3"/>
  <c r="N191" i="3"/>
  <c r="F191" i="3" s="1"/>
  <c r="H502" i="3" s="1"/>
  <c r="J502" i="3" s="1"/>
  <c r="AA191" i="3"/>
  <c r="N192" i="3"/>
  <c r="F192" i="3" s="1"/>
  <c r="AD192" i="3" s="1"/>
  <c r="AA192" i="3"/>
  <c r="N193" i="3"/>
  <c r="F193" i="3" s="1"/>
  <c r="AA193" i="3"/>
  <c r="N194" i="3"/>
  <c r="F194" i="3" s="1"/>
  <c r="AD194" i="3" s="1"/>
  <c r="AA194" i="3"/>
  <c r="N195" i="3"/>
  <c r="F195" i="3" s="1"/>
  <c r="AA195" i="3"/>
  <c r="N196" i="3"/>
  <c r="F196" i="3" s="1"/>
  <c r="H507" i="3" s="1"/>
  <c r="J507" i="3" s="1"/>
  <c r="AA196" i="3"/>
  <c r="N197" i="3"/>
  <c r="F197" i="3" s="1"/>
  <c r="AD197" i="3" s="1"/>
  <c r="AA197" i="3"/>
  <c r="N198" i="3"/>
  <c r="F198" i="3" s="1"/>
  <c r="AA198" i="3"/>
  <c r="N199" i="3"/>
  <c r="F199" i="3" s="1"/>
  <c r="AA199" i="3"/>
  <c r="N200" i="3"/>
  <c r="F200" i="3" s="1"/>
  <c r="AD200" i="3" s="1"/>
  <c r="AF511" i="3" s="1"/>
  <c r="AI511" i="3" s="1"/>
  <c r="AA200" i="3"/>
  <c r="N201" i="3"/>
  <c r="F201" i="3" s="1"/>
  <c r="AA201" i="3"/>
  <c r="N202" i="3"/>
  <c r="F202" i="3" s="1"/>
  <c r="AA202" i="3"/>
  <c r="N203" i="3"/>
  <c r="F203" i="3" s="1"/>
  <c r="AD203" i="3" s="1"/>
  <c r="AA203" i="3"/>
  <c r="N204" i="3"/>
  <c r="F204" i="3" s="1"/>
  <c r="AD204" i="3" s="1"/>
  <c r="AA204" i="3"/>
  <c r="N205" i="3"/>
  <c r="F205" i="3" s="1"/>
  <c r="AA205" i="3"/>
  <c r="N206" i="3"/>
  <c r="F206" i="3" s="1"/>
  <c r="AA206" i="3"/>
  <c r="N207" i="3"/>
  <c r="F207" i="3" s="1"/>
  <c r="AA207" i="3"/>
  <c r="N208" i="3"/>
  <c r="F208" i="3" s="1"/>
  <c r="AA208" i="3"/>
  <c r="N209" i="3"/>
  <c r="F209" i="3" s="1"/>
  <c r="H520" i="3" s="1"/>
  <c r="J520" i="3" s="1"/>
  <c r="AA209" i="3"/>
  <c r="N210" i="3"/>
  <c r="F210" i="3" s="1"/>
  <c r="AA210" i="3"/>
  <c r="N211" i="3"/>
  <c r="F211" i="3" s="1"/>
  <c r="AA211" i="3"/>
  <c r="N212" i="3"/>
  <c r="F212" i="3" s="1"/>
  <c r="AA212" i="3"/>
  <c r="N213" i="3"/>
  <c r="F213" i="3" s="1"/>
  <c r="AD213" i="3" s="1"/>
  <c r="AA213" i="3"/>
  <c r="N214" i="3"/>
  <c r="F214" i="3" s="1"/>
  <c r="AD214" i="3" s="1"/>
  <c r="AA214" i="3"/>
  <c r="N215" i="3"/>
  <c r="F215" i="3" s="1"/>
  <c r="AA215" i="3"/>
  <c r="N216" i="3"/>
  <c r="F216" i="3" s="1"/>
  <c r="AD216" i="3" s="1"/>
  <c r="AA216" i="3"/>
  <c r="N217" i="3"/>
  <c r="F217" i="3" s="1"/>
  <c r="AA217" i="3"/>
  <c r="N218" i="3"/>
  <c r="F218" i="3" s="1"/>
  <c r="AA218" i="3"/>
  <c r="N219" i="3"/>
  <c r="F219" i="3" s="1"/>
  <c r="AA219" i="3"/>
  <c r="N220" i="3"/>
  <c r="F220" i="3" s="1"/>
  <c r="AA220" i="3"/>
  <c r="BM503" i="3"/>
  <c r="BM504" i="3"/>
  <c r="BM505" i="3"/>
  <c r="BM506" i="3"/>
  <c r="BM507" i="3"/>
  <c r="BM508" i="3"/>
  <c r="BM509" i="3"/>
  <c r="BM510" i="3"/>
  <c r="BM511" i="3"/>
  <c r="BM512" i="3"/>
  <c r="BM513" i="3"/>
  <c r="BM514" i="3"/>
  <c r="BM515" i="3"/>
  <c r="BM516" i="3"/>
  <c r="BM517" i="3"/>
  <c r="BM518" i="3"/>
  <c r="BM519" i="3"/>
  <c r="BM520" i="3"/>
  <c r="BM521" i="3"/>
  <c r="BM522" i="3"/>
  <c r="BM523" i="3"/>
  <c r="BM524" i="3"/>
  <c r="BM525" i="3"/>
  <c r="BM526" i="3"/>
  <c r="BM527" i="3"/>
  <c r="BM528" i="3"/>
  <c r="BM529" i="3"/>
  <c r="BM530" i="3"/>
  <c r="BM531" i="3"/>
  <c r="BM532" i="3"/>
  <c r="BM533" i="3"/>
  <c r="BM534" i="3"/>
  <c r="BM535" i="3"/>
  <c r="BM536" i="3"/>
  <c r="BM537" i="3"/>
  <c r="BM538" i="3"/>
  <c r="BM539" i="3"/>
  <c r="BM540" i="3"/>
  <c r="BM541" i="3"/>
  <c r="BM542" i="3"/>
  <c r="BM543" i="3"/>
  <c r="BM544" i="3"/>
  <c r="BM545" i="3"/>
  <c r="BM546" i="3"/>
  <c r="BM547" i="3"/>
  <c r="BM548" i="3"/>
  <c r="BM549" i="3"/>
  <c r="BM550" i="3"/>
  <c r="BM551" i="3"/>
  <c r="BM552" i="3"/>
  <c r="BM553" i="3"/>
  <c r="BM554" i="3"/>
  <c r="BM555" i="3"/>
  <c r="BM556" i="3"/>
  <c r="BM557" i="3"/>
  <c r="BM558" i="3"/>
  <c r="BM559" i="3"/>
  <c r="BM560" i="3"/>
  <c r="BM561" i="3"/>
  <c r="BM562" i="3"/>
  <c r="BM563" i="3"/>
  <c r="BM564" i="3"/>
  <c r="BM565" i="3"/>
  <c r="BM566" i="3"/>
  <c r="BM567" i="3"/>
  <c r="BM568" i="3"/>
  <c r="BM569" i="3"/>
  <c r="BM570" i="3"/>
  <c r="BM571" i="3"/>
  <c r="BM572" i="3"/>
  <c r="BM573" i="3"/>
  <c r="BM574" i="3"/>
  <c r="BM575" i="3"/>
  <c r="BM576" i="3"/>
  <c r="BM577" i="3"/>
  <c r="BM578" i="3"/>
  <c r="BM579" i="3"/>
  <c r="BM580" i="3"/>
  <c r="BM581" i="3"/>
  <c r="BM582" i="3"/>
  <c r="BM583" i="3"/>
  <c r="BM584" i="3"/>
  <c r="BM585" i="3"/>
  <c r="BM586" i="3"/>
  <c r="BM587" i="3"/>
  <c r="BM588" i="3"/>
  <c r="BM589" i="3"/>
  <c r="BM590" i="3"/>
  <c r="BM591" i="3"/>
  <c r="BM592" i="3"/>
  <c r="BM593" i="3"/>
  <c r="BM594" i="3"/>
  <c r="BM595" i="3"/>
  <c r="BM596" i="3"/>
  <c r="BM597" i="3"/>
  <c r="BM598" i="3"/>
  <c r="BM599" i="3"/>
  <c r="BM600" i="3"/>
  <c r="BM601" i="3"/>
  <c r="BM602" i="3"/>
  <c r="BM603" i="3"/>
  <c r="BM604" i="3"/>
  <c r="BM605" i="3"/>
  <c r="BM606" i="3"/>
  <c r="BM607" i="3"/>
  <c r="BM608" i="3"/>
  <c r="BM609" i="3"/>
  <c r="BM610" i="3"/>
  <c r="BM611" i="3"/>
  <c r="BM612" i="3"/>
  <c r="BM613" i="3"/>
  <c r="BM614" i="3"/>
  <c r="BM615" i="3"/>
  <c r="BM616" i="3"/>
  <c r="BM617" i="3"/>
  <c r="BM618" i="3"/>
  <c r="BM619" i="3"/>
  <c r="BM620" i="3"/>
  <c r="BM621" i="3"/>
  <c r="BM622" i="3"/>
  <c r="BM623" i="3"/>
  <c r="BM624" i="3"/>
  <c r="BM319" i="3"/>
  <c r="AL319" i="3"/>
  <c r="AD9" i="3"/>
  <c r="AF320" i="3" s="1"/>
  <c r="AI320" i="3" s="1"/>
  <c r="AD8" i="3"/>
  <c r="H319" i="3"/>
  <c r="J319" i="3" s="1"/>
  <c r="K319" i="3" s="1"/>
  <c r="O319" i="3" s="1"/>
  <c r="T319" i="3"/>
  <c r="V319" i="3" s="1"/>
  <c r="W319" i="3" s="1"/>
  <c r="AA319" i="3" s="1"/>
  <c r="AA39" i="3"/>
  <c r="R39" i="3"/>
  <c r="T350" i="3" s="1"/>
  <c r="V350" i="3" s="1"/>
  <c r="AA40" i="3"/>
  <c r="R40" i="3" s="1"/>
  <c r="T351" i="3" s="1"/>
  <c r="V351" i="3" s="1"/>
  <c r="AA41" i="3"/>
  <c r="R41" i="3" s="1"/>
  <c r="T352" i="3" s="1"/>
  <c r="V352" i="3" s="1"/>
  <c r="AA42" i="3"/>
  <c r="R42" i="3" s="1"/>
  <c r="T353" i="3" s="1"/>
  <c r="V353" i="3" s="1"/>
  <c r="AA43" i="3"/>
  <c r="R43" i="3"/>
  <c r="T354" i="3" s="1"/>
  <c r="V354" i="3" s="1"/>
  <c r="AA44" i="3"/>
  <c r="R44" i="3" s="1"/>
  <c r="T355" i="3" s="1"/>
  <c r="V355" i="3" s="1"/>
  <c r="AA45" i="3"/>
  <c r="R45" i="3"/>
  <c r="T356" i="3" s="1"/>
  <c r="V356" i="3" s="1"/>
  <c r="AA46" i="3"/>
  <c r="R46" i="3"/>
  <c r="T357" i="3" s="1"/>
  <c r="V357" i="3" s="1"/>
  <c r="AA47" i="3"/>
  <c r="R47" i="3" s="1"/>
  <c r="T358" i="3" s="1"/>
  <c r="V358" i="3" s="1"/>
  <c r="AA48" i="3"/>
  <c r="R48" i="3"/>
  <c r="T359" i="3" s="1"/>
  <c r="V359" i="3" s="1"/>
  <c r="AA49" i="3"/>
  <c r="R49" i="3" s="1"/>
  <c r="T360" i="3" s="1"/>
  <c r="V360" i="3" s="1"/>
  <c r="AA50" i="3"/>
  <c r="R50" i="3" s="1"/>
  <c r="T361" i="3" s="1"/>
  <c r="V361" i="3" s="1"/>
  <c r="AA51" i="3"/>
  <c r="R51" i="3" s="1"/>
  <c r="T362" i="3" s="1"/>
  <c r="V362" i="3" s="1"/>
  <c r="AA52" i="3"/>
  <c r="R52" i="3"/>
  <c r="T363" i="3" s="1"/>
  <c r="V363" i="3" s="1"/>
  <c r="AA53" i="3"/>
  <c r="R53" i="3" s="1"/>
  <c r="T364" i="3" s="1"/>
  <c r="V364" i="3" s="1"/>
  <c r="AA54" i="3"/>
  <c r="R54" i="3" s="1"/>
  <c r="AA55" i="3"/>
  <c r="R55" i="3"/>
  <c r="T366" i="3" s="1"/>
  <c r="V366" i="3" s="1"/>
  <c r="AA56" i="3"/>
  <c r="R56" i="3" s="1"/>
  <c r="T367" i="3" s="1"/>
  <c r="V367" i="3" s="1"/>
  <c r="AA57" i="3"/>
  <c r="R57" i="3" s="1"/>
  <c r="T368" i="3" s="1"/>
  <c r="V368" i="3" s="1"/>
  <c r="AA58" i="3"/>
  <c r="R58" i="3" s="1"/>
  <c r="T369" i="3" s="1"/>
  <c r="V369" i="3" s="1"/>
  <c r="AA59" i="3"/>
  <c r="R59" i="3" s="1"/>
  <c r="T370" i="3" s="1"/>
  <c r="V370" i="3" s="1"/>
  <c r="AA60" i="3"/>
  <c r="R60" i="3" s="1"/>
  <c r="T371" i="3" s="1"/>
  <c r="V371" i="3" s="1"/>
  <c r="AA61" i="3"/>
  <c r="R61" i="3" s="1"/>
  <c r="T372" i="3" s="1"/>
  <c r="V372" i="3" s="1"/>
  <c r="AA62" i="3"/>
  <c r="R62" i="3" s="1"/>
  <c r="T373" i="3" s="1"/>
  <c r="V373" i="3" s="1"/>
  <c r="AA63" i="3"/>
  <c r="R63" i="3" s="1"/>
  <c r="T374" i="3" s="1"/>
  <c r="V374" i="3" s="1"/>
  <c r="AA64" i="3"/>
  <c r="R64" i="3" s="1"/>
  <c r="T375" i="3" s="1"/>
  <c r="V375" i="3" s="1"/>
  <c r="AA65" i="3"/>
  <c r="R65" i="3" s="1"/>
  <c r="T376" i="3" s="1"/>
  <c r="V376" i="3" s="1"/>
  <c r="AA66" i="3"/>
  <c r="R66" i="3"/>
  <c r="T377" i="3" s="1"/>
  <c r="V377" i="3" s="1"/>
  <c r="AA67" i="3"/>
  <c r="R67" i="3" s="1"/>
  <c r="T378" i="3" s="1"/>
  <c r="V378" i="3" s="1"/>
  <c r="AA68" i="3"/>
  <c r="R68" i="3" s="1"/>
  <c r="T379" i="3" s="1"/>
  <c r="V379" i="3" s="1"/>
  <c r="AA69" i="3"/>
  <c r="R69" i="3" s="1"/>
  <c r="T380" i="3" s="1"/>
  <c r="V380" i="3" s="1"/>
  <c r="AA70" i="3"/>
  <c r="R70" i="3" s="1"/>
  <c r="T381" i="3" s="1"/>
  <c r="V381" i="3" s="1"/>
  <c r="AA71" i="3"/>
  <c r="R71" i="3" s="1"/>
  <c r="T382" i="3" s="1"/>
  <c r="V382" i="3" s="1"/>
  <c r="AA72" i="3"/>
  <c r="R72" i="3"/>
  <c r="T383" i="3" s="1"/>
  <c r="V383" i="3" s="1"/>
  <c r="AA73" i="3"/>
  <c r="R73" i="3"/>
  <c r="T384" i="3" s="1"/>
  <c r="V384" i="3" s="1"/>
  <c r="AA74" i="3"/>
  <c r="R74" i="3" s="1"/>
  <c r="T385" i="3" s="1"/>
  <c r="V385" i="3" s="1"/>
  <c r="AA75" i="3"/>
  <c r="R75" i="3"/>
  <c r="T386" i="3" s="1"/>
  <c r="V386" i="3" s="1"/>
  <c r="AA76" i="3"/>
  <c r="R76" i="3" s="1"/>
  <c r="T387" i="3" s="1"/>
  <c r="V387" i="3" s="1"/>
  <c r="AA77" i="3"/>
  <c r="R77" i="3" s="1"/>
  <c r="T388" i="3" s="1"/>
  <c r="V388" i="3" s="1"/>
  <c r="AA78" i="3"/>
  <c r="R78" i="3"/>
  <c r="T389" i="3" s="1"/>
  <c r="V389" i="3" s="1"/>
  <c r="AA79" i="3"/>
  <c r="R79" i="3"/>
  <c r="T390" i="3" s="1"/>
  <c r="V390" i="3" s="1"/>
  <c r="AA80" i="3"/>
  <c r="R80" i="3" s="1"/>
  <c r="T391" i="3" s="1"/>
  <c r="V391" i="3" s="1"/>
  <c r="AA81" i="3"/>
  <c r="R81" i="3"/>
  <c r="T392" i="3" s="1"/>
  <c r="V392" i="3" s="1"/>
  <c r="AA82" i="3"/>
  <c r="R82" i="3"/>
  <c r="T393" i="3" s="1"/>
  <c r="V393" i="3" s="1"/>
  <c r="AA83" i="3"/>
  <c r="R83" i="3" s="1"/>
  <c r="T394" i="3" s="1"/>
  <c r="V394" i="3" s="1"/>
  <c r="AA84" i="3"/>
  <c r="R84" i="3"/>
  <c r="T395" i="3" s="1"/>
  <c r="V395" i="3" s="1"/>
  <c r="AA85" i="3"/>
  <c r="R85" i="3"/>
  <c r="T396" i="3" s="1"/>
  <c r="V396" i="3" s="1"/>
  <c r="AA86" i="3"/>
  <c r="R86" i="3" s="1"/>
  <c r="T397" i="3" s="1"/>
  <c r="V397" i="3" s="1"/>
  <c r="AA87" i="3"/>
  <c r="R87" i="3"/>
  <c r="T398" i="3" s="1"/>
  <c r="V398" i="3" s="1"/>
  <c r="AA88" i="3"/>
  <c r="R88" i="3"/>
  <c r="T399" i="3" s="1"/>
  <c r="V399" i="3" s="1"/>
  <c r="AA89" i="3"/>
  <c r="R89" i="3" s="1"/>
  <c r="T400" i="3" s="1"/>
  <c r="V400" i="3" s="1"/>
  <c r="AA90" i="3"/>
  <c r="R90" i="3" s="1"/>
  <c r="AA91" i="3"/>
  <c r="R91" i="3"/>
  <c r="T402" i="3" s="1"/>
  <c r="V402" i="3" s="1"/>
  <c r="AA92" i="3"/>
  <c r="R92" i="3" s="1"/>
  <c r="T403" i="3" s="1"/>
  <c r="V403" i="3" s="1"/>
  <c r="AA93" i="3"/>
  <c r="R93" i="3" s="1"/>
  <c r="T404" i="3" s="1"/>
  <c r="V404" i="3" s="1"/>
  <c r="AA94" i="3"/>
  <c r="R94" i="3"/>
  <c r="T405" i="3" s="1"/>
  <c r="V405" i="3" s="1"/>
  <c r="AA95" i="3"/>
  <c r="R95" i="3" s="1"/>
  <c r="T406" i="3" s="1"/>
  <c r="V406" i="3" s="1"/>
  <c r="AA96" i="3"/>
  <c r="R96" i="3" s="1"/>
  <c r="T407" i="3" s="1"/>
  <c r="V407" i="3" s="1"/>
  <c r="AA97" i="3"/>
  <c r="R97" i="3" s="1"/>
  <c r="T408" i="3" s="1"/>
  <c r="V408" i="3" s="1"/>
  <c r="AA98" i="3"/>
  <c r="R98" i="3" s="1"/>
  <c r="T409" i="3" s="1"/>
  <c r="V409" i="3" s="1"/>
  <c r="AA99" i="3"/>
  <c r="R99" i="3" s="1"/>
  <c r="AA100" i="3"/>
  <c r="R100" i="3" s="1"/>
  <c r="T411" i="3" s="1"/>
  <c r="V411" i="3" s="1"/>
  <c r="AA101" i="3"/>
  <c r="R101" i="3" s="1"/>
  <c r="T412" i="3" s="1"/>
  <c r="V412" i="3" s="1"/>
  <c r="AA102" i="3"/>
  <c r="R102" i="3"/>
  <c r="T413" i="3" s="1"/>
  <c r="V413" i="3" s="1"/>
  <c r="AA103" i="3"/>
  <c r="R103" i="3" s="1"/>
  <c r="T414" i="3" s="1"/>
  <c r="V414" i="3" s="1"/>
  <c r="AA104" i="3"/>
  <c r="R104" i="3" s="1"/>
  <c r="T415" i="3" s="1"/>
  <c r="V415" i="3" s="1"/>
  <c r="AA105" i="3"/>
  <c r="R105" i="3"/>
  <c r="T416" i="3" s="1"/>
  <c r="V416" i="3" s="1"/>
  <c r="AA106" i="3"/>
  <c r="R106" i="3" s="1"/>
  <c r="T417" i="3" s="1"/>
  <c r="V417" i="3" s="1"/>
  <c r="AA107" i="3"/>
  <c r="R107" i="3" s="1"/>
  <c r="T418" i="3" s="1"/>
  <c r="V418" i="3" s="1"/>
  <c r="AA108" i="3"/>
  <c r="R108" i="3"/>
  <c r="T419" i="3" s="1"/>
  <c r="V419" i="3" s="1"/>
  <c r="AA109" i="3"/>
  <c r="R109" i="3"/>
  <c r="T420" i="3" s="1"/>
  <c r="V420" i="3" s="1"/>
  <c r="AA110" i="3"/>
  <c r="R110" i="3" s="1"/>
  <c r="T421" i="3" s="1"/>
  <c r="V421" i="3" s="1"/>
  <c r="AA111" i="3"/>
  <c r="R111" i="3"/>
  <c r="T422" i="3" s="1"/>
  <c r="V422" i="3" s="1"/>
  <c r="AA112" i="3"/>
  <c r="R112" i="3"/>
  <c r="T423" i="3" s="1"/>
  <c r="V423" i="3" s="1"/>
  <c r="AA113" i="3"/>
  <c r="R113" i="3" s="1"/>
  <c r="T424" i="3" s="1"/>
  <c r="V424" i="3" s="1"/>
  <c r="AA114" i="3"/>
  <c r="R114" i="3"/>
  <c r="T425" i="3" s="1"/>
  <c r="V425" i="3" s="1"/>
  <c r="AA115" i="3"/>
  <c r="R115" i="3"/>
  <c r="T426" i="3" s="1"/>
  <c r="V426" i="3" s="1"/>
  <c r="AA116" i="3"/>
  <c r="R116" i="3" s="1"/>
  <c r="T427" i="3" s="1"/>
  <c r="V427" i="3" s="1"/>
  <c r="AA117" i="3"/>
  <c r="R117" i="3"/>
  <c r="T428" i="3" s="1"/>
  <c r="V428" i="3" s="1"/>
  <c r="AA118" i="3"/>
  <c r="R118" i="3"/>
  <c r="T429" i="3" s="1"/>
  <c r="V429" i="3" s="1"/>
  <c r="AA119" i="3"/>
  <c r="R119" i="3" s="1"/>
  <c r="T430" i="3" s="1"/>
  <c r="V430" i="3" s="1"/>
  <c r="AA120" i="3"/>
  <c r="R120" i="3"/>
  <c r="T431" i="3" s="1"/>
  <c r="V431" i="3" s="1"/>
  <c r="AA121" i="3"/>
  <c r="R121" i="3"/>
  <c r="T432" i="3" s="1"/>
  <c r="V432" i="3" s="1"/>
  <c r="AA122" i="3"/>
  <c r="R122" i="3" s="1"/>
  <c r="T433" i="3" s="1"/>
  <c r="V433" i="3" s="1"/>
  <c r="AA123" i="3"/>
  <c r="R123" i="3"/>
  <c r="T434" i="3" s="1"/>
  <c r="V434" i="3" s="1"/>
  <c r="AA124" i="3"/>
  <c r="R124" i="3"/>
  <c r="T435" i="3" s="1"/>
  <c r="V435" i="3" s="1"/>
  <c r="AA125" i="3"/>
  <c r="R125" i="3" s="1"/>
  <c r="T436" i="3" s="1"/>
  <c r="V436" i="3" s="1"/>
  <c r="AA126" i="3"/>
  <c r="R126" i="3" s="1"/>
  <c r="T437" i="3" s="1"/>
  <c r="V437" i="3" s="1"/>
  <c r="AA127" i="3"/>
  <c r="R127" i="3"/>
  <c r="T438" i="3" s="1"/>
  <c r="V438" i="3" s="1"/>
  <c r="AA128" i="3"/>
  <c r="R128" i="3" s="1"/>
  <c r="T439" i="3" s="1"/>
  <c r="V439" i="3" s="1"/>
  <c r="AA129" i="3"/>
  <c r="R129" i="3" s="1"/>
  <c r="AA130" i="3"/>
  <c r="R130" i="3"/>
  <c r="T441" i="3" s="1"/>
  <c r="V441" i="3" s="1"/>
  <c r="AA131" i="3"/>
  <c r="R131" i="3" s="1"/>
  <c r="T442" i="3" s="1"/>
  <c r="V442" i="3" s="1"/>
  <c r="AA132" i="3"/>
  <c r="R132" i="3" s="1"/>
  <c r="T443" i="3" s="1"/>
  <c r="V443" i="3" s="1"/>
  <c r="AA133" i="3"/>
  <c r="R133" i="3" s="1"/>
  <c r="T444" i="3" s="1"/>
  <c r="V444" i="3" s="1"/>
  <c r="AA134" i="3"/>
  <c r="R134" i="3" s="1"/>
  <c r="T445" i="3" s="1"/>
  <c r="V445" i="3" s="1"/>
  <c r="AA135" i="3"/>
  <c r="R135" i="3" s="1"/>
  <c r="T446" i="3" s="1"/>
  <c r="V446" i="3" s="1"/>
  <c r="AA136" i="3"/>
  <c r="R136" i="3" s="1"/>
  <c r="T447" i="3" s="1"/>
  <c r="V447" i="3" s="1"/>
  <c r="AA137" i="3"/>
  <c r="R137" i="3" s="1"/>
  <c r="T448" i="3" s="1"/>
  <c r="V448" i="3" s="1"/>
  <c r="AA138" i="3"/>
  <c r="R138" i="3"/>
  <c r="T449" i="3" s="1"/>
  <c r="V449" i="3" s="1"/>
  <c r="AA139" i="3"/>
  <c r="R139" i="3" s="1"/>
  <c r="T450" i="3" s="1"/>
  <c r="V450" i="3" s="1"/>
  <c r="AA140" i="3"/>
  <c r="R140" i="3" s="1"/>
  <c r="T451" i="3" s="1"/>
  <c r="V451" i="3" s="1"/>
  <c r="AA141" i="3"/>
  <c r="R141" i="3"/>
  <c r="T452" i="3" s="1"/>
  <c r="V452" i="3" s="1"/>
  <c r="AA142" i="3"/>
  <c r="R142" i="3" s="1"/>
  <c r="T453" i="3" s="1"/>
  <c r="V453" i="3" s="1"/>
  <c r="AA143" i="3"/>
  <c r="R143" i="3" s="1"/>
  <c r="T454" i="3" s="1"/>
  <c r="V454" i="3" s="1"/>
  <c r="AA144" i="3"/>
  <c r="R144" i="3"/>
  <c r="T455" i="3" s="1"/>
  <c r="V455" i="3" s="1"/>
  <c r="AA145" i="3"/>
  <c r="R145" i="3"/>
  <c r="T456" i="3" s="1"/>
  <c r="V456" i="3" s="1"/>
  <c r="AA146" i="3"/>
  <c r="R146" i="3" s="1"/>
  <c r="T457" i="3" s="1"/>
  <c r="V457" i="3" s="1"/>
  <c r="AA147" i="3"/>
  <c r="R147" i="3"/>
  <c r="T458" i="3" s="1"/>
  <c r="V458" i="3" s="1"/>
  <c r="AA148" i="3"/>
  <c r="R148" i="3"/>
  <c r="T459" i="3" s="1"/>
  <c r="V459" i="3" s="1"/>
  <c r="AA149" i="3"/>
  <c r="R149" i="3" s="1"/>
  <c r="T460" i="3" s="1"/>
  <c r="V460" i="3" s="1"/>
  <c r="AA150" i="3"/>
  <c r="R150" i="3"/>
  <c r="T461" i="3" s="1"/>
  <c r="V461" i="3" s="1"/>
  <c r="AA151" i="3"/>
  <c r="R151" i="3" s="1"/>
  <c r="T462" i="3" s="1"/>
  <c r="V462" i="3" s="1"/>
  <c r="AA152" i="3"/>
  <c r="R152" i="3" s="1"/>
  <c r="T463" i="3" s="1"/>
  <c r="V463" i="3" s="1"/>
  <c r="AA153" i="3"/>
  <c r="R153" i="3"/>
  <c r="T464" i="3" s="1"/>
  <c r="V464" i="3" s="1"/>
  <c r="AA154" i="3"/>
  <c r="R154" i="3"/>
  <c r="T465" i="3" s="1"/>
  <c r="V465" i="3" s="1"/>
  <c r="AA155" i="3"/>
  <c r="R155" i="3" s="1"/>
  <c r="T466" i="3" s="1"/>
  <c r="V466" i="3" s="1"/>
  <c r="AA156" i="3"/>
  <c r="R156" i="3"/>
  <c r="T467" i="3" s="1"/>
  <c r="V467" i="3" s="1"/>
  <c r="AA157" i="3"/>
  <c r="R157" i="3"/>
  <c r="T468" i="3" s="1"/>
  <c r="V468" i="3" s="1"/>
  <c r="AA158" i="3"/>
  <c r="R158" i="3" s="1"/>
  <c r="T469" i="3" s="1"/>
  <c r="V469" i="3" s="1"/>
  <c r="AA159" i="3"/>
  <c r="R159" i="3"/>
  <c r="T470" i="3" s="1"/>
  <c r="V470" i="3" s="1"/>
  <c r="AA160" i="3"/>
  <c r="R160" i="3"/>
  <c r="T471" i="3" s="1"/>
  <c r="V471" i="3" s="1"/>
  <c r="AA161" i="3"/>
  <c r="R161" i="3" s="1"/>
  <c r="T472" i="3" s="1"/>
  <c r="V472" i="3" s="1"/>
  <c r="AA162" i="3"/>
  <c r="R162" i="3" s="1"/>
  <c r="AA163" i="3"/>
  <c r="R163" i="3"/>
  <c r="T474" i="3" s="1"/>
  <c r="V474" i="3" s="1"/>
  <c r="AA164" i="3"/>
  <c r="R164" i="3" s="1"/>
  <c r="T475" i="3" s="1"/>
  <c r="V475" i="3" s="1"/>
  <c r="AA165" i="3"/>
  <c r="R165" i="3" s="1"/>
  <c r="T476" i="3" s="1"/>
  <c r="V476" i="3" s="1"/>
  <c r="AA166" i="3"/>
  <c r="R166" i="3"/>
  <c r="T477" i="3" s="1"/>
  <c r="V477" i="3" s="1"/>
  <c r="AA167" i="3"/>
  <c r="R167" i="3" s="1"/>
  <c r="T478" i="3" s="1"/>
  <c r="V478" i="3" s="1"/>
  <c r="AA168" i="3"/>
  <c r="R168" i="3" s="1"/>
  <c r="T479" i="3" s="1"/>
  <c r="V479" i="3" s="1"/>
  <c r="AA169" i="3"/>
  <c r="R169" i="3" s="1"/>
  <c r="T480" i="3" s="1"/>
  <c r="V480" i="3" s="1"/>
  <c r="AA170" i="3"/>
  <c r="R170" i="3" s="1"/>
  <c r="T481" i="3" s="1"/>
  <c r="V481" i="3" s="1"/>
  <c r="AA171" i="3"/>
  <c r="R171" i="3" s="1"/>
  <c r="AA172" i="3"/>
  <c r="R172" i="3" s="1"/>
  <c r="T483" i="3" s="1"/>
  <c r="V483" i="3" s="1"/>
  <c r="AA173" i="3"/>
  <c r="R173" i="3" s="1"/>
  <c r="T484" i="3" s="1"/>
  <c r="V484" i="3" s="1"/>
  <c r="AA174" i="3"/>
  <c r="R174" i="3"/>
  <c r="T485" i="3" s="1"/>
  <c r="V485" i="3" s="1"/>
  <c r="AA175" i="3"/>
  <c r="R175" i="3" s="1"/>
  <c r="T486" i="3" s="1"/>
  <c r="V486" i="3" s="1"/>
  <c r="AA176" i="3"/>
  <c r="R176" i="3" s="1"/>
  <c r="T487" i="3" s="1"/>
  <c r="V487" i="3" s="1"/>
  <c r="AA177" i="3"/>
  <c r="R177" i="3"/>
  <c r="T488" i="3" s="1"/>
  <c r="AA178" i="3"/>
  <c r="R178" i="3" s="1"/>
  <c r="T489" i="3" s="1"/>
  <c r="V489" i="3" s="1"/>
  <c r="AA179" i="3"/>
  <c r="R179" i="3" s="1"/>
  <c r="T490" i="3" s="1"/>
  <c r="V490" i="3" s="1"/>
  <c r="AA180" i="3"/>
  <c r="R180" i="3"/>
  <c r="T491" i="3" s="1"/>
  <c r="V491" i="3" s="1"/>
  <c r="AA181" i="3"/>
  <c r="R181" i="3"/>
  <c r="T492" i="3" s="1"/>
  <c r="V492" i="3" s="1"/>
  <c r="AA182" i="3"/>
  <c r="R182" i="3" s="1"/>
  <c r="T493" i="3" s="1"/>
  <c r="V493" i="3" s="1"/>
  <c r="AA183" i="3"/>
  <c r="R183" i="3"/>
  <c r="T494" i="3" s="1"/>
  <c r="V494" i="3" s="1"/>
  <c r="AA184" i="3"/>
  <c r="R184" i="3"/>
  <c r="T495" i="3" s="1"/>
  <c r="V495" i="3" s="1"/>
  <c r="T503" i="3"/>
  <c r="V503" i="3" s="1"/>
  <c r="T504" i="3"/>
  <c r="V504" i="3"/>
  <c r="T505" i="3"/>
  <c r="V505" i="3"/>
  <c r="T506" i="3"/>
  <c r="V506" i="3" s="1"/>
  <c r="T507" i="3"/>
  <c r="V507" i="3"/>
  <c r="T508" i="3"/>
  <c r="V508" i="3"/>
  <c r="T509" i="3"/>
  <c r="V509" i="3" s="1"/>
  <c r="T510" i="3"/>
  <c r="V510" i="3"/>
  <c r="T511" i="3"/>
  <c r="V511" i="3"/>
  <c r="T512" i="3"/>
  <c r="V512" i="3" s="1"/>
  <c r="T513" i="3"/>
  <c r="V513" i="3"/>
  <c r="T514" i="3"/>
  <c r="V514" i="3"/>
  <c r="T515" i="3"/>
  <c r="V515" i="3"/>
  <c r="T516" i="3"/>
  <c r="V516" i="3"/>
  <c r="T517" i="3"/>
  <c r="V517" i="3" s="1"/>
  <c r="T518" i="3"/>
  <c r="V518" i="3" s="1"/>
  <c r="T519" i="3"/>
  <c r="V519" i="3" s="1"/>
  <c r="T520" i="3"/>
  <c r="V520" i="3"/>
  <c r="T521" i="3"/>
  <c r="V521" i="3" s="1"/>
  <c r="T522" i="3"/>
  <c r="V522" i="3" s="1"/>
  <c r="T523" i="3"/>
  <c r="V523" i="3"/>
  <c r="T524" i="3"/>
  <c r="V524" i="3" s="1"/>
  <c r="T525" i="3"/>
  <c r="V525" i="3" s="1"/>
  <c r="T526" i="3"/>
  <c r="V526" i="3"/>
  <c r="T527" i="3"/>
  <c r="V527" i="3"/>
  <c r="T528" i="3"/>
  <c r="V528" i="3"/>
  <c r="T529" i="3"/>
  <c r="V529" i="3"/>
  <c r="T530" i="3"/>
  <c r="V530" i="3" s="1"/>
  <c r="T531" i="3"/>
  <c r="V531" i="3"/>
  <c r="T532" i="3"/>
  <c r="V532" i="3"/>
  <c r="T534" i="3"/>
  <c r="V534" i="3" s="1"/>
  <c r="T535" i="3"/>
  <c r="V535" i="3" s="1"/>
  <c r="T536" i="3"/>
  <c r="V536" i="3" s="1"/>
  <c r="T537" i="3"/>
  <c r="V537" i="3" s="1"/>
  <c r="T538" i="3"/>
  <c r="V538" i="3" s="1"/>
  <c r="T539" i="3"/>
  <c r="V539" i="3" s="1"/>
  <c r="T540" i="3"/>
  <c r="V540" i="3" s="1"/>
  <c r="T541" i="3"/>
  <c r="V541" i="3"/>
  <c r="T542" i="3"/>
  <c r="V542" i="3"/>
  <c r="T546" i="3"/>
  <c r="V546" i="3" s="1"/>
  <c r="T548" i="3"/>
  <c r="V548" i="3" s="1"/>
  <c r="T549" i="3"/>
  <c r="V549" i="3"/>
  <c r="T550" i="3"/>
  <c r="V550" i="3"/>
  <c r="T551" i="3"/>
  <c r="V551" i="3"/>
  <c r="T552" i="3"/>
  <c r="V552" i="3"/>
  <c r="T553" i="3"/>
  <c r="V553" i="3"/>
  <c r="T554" i="3"/>
  <c r="V554" i="3"/>
  <c r="T555" i="3"/>
  <c r="V555" i="3"/>
  <c r="T556" i="3"/>
  <c r="V556" i="3"/>
  <c r="T557" i="3"/>
  <c r="V557" i="3"/>
  <c r="T558" i="3"/>
  <c r="V558" i="3"/>
  <c r="T559" i="3"/>
  <c r="V559" i="3"/>
  <c r="T560" i="3"/>
  <c r="V560" i="3"/>
  <c r="T561" i="3"/>
  <c r="V561" i="3"/>
  <c r="T562" i="3"/>
  <c r="V562" i="3"/>
  <c r="T563" i="3"/>
  <c r="V563" i="3" s="1"/>
  <c r="T564" i="3"/>
  <c r="V564" i="3" s="1"/>
  <c r="T565" i="3"/>
  <c r="V565" i="3" s="1"/>
  <c r="T566" i="3"/>
  <c r="V566" i="3" s="1"/>
  <c r="T567" i="3"/>
  <c r="V567" i="3" s="1"/>
  <c r="T568" i="3"/>
  <c r="V568" i="3"/>
  <c r="T569" i="3"/>
  <c r="V569" i="3" s="1"/>
  <c r="T570" i="3"/>
  <c r="V570" i="3" s="1"/>
  <c r="T571" i="3"/>
  <c r="V571" i="3" s="1"/>
  <c r="T572" i="3"/>
  <c r="V572" i="3"/>
  <c r="T573" i="3"/>
  <c r="V573" i="3" s="1"/>
  <c r="T574" i="3"/>
  <c r="V574" i="3"/>
  <c r="T575" i="3"/>
  <c r="V575" i="3" s="1"/>
  <c r="T576" i="3"/>
  <c r="V576" i="3" s="1"/>
  <c r="T577" i="3"/>
  <c r="V577" i="3" s="1"/>
  <c r="T578" i="3"/>
  <c r="V578" i="3"/>
  <c r="T579" i="3"/>
  <c r="V579" i="3" s="1"/>
  <c r="T580" i="3"/>
  <c r="V580" i="3"/>
  <c r="T581" i="3"/>
  <c r="V581" i="3" s="1"/>
  <c r="T582" i="3"/>
  <c r="V582" i="3" s="1"/>
  <c r="T583" i="3"/>
  <c r="V583" i="3" s="1"/>
  <c r="T584" i="3"/>
  <c r="V584" i="3"/>
  <c r="T585" i="3"/>
  <c r="V585" i="3" s="1"/>
  <c r="T586" i="3"/>
  <c r="V586" i="3"/>
  <c r="T587" i="3"/>
  <c r="V587" i="3" s="1"/>
  <c r="T588" i="3"/>
  <c r="V588" i="3" s="1"/>
  <c r="T589" i="3"/>
  <c r="V589" i="3" s="1"/>
  <c r="T590" i="3"/>
  <c r="V590" i="3"/>
  <c r="T591" i="3"/>
  <c r="V591" i="3" s="1"/>
  <c r="T592" i="3"/>
  <c r="V592" i="3"/>
  <c r="T593" i="3"/>
  <c r="V593" i="3" s="1"/>
  <c r="T594" i="3"/>
  <c r="V594" i="3" s="1"/>
  <c r="T595" i="3"/>
  <c r="V595" i="3" s="1"/>
  <c r="T596" i="3"/>
  <c r="V596" i="3" s="1"/>
  <c r="T597" i="3"/>
  <c r="V597" i="3" s="1"/>
  <c r="T598" i="3"/>
  <c r="V598" i="3"/>
  <c r="T599" i="3"/>
  <c r="V599" i="3"/>
  <c r="T600" i="3"/>
  <c r="V600" i="3" s="1"/>
  <c r="T601" i="3"/>
  <c r="V601" i="3" s="1"/>
  <c r="T602" i="3"/>
  <c r="V602" i="3"/>
  <c r="T603" i="3"/>
  <c r="V603" i="3" s="1"/>
  <c r="T604" i="3"/>
  <c r="V604" i="3" s="1"/>
  <c r="T605" i="3"/>
  <c r="V605" i="3"/>
  <c r="T606" i="3"/>
  <c r="V606" i="3" s="1"/>
  <c r="T607" i="3"/>
  <c r="V607" i="3" s="1"/>
  <c r="T608" i="3"/>
  <c r="V608" i="3"/>
  <c r="T609" i="3"/>
  <c r="V609" i="3" s="1"/>
  <c r="T610" i="3"/>
  <c r="V610" i="3"/>
  <c r="T611" i="3"/>
  <c r="V611" i="3"/>
  <c r="T612" i="3"/>
  <c r="V612" i="3" s="1"/>
  <c r="T613" i="3"/>
  <c r="V613" i="3" s="1"/>
  <c r="T614" i="3"/>
  <c r="V614" i="3"/>
  <c r="T615" i="3"/>
  <c r="V615" i="3" s="1"/>
  <c r="T616" i="3"/>
  <c r="V616" i="3"/>
  <c r="T617" i="3"/>
  <c r="V617" i="3" s="1"/>
  <c r="T618" i="3"/>
  <c r="V618" i="3" s="1"/>
  <c r="T619" i="3"/>
  <c r="V619" i="3" s="1"/>
  <c r="T620" i="3"/>
  <c r="V620" i="3" s="1"/>
  <c r="T621" i="3"/>
  <c r="V621" i="3" s="1"/>
  <c r="T622" i="3"/>
  <c r="V622" i="3"/>
  <c r="T623" i="3"/>
  <c r="V623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319" i="3"/>
  <c r="N319" i="3"/>
  <c r="N39" i="3"/>
  <c r="F39" i="3" s="1"/>
  <c r="N40" i="3"/>
  <c r="F40" i="3" s="1"/>
  <c r="N41" i="3"/>
  <c r="F41" i="3" s="1"/>
  <c r="N42" i="3"/>
  <c r="F42" i="3" s="1"/>
  <c r="N43" i="3"/>
  <c r="F43" i="3" s="1"/>
  <c r="H354" i="3" s="1"/>
  <c r="J354" i="3" s="1"/>
  <c r="N44" i="3"/>
  <c r="F44" i="3" s="1"/>
  <c r="N45" i="3"/>
  <c r="F45" i="3"/>
  <c r="H356" i="3" s="1"/>
  <c r="J356" i="3" s="1"/>
  <c r="N46" i="3"/>
  <c r="F46" i="3" s="1"/>
  <c r="N47" i="3"/>
  <c r="F47" i="3" s="1"/>
  <c r="N48" i="3"/>
  <c r="F48" i="3" s="1"/>
  <c r="N49" i="3"/>
  <c r="F49" i="3" s="1"/>
  <c r="H360" i="3" s="1"/>
  <c r="J360" i="3" s="1"/>
  <c r="N50" i="3"/>
  <c r="F50" i="3" s="1"/>
  <c r="N51" i="3"/>
  <c r="F51" i="3"/>
  <c r="H362" i="3" s="1"/>
  <c r="J362" i="3" s="1"/>
  <c r="N52" i="3"/>
  <c r="F52" i="3"/>
  <c r="H363" i="3" s="1"/>
  <c r="J363" i="3" s="1"/>
  <c r="N53" i="3"/>
  <c r="F53" i="3" s="1"/>
  <c r="N54" i="3"/>
  <c r="F54" i="3" s="1"/>
  <c r="H365" i="3" s="1"/>
  <c r="J365" i="3" s="1"/>
  <c r="N55" i="3"/>
  <c r="F55" i="3" s="1"/>
  <c r="H366" i="3" s="1"/>
  <c r="J366" i="3" s="1"/>
  <c r="N56" i="3"/>
  <c r="F56" i="3" s="1"/>
  <c r="N57" i="3"/>
  <c r="F57" i="3" s="1"/>
  <c r="N58" i="3"/>
  <c r="F58" i="3" s="1"/>
  <c r="H369" i="3" s="1"/>
  <c r="J369" i="3" s="1"/>
  <c r="N59" i="3"/>
  <c r="F59" i="3" s="1"/>
  <c r="N60" i="3"/>
  <c r="F60" i="3" s="1"/>
  <c r="N61" i="3"/>
  <c r="F61" i="3" s="1"/>
  <c r="H372" i="3" s="1"/>
  <c r="J372" i="3" s="1"/>
  <c r="N62" i="3"/>
  <c r="F62" i="3" s="1"/>
  <c r="N63" i="3"/>
  <c r="F63" i="3" s="1"/>
  <c r="N64" i="3"/>
  <c r="F64" i="3" s="1"/>
  <c r="N65" i="3"/>
  <c r="F65" i="3" s="1"/>
  <c r="N66" i="3"/>
  <c r="F66" i="3" s="1"/>
  <c r="N67" i="3"/>
  <c r="F67" i="3" s="1"/>
  <c r="H378" i="3" s="1"/>
  <c r="J378" i="3" s="1"/>
  <c r="N68" i="3"/>
  <c r="F68" i="3" s="1"/>
  <c r="N69" i="3"/>
  <c r="F69" i="3" s="1"/>
  <c r="N70" i="3"/>
  <c r="F70" i="3" s="1"/>
  <c r="N71" i="3"/>
  <c r="F71" i="3" s="1"/>
  <c r="N72" i="3"/>
  <c r="F72" i="3" s="1"/>
  <c r="H383" i="3" s="1"/>
  <c r="J383" i="3" s="1"/>
  <c r="N73" i="3"/>
  <c r="F73" i="3" s="1"/>
  <c r="H384" i="3" s="1"/>
  <c r="J384" i="3" s="1"/>
  <c r="N74" i="3"/>
  <c r="F74" i="3" s="1"/>
  <c r="N75" i="3"/>
  <c r="F75" i="3" s="1"/>
  <c r="N76" i="3"/>
  <c r="F76" i="3" s="1"/>
  <c r="N77" i="3"/>
  <c r="F77" i="3" s="1"/>
  <c r="N78" i="3"/>
  <c r="F78" i="3"/>
  <c r="H389" i="3" s="1"/>
  <c r="J389" i="3" s="1"/>
  <c r="N79" i="3"/>
  <c r="F79" i="3"/>
  <c r="H390" i="3" s="1"/>
  <c r="J390" i="3" s="1"/>
  <c r="N80" i="3"/>
  <c r="F80" i="3" s="1"/>
  <c r="N81" i="3"/>
  <c r="F81" i="3" s="1"/>
  <c r="H392" i="3" s="1"/>
  <c r="J392" i="3" s="1"/>
  <c r="N82" i="3"/>
  <c r="F82" i="3" s="1"/>
  <c r="N83" i="3"/>
  <c r="F83" i="3" s="1"/>
  <c r="N84" i="3"/>
  <c r="F84" i="3" s="1"/>
  <c r="N85" i="3"/>
  <c r="F85" i="3" s="1"/>
  <c r="H396" i="3" s="1"/>
  <c r="J396" i="3" s="1"/>
  <c r="N86" i="3"/>
  <c r="F86" i="3" s="1"/>
  <c r="N87" i="3"/>
  <c r="F87" i="3"/>
  <c r="H398" i="3" s="1"/>
  <c r="N88" i="3"/>
  <c r="F88" i="3"/>
  <c r="H399" i="3" s="1"/>
  <c r="J399" i="3" s="1"/>
  <c r="N89" i="3"/>
  <c r="F89" i="3" s="1"/>
  <c r="N90" i="3"/>
  <c r="F90" i="3" s="1"/>
  <c r="H401" i="3" s="1"/>
  <c r="J401" i="3" s="1"/>
  <c r="N91" i="3"/>
  <c r="F91" i="3" s="1"/>
  <c r="H402" i="3" s="1"/>
  <c r="J402" i="3" s="1"/>
  <c r="N92" i="3"/>
  <c r="F92" i="3" s="1"/>
  <c r="N93" i="3"/>
  <c r="F93" i="3" s="1"/>
  <c r="H404" i="3" s="1"/>
  <c r="J404" i="3" s="1"/>
  <c r="N94" i="3"/>
  <c r="F94" i="3" s="1"/>
  <c r="H405" i="3" s="1"/>
  <c r="J405" i="3" s="1"/>
  <c r="N95" i="3"/>
  <c r="F95" i="3" s="1"/>
  <c r="N96" i="3"/>
  <c r="F96" i="3" s="1"/>
  <c r="N97" i="3"/>
  <c r="F97" i="3" s="1"/>
  <c r="H408" i="3" s="1"/>
  <c r="J408" i="3" s="1"/>
  <c r="N98" i="3"/>
  <c r="F98" i="3" s="1"/>
  <c r="F99" i="3"/>
  <c r="H410" i="3" s="1"/>
  <c r="J410" i="3" s="1"/>
  <c r="N100" i="3"/>
  <c r="F100" i="3" s="1"/>
  <c r="N101" i="3"/>
  <c r="F101" i="3" s="1"/>
  <c r="N102" i="3"/>
  <c r="F102" i="3"/>
  <c r="H413" i="3" s="1"/>
  <c r="J413" i="3" s="1"/>
  <c r="N103" i="3"/>
  <c r="F103" i="3" s="1"/>
  <c r="N104" i="3"/>
  <c r="F104" i="3" s="1"/>
  <c r="H415" i="3" s="1"/>
  <c r="J415" i="3" s="1"/>
  <c r="N105" i="3"/>
  <c r="F105" i="3" s="1"/>
  <c r="N106" i="3"/>
  <c r="F106" i="3" s="1"/>
  <c r="N107" i="3"/>
  <c r="F107" i="3" s="1"/>
  <c r="N108" i="3"/>
  <c r="F108" i="3" s="1"/>
  <c r="N109" i="3"/>
  <c r="F109" i="3" s="1"/>
  <c r="N110" i="3"/>
  <c r="F110" i="3" s="1"/>
  <c r="H421" i="3" s="1"/>
  <c r="J421" i="3" s="1"/>
  <c r="N111" i="3"/>
  <c r="F111" i="3" s="1"/>
  <c r="N112" i="3"/>
  <c r="F112" i="3" s="1"/>
  <c r="N113" i="3"/>
  <c r="F113" i="3" s="1"/>
  <c r="N114" i="3"/>
  <c r="F114" i="3"/>
  <c r="H425" i="3" s="1"/>
  <c r="J425" i="3" s="1"/>
  <c r="N115" i="3"/>
  <c r="F115" i="3" s="1"/>
  <c r="N116" i="3"/>
  <c r="F116" i="3" s="1"/>
  <c r="AD116" i="3" s="1"/>
  <c r="N117" i="3"/>
  <c r="F117" i="3" s="1"/>
  <c r="N118" i="3"/>
  <c r="F118" i="3" s="1"/>
  <c r="N119" i="3"/>
  <c r="F119" i="3" s="1"/>
  <c r="N120" i="3"/>
  <c r="F120" i="3" s="1"/>
  <c r="H431" i="3" s="1"/>
  <c r="J431" i="3" s="1"/>
  <c r="N121" i="3"/>
  <c r="F121" i="3" s="1"/>
  <c r="N122" i="3"/>
  <c r="F122" i="3" s="1"/>
  <c r="H433" i="3" s="1"/>
  <c r="J433" i="3" s="1"/>
  <c r="N123" i="3"/>
  <c r="F123" i="3" s="1"/>
  <c r="N124" i="3"/>
  <c r="F124" i="3" s="1"/>
  <c r="N125" i="3"/>
  <c r="F125" i="3" s="1"/>
  <c r="N126" i="3"/>
  <c r="F126" i="3" s="1"/>
  <c r="H437" i="3" s="1"/>
  <c r="N127" i="3"/>
  <c r="F127" i="3" s="1"/>
  <c r="N128" i="3"/>
  <c r="F128" i="3" s="1"/>
  <c r="N129" i="3"/>
  <c r="F129" i="3" s="1"/>
  <c r="H440" i="3" s="1"/>
  <c r="J440" i="3" s="1"/>
  <c r="N130" i="3"/>
  <c r="F130" i="3" s="1"/>
  <c r="N131" i="3"/>
  <c r="F131" i="3" s="1"/>
  <c r="N132" i="3"/>
  <c r="F132" i="3" s="1"/>
  <c r="N133" i="3"/>
  <c r="F133" i="3" s="1"/>
  <c r="N134" i="3"/>
  <c r="F134" i="3" s="1"/>
  <c r="H445" i="3" s="1"/>
  <c r="J445" i="3" s="1"/>
  <c r="N135" i="3"/>
  <c r="F135" i="3" s="1"/>
  <c r="N136" i="3"/>
  <c r="F136" i="3" s="1"/>
  <c r="N137" i="3"/>
  <c r="F137" i="3" s="1"/>
  <c r="N138" i="3"/>
  <c r="F138" i="3" s="1"/>
  <c r="H449" i="3" s="1"/>
  <c r="J449" i="3" s="1"/>
  <c r="N139" i="3"/>
  <c r="F139" i="3" s="1"/>
  <c r="N140" i="3"/>
  <c r="F140" i="3" s="1"/>
  <c r="H451" i="3" s="1"/>
  <c r="J451" i="3" s="1"/>
  <c r="N141" i="3"/>
  <c r="F141" i="3" s="1"/>
  <c r="N142" i="3"/>
  <c r="F142" i="3" s="1"/>
  <c r="N143" i="3"/>
  <c r="F143" i="3" s="1"/>
  <c r="N144" i="3"/>
  <c r="F144" i="3" s="1"/>
  <c r="H455" i="3" s="1"/>
  <c r="J455" i="3" s="1"/>
  <c r="N145" i="3"/>
  <c r="F145" i="3" s="1"/>
  <c r="N146" i="3"/>
  <c r="F146" i="3"/>
  <c r="H457" i="3" s="1"/>
  <c r="J457" i="3" s="1"/>
  <c r="N147" i="3"/>
  <c r="F147" i="3"/>
  <c r="H458" i="3" s="1"/>
  <c r="J458" i="3" s="1"/>
  <c r="N148" i="3"/>
  <c r="F148" i="3" s="1"/>
  <c r="N149" i="3"/>
  <c r="F149" i="3" s="1"/>
  <c r="N150" i="3"/>
  <c r="F150" i="3"/>
  <c r="H461" i="3" s="1"/>
  <c r="J461" i="3" s="1"/>
  <c r="N151" i="3"/>
  <c r="F151" i="3" s="1"/>
  <c r="N152" i="3"/>
  <c r="F152" i="3" s="1"/>
  <c r="H463" i="3" s="1"/>
  <c r="J463" i="3" s="1"/>
  <c r="N153" i="3"/>
  <c r="F153" i="3"/>
  <c r="H464" i="3" s="1"/>
  <c r="J464" i="3" s="1"/>
  <c r="N154" i="3"/>
  <c r="F154" i="3" s="1"/>
  <c r="N155" i="3"/>
  <c r="F155" i="3" s="1"/>
  <c r="N156" i="3"/>
  <c r="F156" i="3" s="1"/>
  <c r="N157" i="3"/>
  <c r="F157" i="3" s="1"/>
  <c r="N158" i="3"/>
  <c r="F158" i="3" s="1"/>
  <c r="H469" i="3" s="1"/>
  <c r="J469" i="3" s="1"/>
  <c r="N159" i="3"/>
  <c r="F159" i="3" s="1"/>
  <c r="N160" i="3"/>
  <c r="F160" i="3" s="1"/>
  <c r="N161" i="3"/>
  <c r="F161" i="3" s="1"/>
  <c r="N162" i="3"/>
  <c r="F162" i="3"/>
  <c r="H473" i="3" s="1"/>
  <c r="J473" i="3" s="1"/>
  <c r="N163" i="3"/>
  <c r="F163" i="3" s="1"/>
  <c r="N164" i="3"/>
  <c r="F164" i="3" s="1"/>
  <c r="H475" i="3" s="1"/>
  <c r="J475" i="3" s="1"/>
  <c r="N165" i="3"/>
  <c r="F165" i="3" s="1"/>
  <c r="N166" i="3"/>
  <c r="F166" i="3" s="1"/>
  <c r="N167" i="3"/>
  <c r="F167" i="3" s="1"/>
  <c r="N168" i="3"/>
  <c r="F168" i="3" s="1"/>
  <c r="H479" i="3" s="1"/>
  <c r="J479" i="3" s="1"/>
  <c r="N169" i="3"/>
  <c r="F169" i="3" s="1"/>
  <c r="N170" i="3"/>
  <c r="F170" i="3" s="1"/>
  <c r="H481" i="3" s="1"/>
  <c r="J481" i="3" s="1"/>
  <c r="N171" i="3"/>
  <c r="F171" i="3" s="1"/>
  <c r="H482" i="3" s="1"/>
  <c r="J482" i="3" s="1"/>
  <c r="N172" i="3"/>
  <c r="F172" i="3" s="1"/>
  <c r="N173" i="3"/>
  <c r="F173" i="3" s="1"/>
  <c r="N174" i="3"/>
  <c r="F174" i="3" s="1"/>
  <c r="H485" i="3" s="1"/>
  <c r="J485" i="3" s="1"/>
  <c r="N175" i="3"/>
  <c r="F175" i="3" s="1"/>
  <c r="N176" i="3"/>
  <c r="F176" i="3" s="1"/>
  <c r="H487" i="3" s="1"/>
  <c r="J487" i="3" s="1"/>
  <c r="N177" i="3"/>
  <c r="F177" i="3" s="1"/>
  <c r="N178" i="3"/>
  <c r="F178" i="3" s="1"/>
  <c r="N179" i="3"/>
  <c r="F179" i="3" s="1"/>
  <c r="N180" i="3"/>
  <c r="F180" i="3" s="1"/>
  <c r="N181" i="3"/>
  <c r="F181" i="3" s="1"/>
  <c r="N182" i="3"/>
  <c r="F182" i="3" s="1"/>
  <c r="N183" i="3"/>
  <c r="F183" i="3" s="1"/>
  <c r="N184" i="3"/>
  <c r="F184" i="3" s="1"/>
  <c r="H505" i="3"/>
  <c r="J505" i="3" s="1"/>
  <c r="H511" i="3"/>
  <c r="J511" i="3" s="1"/>
  <c r="H532" i="3"/>
  <c r="J532" i="3" s="1"/>
  <c r="H533" i="3"/>
  <c r="J533" i="3" s="1"/>
  <c r="AD223" i="3"/>
  <c r="H537" i="3"/>
  <c r="H539" i="3"/>
  <c r="H549" i="3"/>
  <c r="J549" i="3" s="1"/>
  <c r="H550" i="3"/>
  <c r="J550" i="3" s="1"/>
  <c r="H551" i="3"/>
  <c r="J551" i="3" s="1"/>
  <c r="H552" i="3"/>
  <c r="J552" i="3" s="1"/>
  <c r="H553" i="3"/>
  <c r="J553" i="3" s="1"/>
  <c r="H554" i="3"/>
  <c r="J554" i="3"/>
  <c r="H555" i="3"/>
  <c r="J555" i="3"/>
  <c r="H556" i="3"/>
  <c r="J556" i="3"/>
  <c r="H557" i="3"/>
  <c r="J557" i="3"/>
  <c r="H558" i="3"/>
  <c r="J558" i="3"/>
  <c r="H559" i="3"/>
  <c r="J559" i="3"/>
  <c r="H560" i="3"/>
  <c r="J560" i="3"/>
  <c r="H561" i="3"/>
  <c r="J561" i="3"/>
  <c r="H562" i="3"/>
  <c r="J562" i="3"/>
  <c r="H563" i="3"/>
  <c r="J563" i="3"/>
  <c r="H564" i="3"/>
  <c r="J564" i="3" s="1"/>
  <c r="H565" i="3"/>
  <c r="J565" i="3" s="1"/>
  <c r="H566" i="3"/>
  <c r="J566" i="3"/>
  <c r="H567" i="3"/>
  <c r="J567" i="3"/>
  <c r="H568" i="3"/>
  <c r="J568" i="3" s="1"/>
  <c r="H569" i="3"/>
  <c r="J569" i="3" s="1"/>
  <c r="H570" i="3"/>
  <c r="J570" i="3"/>
  <c r="H571" i="3"/>
  <c r="J571" i="3" s="1"/>
  <c r="H572" i="3"/>
  <c r="J572" i="3" s="1"/>
  <c r="H573" i="3"/>
  <c r="J573" i="3"/>
  <c r="H574" i="3"/>
  <c r="J574" i="3" s="1"/>
  <c r="H575" i="3"/>
  <c r="J575" i="3" s="1"/>
  <c r="H576" i="3"/>
  <c r="J576" i="3"/>
  <c r="H577" i="3"/>
  <c r="J577" i="3"/>
  <c r="H578" i="3"/>
  <c r="J578" i="3"/>
  <c r="H579" i="3"/>
  <c r="J579" i="3"/>
  <c r="H580" i="3"/>
  <c r="J580" i="3"/>
  <c r="H581" i="3"/>
  <c r="J581" i="3" s="1"/>
  <c r="H582" i="3"/>
  <c r="J582" i="3"/>
  <c r="H583" i="3"/>
  <c r="J583" i="3" s="1"/>
  <c r="H584" i="3"/>
  <c r="J584" i="3"/>
  <c r="H585" i="3"/>
  <c r="J585" i="3" s="1"/>
  <c r="H586" i="3"/>
  <c r="J586" i="3"/>
  <c r="H587" i="3"/>
  <c r="J587" i="3" s="1"/>
  <c r="H588" i="3"/>
  <c r="J588" i="3" s="1"/>
  <c r="H589" i="3"/>
  <c r="J589" i="3"/>
  <c r="H590" i="3"/>
  <c r="J590" i="3" s="1"/>
  <c r="H591" i="3"/>
  <c r="J591" i="3"/>
  <c r="H592" i="3"/>
  <c r="J592" i="3" s="1"/>
  <c r="H593" i="3"/>
  <c r="J593" i="3"/>
  <c r="H594" i="3"/>
  <c r="J594" i="3" s="1"/>
  <c r="H595" i="3"/>
  <c r="J595" i="3"/>
  <c r="H596" i="3"/>
  <c r="J596" i="3"/>
  <c r="H597" i="3"/>
  <c r="J597" i="3"/>
  <c r="H598" i="3"/>
  <c r="J598" i="3"/>
  <c r="H599" i="3"/>
  <c r="J599" i="3"/>
  <c r="H600" i="3"/>
  <c r="J600" i="3" s="1"/>
  <c r="H601" i="3"/>
  <c r="J601" i="3" s="1"/>
  <c r="H602" i="3"/>
  <c r="J602" i="3"/>
  <c r="H603" i="3"/>
  <c r="J603" i="3" s="1"/>
  <c r="H604" i="3"/>
  <c r="J604" i="3"/>
  <c r="H605" i="3"/>
  <c r="J605" i="3" s="1"/>
  <c r="H606" i="3"/>
  <c r="J606" i="3"/>
  <c r="H607" i="3"/>
  <c r="J607" i="3" s="1"/>
  <c r="H608" i="3"/>
  <c r="J608" i="3"/>
  <c r="H609" i="3"/>
  <c r="J609" i="3" s="1"/>
  <c r="H610" i="3"/>
  <c r="J610" i="3"/>
  <c r="H611" i="3"/>
  <c r="J611" i="3" s="1"/>
  <c r="H612" i="3"/>
  <c r="J612" i="3"/>
  <c r="H613" i="3"/>
  <c r="J613" i="3" s="1"/>
  <c r="H614" i="3"/>
  <c r="J614" i="3"/>
  <c r="H615" i="3"/>
  <c r="J615" i="3"/>
  <c r="H616" i="3"/>
  <c r="J616" i="3"/>
  <c r="H617" i="3"/>
  <c r="J617" i="3"/>
  <c r="H618" i="3"/>
  <c r="J618" i="3"/>
  <c r="H619" i="3"/>
  <c r="J619" i="3" s="1"/>
  <c r="H620" i="3"/>
  <c r="J620" i="3" s="1"/>
  <c r="H621" i="3"/>
  <c r="J621" i="3"/>
  <c r="H622" i="3"/>
  <c r="J622" i="3" s="1"/>
  <c r="H623" i="3"/>
  <c r="J623" i="3" s="1"/>
  <c r="H624" i="3"/>
  <c r="J624" i="3"/>
  <c r="AD78" i="3"/>
  <c r="AF389" i="3" s="1"/>
  <c r="AI389" i="3" s="1"/>
  <c r="AD38" i="3"/>
  <c r="AF349" i="3" s="1"/>
  <c r="AI349" i="3" s="1"/>
  <c r="AD37" i="3"/>
  <c r="AD36" i="3"/>
  <c r="AF347" i="3" s="1"/>
  <c r="AI347" i="3" s="1"/>
  <c r="AD35" i="3"/>
  <c r="AF346" i="3" s="1"/>
  <c r="AI346" i="3" s="1"/>
  <c r="AD34" i="3"/>
  <c r="AD33" i="3"/>
  <c r="AF344" i="3" s="1"/>
  <c r="AI344" i="3" s="1"/>
  <c r="AD32" i="3"/>
  <c r="AF343" i="3" s="1"/>
  <c r="AI343" i="3" s="1"/>
  <c r="AD31" i="3"/>
  <c r="AF342" i="3" s="1"/>
  <c r="AI342" i="3" s="1"/>
  <c r="AD30" i="3"/>
  <c r="AD29" i="3"/>
  <c r="AD28" i="3"/>
  <c r="AF339" i="3" s="1"/>
  <c r="AI339" i="3" s="1"/>
  <c r="AD27" i="3"/>
  <c r="AD26" i="3"/>
  <c r="AF337" i="3" s="1"/>
  <c r="AI337" i="3" s="1"/>
  <c r="AD25" i="3"/>
  <c r="AF336" i="3" s="1"/>
  <c r="AI336" i="3" s="1"/>
  <c r="AD24" i="3"/>
  <c r="AD23" i="3"/>
  <c r="AF334" i="3" s="1"/>
  <c r="AI334" i="3" s="1"/>
  <c r="AD22" i="3"/>
  <c r="AF333" i="3" s="1"/>
  <c r="AI333" i="3" s="1"/>
  <c r="AD21" i="3"/>
  <c r="AD20" i="3"/>
  <c r="AF331" i="3" s="1"/>
  <c r="AI331" i="3" s="1"/>
  <c r="AD19" i="3"/>
  <c r="AF330" i="3" s="1"/>
  <c r="AI330" i="3" s="1"/>
  <c r="AD18" i="3"/>
  <c r="AD17" i="3"/>
  <c r="AF328" i="3" s="1"/>
  <c r="AI328" i="3" s="1"/>
  <c r="AD16" i="3"/>
  <c r="AF327" i="3" s="1"/>
  <c r="AI327" i="3" s="1"/>
  <c r="AD15" i="3"/>
  <c r="AF326" i="3" s="1"/>
  <c r="AI326" i="3" s="1"/>
  <c r="AD14" i="3"/>
  <c r="AF325" i="3" s="1"/>
  <c r="AI325" i="3" s="1"/>
  <c r="AD13" i="3"/>
  <c r="AF324" i="3" s="1"/>
  <c r="AI324" i="3" s="1"/>
  <c r="AD12" i="3"/>
  <c r="AF323" i="3" s="1"/>
  <c r="AI323" i="3" s="1"/>
  <c r="AD11" i="3"/>
  <c r="AD10" i="3"/>
  <c r="AD114" i="3"/>
  <c r="AF425" i="3" s="1"/>
  <c r="AI425" i="3" s="1"/>
  <c r="AD150" i="3"/>
  <c r="AF461" i="3" s="1"/>
  <c r="AI461" i="3" s="1"/>
  <c r="N99" i="3"/>
  <c r="H541" i="3"/>
  <c r="J541" i="3" s="1"/>
  <c r="H545" i="3"/>
  <c r="J545" i="3" s="1"/>
  <c r="H547" i="3"/>
  <c r="J547" i="3" s="1"/>
  <c r="AM48" i="3"/>
  <c r="AF532" i="3"/>
  <c r="AI532" i="3" s="1"/>
  <c r="AD228" i="3"/>
  <c r="AD238" i="3"/>
  <c r="AF549" i="3" s="1"/>
  <c r="AI549" i="3" s="1"/>
  <c r="AD239" i="3"/>
  <c r="AF550" i="3" s="1"/>
  <c r="AI550" i="3" s="1"/>
  <c r="AD240" i="3"/>
  <c r="AF551" i="3" s="1"/>
  <c r="AI551" i="3" s="1"/>
  <c r="AD241" i="3"/>
  <c r="AF552" i="3" s="1"/>
  <c r="AI552" i="3" s="1"/>
  <c r="AD242" i="3"/>
  <c r="AF553" i="3"/>
  <c r="AI553" i="3"/>
  <c r="AD243" i="3"/>
  <c r="AF554" i="3" s="1"/>
  <c r="AI554" i="3" s="1"/>
  <c r="AD244" i="3"/>
  <c r="AF555" i="3"/>
  <c r="AI555" i="3" s="1"/>
  <c r="AD245" i="3"/>
  <c r="AF556" i="3"/>
  <c r="AI556" i="3"/>
  <c r="AD246" i="3"/>
  <c r="AF557" i="3" s="1"/>
  <c r="AI557" i="3" s="1"/>
  <c r="AD247" i="3"/>
  <c r="AF558" i="3" s="1"/>
  <c r="AI558" i="3" s="1"/>
  <c r="AD248" i="3"/>
  <c r="AF559" i="3"/>
  <c r="AI559" i="3" s="1"/>
  <c r="AD249" i="3"/>
  <c r="AF560" i="3"/>
  <c r="AI560" i="3"/>
  <c r="AD250" i="3"/>
  <c r="AF561" i="3" s="1"/>
  <c r="AI561" i="3" s="1"/>
  <c r="AD251" i="3"/>
  <c r="AF562" i="3" s="1"/>
  <c r="AI562" i="3" s="1"/>
  <c r="AD252" i="3"/>
  <c r="AD253" i="3"/>
  <c r="AD254" i="3"/>
  <c r="AF565" i="3" s="1"/>
  <c r="AI565" i="3" s="1"/>
  <c r="AD255" i="3"/>
  <c r="AD256" i="3"/>
  <c r="AF567" i="3" s="1"/>
  <c r="AI567" i="3" s="1"/>
  <c r="AD257" i="3"/>
  <c r="AF568" i="3" s="1"/>
  <c r="AI568" i="3" s="1"/>
  <c r="AD258" i="3"/>
  <c r="AF569" i="3" s="1"/>
  <c r="AI569" i="3" s="1"/>
  <c r="AD259" i="3"/>
  <c r="AF570" i="3" s="1"/>
  <c r="AI570" i="3" s="1"/>
  <c r="AD260" i="3"/>
  <c r="AD261" i="3"/>
  <c r="AD262" i="3"/>
  <c r="AF573" i="3" s="1"/>
  <c r="AI573" i="3" s="1"/>
  <c r="AD263" i="3"/>
  <c r="AD264" i="3"/>
  <c r="AD265" i="3"/>
  <c r="AF576" i="3" s="1"/>
  <c r="AI576" i="3" s="1"/>
  <c r="AD266" i="3"/>
  <c r="AF577" i="3" s="1"/>
  <c r="AI577" i="3" s="1"/>
  <c r="AD267" i="3"/>
  <c r="AD268" i="3"/>
  <c r="AF579" i="3" s="1"/>
  <c r="AI579" i="3" s="1"/>
  <c r="AD269" i="3"/>
  <c r="AF580" i="3" s="1"/>
  <c r="AI580" i="3" s="1"/>
  <c r="AD270" i="3"/>
  <c r="AF581" i="3" s="1"/>
  <c r="AI581" i="3" s="1"/>
  <c r="AD271" i="3"/>
  <c r="AD272" i="3"/>
  <c r="AD273" i="3"/>
  <c r="AF584" i="3" s="1"/>
  <c r="AI584" i="3" s="1"/>
  <c r="AD274" i="3"/>
  <c r="AF585" i="3" s="1"/>
  <c r="AI585" i="3" s="1"/>
  <c r="AD275" i="3"/>
  <c r="AD276" i="3"/>
  <c r="AD277" i="3"/>
  <c r="AF588" i="3" s="1"/>
  <c r="AI588" i="3" s="1"/>
  <c r="AD278" i="3"/>
  <c r="AF589" i="3" s="1"/>
  <c r="AI589" i="3" s="1"/>
  <c r="AD279" i="3"/>
  <c r="AD280" i="3"/>
  <c r="AF591" i="3" s="1"/>
  <c r="AI591" i="3" s="1"/>
  <c r="AD281" i="3"/>
  <c r="AD282" i="3"/>
  <c r="AF593" i="3" s="1"/>
  <c r="AI593" i="3" s="1"/>
  <c r="AD283" i="3"/>
  <c r="AD284" i="3"/>
  <c r="AD285" i="3"/>
  <c r="AD286" i="3"/>
  <c r="AF597" i="3" s="1"/>
  <c r="AI597" i="3" s="1"/>
  <c r="AD287" i="3"/>
  <c r="AD288" i="3"/>
  <c r="AF599" i="3" s="1"/>
  <c r="AI599" i="3" s="1"/>
  <c r="AD289" i="3"/>
  <c r="AF600" i="3" s="1"/>
  <c r="AI600" i="3" s="1"/>
  <c r="AD290" i="3"/>
  <c r="AF601" i="3" s="1"/>
  <c r="AI601" i="3" s="1"/>
  <c r="AD291" i="3"/>
  <c r="AD292" i="3"/>
  <c r="AD293" i="3"/>
  <c r="AD294" i="3"/>
  <c r="AF605" i="3" s="1"/>
  <c r="AI605" i="3" s="1"/>
  <c r="AD295" i="3"/>
  <c r="AD296" i="3"/>
  <c r="AD297" i="3"/>
  <c r="AF608" i="3" s="1"/>
  <c r="AI608" i="3" s="1"/>
  <c r="AD298" i="3"/>
  <c r="AF609" i="3" s="1"/>
  <c r="AI609" i="3" s="1"/>
  <c r="AD299" i="3"/>
  <c r="AD300" i="3"/>
  <c r="AD301" i="3"/>
  <c r="AF612" i="3" s="1"/>
  <c r="AI612" i="3" s="1"/>
  <c r="AD302" i="3"/>
  <c r="AF613" i="3" s="1"/>
  <c r="AI613" i="3" s="1"/>
  <c r="AD303" i="3"/>
  <c r="AD304" i="3"/>
  <c r="AD305" i="3"/>
  <c r="AF616" i="3" s="1"/>
  <c r="AI616" i="3" s="1"/>
  <c r="AD306" i="3"/>
  <c r="AF617" i="3" s="1"/>
  <c r="AI617" i="3" s="1"/>
  <c r="AD307" i="3"/>
  <c r="AF618" i="3"/>
  <c r="AI618" i="3" s="1"/>
  <c r="AD308" i="3"/>
  <c r="AF619" i="3" s="1"/>
  <c r="AI619" i="3" s="1"/>
  <c r="AD309" i="3"/>
  <c r="AF620" i="3" s="1"/>
  <c r="AI620" i="3" s="1"/>
  <c r="AD310" i="3"/>
  <c r="AD311" i="3"/>
  <c r="AD312" i="3"/>
  <c r="AF623" i="3"/>
  <c r="AI623" i="3" s="1"/>
  <c r="AD313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AI58" i="3"/>
  <c r="Y38" i="3"/>
  <c r="L38" i="3"/>
  <c r="Y37" i="3"/>
  <c r="L37" i="3"/>
  <c r="Y36" i="3"/>
  <c r="L36" i="3"/>
  <c r="Y35" i="3"/>
  <c r="L35" i="3"/>
  <c r="Y34" i="3"/>
  <c r="L34" i="3"/>
  <c r="Y33" i="3"/>
  <c r="L33" i="3"/>
  <c r="Y32" i="3"/>
  <c r="L32" i="3"/>
  <c r="Y31" i="3"/>
  <c r="L31" i="3"/>
  <c r="Y30" i="3"/>
  <c r="L30" i="3"/>
  <c r="Y29" i="3"/>
  <c r="L29" i="3"/>
  <c r="Y28" i="3"/>
  <c r="L28" i="3"/>
  <c r="Y27" i="3"/>
  <c r="L27" i="3"/>
  <c r="Y26" i="3"/>
  <c r="L26" i="3"/>
  <c r="Y25" i="3"/>
  <c r="L25" i="3"/>
  <c r="Y24" i="3"/>
  <c r="L24" i="3"/>
  <c r="Y23" i="3"/>
  <c r="L23" i="3"/>
  <c r="Y22" i="3"/>
  <c r="L22" i="3"/>
  <c r="Y21" i="3"/>
  <c r="L21" i="3"/>
  <c r="L20" i="3"/>
  <c r="AF604" i="3" l="1"/>
  <c r="AI604" i="3" s="1"/>
  <c r="AF596" i="3"/>
  <c r="AI596" i="3" s="1"/>
  <c r="AF592" i="3"/>
  <c r="AI592" i="3" s="1"/>
  <c r="AF572" i="3"/>
  <c r="AI572" i="3" s="1"/>
  <c r="AF564" i="3"/>
  <c r="AI564" i="3" s="1"/>
  <c r="AF566" i="3"/>
  <c r="AI566" i="3" s="1"/>
  <c r="AF622" i="3"/>
  <c r="AI622" i="3" s="1"/>
  <c r="AF615" i="3"/>
  <c r="AI615" i="3" s="1"/>
  <c r="AF611" i="3"/>
  <c r="AI611" i="3" s="1"/>
  <c r="AF607" i="3"/>
  <c r="AI607" i="3" s="1"/>
  <c r="AF603" i="3"/>
  <c r="AI603" i="3" s="1"/>
  <c r="AF595" i="3"/>
  <c r="AI595" i="3" s="1"/>
  <c r="AF587" i="3"/>
  <c r="AI587" i="3" s="1"/>
  <c r="AF583" i="3"/>
  <c r="AI583" i="3" s="1"/>
  <c r="AF575" i="3"/>
  <c r="AI575" i="3" s="1"/>
  <c r="AF571" i="3"/>
  <c r="AI571" i="3" s="1"/>
  <c r="AF563" i="3"/>
  <c r="AI563" i="3" s="1"/>
  <c r="AF624" i="3"/>
  <c r="AI624" i="3" s="1"/>
  <c r="AF621" i="3"/>
  <c r="AI621" i="3" s="1"/>
  <c r="AF614" i="3"/>
  <c r="AI614" i="3" s="1"/>
  <c r="AF610" i="3"/>
  <c r="AI610" i="3" s="1"/>
  <c r="AF606" i="3"/>
  <c r="AI606" i="3" s="1"/>
  <c r="AF602" i="3"/>
  <c r="AI602" i="3" s="1"/>
  <c r="AF598" i="3"/>
  <c r="AI598" i="3" s="1"/>
  <c r="AF594" i="3"/>
  <c r="AI594" i="3" s="1"/>
  <c r="AF590" i="3"/>
  <c r="AI590" i="3" s="1"/>
  <c r="AF586" i="3"/>
  <c r="AI586" i="3" s="1"/>
  <c r="AF582" i="3"/>
  <c r="AI582" i="3" s="1"/>
  <c r="AF578" i="3"/>
  <c r="AI578" i="3" s="1"/>
  <c r="AF574" i="3"/>
  <c r="AI574" i="3" s="1"/>
  <c r="H543" i="3"/>
  <c r="J543" i="3" s="1"/>
  <c r="AD232" i="3"/>
  <c r="AF543" i="3" s="1"/>
  <c r="AI543" i="3" s="1"/>
  <c r="H535" i="3"/>
  <c r="J535" i="3" s="1"/>
  <c r="AD224" i="3"/>
  <c r="AF535" i="3" s="1"/>
  <c r="AI535" i="3" s="1"/>
  <c r="H434" i="3"/>
  <c r="J434" i="3" s="1"/>
  <c r="AD123" i="3"/>
  <c r="AF434" i="3" s="1"/>
  <c r="AI434" i="3" s="1"/>
  <c r="AD208" i="3"/>
  <c r="H519" i="3"/>
  <c r="J519" i="3" s="1"/>
  <c r="H488" i="3"/>
  <c r="J488" i="3" s="1"/>
  <c r="AD177" i="3"/>
  <c r="H542" i="3"/>
  <c r="J542" i="3" s="1"/>
  <c r="AD231" i="3"/>
  <c r="H538" i="3"/>
  <c r="J538" i="3" s="1"/>
  <c r="AD227" i="3"/>
  <c r="H540" i="3"/>
  <c r="J540" i="3" s="1"/>
  <c r="AD229" i="3"/>
  <c r="AD198" i="3"/>
  <c r="H509" i="3"/>
  <c r="J509" i="3" s="1"/>
  <c r="H548" i="3"/>
  <c r="J548" i="3" s="1"/>
  <c r="AD237" i="3"/>
  <c r="AD235" i="3"/>
  <c r="H546" i="3"/>
  <c r="J546" i="3" s="1"/>
  <c r="H536" i="3"/>
  <c r="AD225" i="3"/>
  <c r="AF536" i="3" s="1"/>
  <c r="AI536" i="3" s="1"/>
  <c r="H395" i="3"/>
  <c r="J395" i="3" s="1"/>
  <c r="AD84" i="3"/>
  <c r="AF395" i="3" s="1"/>
  <c r="AI395" i="3" s="1"/>
  <c r="AD236" i="3"/>
  <c r="AF547" i="3" s="1"/>
  <c r="AI547" i="3" s="1"/>
  <c r="AD230" i="3"/>
  <c r="AF541" i="3" s="1"/>
  <c r="AI541" i="3" s="1"/>
  <c r="AD226" i="3"/>
  <c r="AD233" i="3"/>
  <c r="AF544" i="3" s="1"/>
  <c r="AI544" i="3" s="1"/>
  <c r="AD153" i="3"/>
  <c r="AF464" i="3" s="1"/>
  <c r="AI464" i="3" s="1"/>
  <c r="H508" i="3"/>
  <c r="J508" i="3" s="1"/>
  <c r="AD188" i="3"/>
  <c r="AD234" i="3"/>
  <c r="T545" i="3"/>
  <c r="V545" i="3" s="1"/>
  <c r="T440" i="3"/>
  <c r="V440" i="3" s="1"/>
  <c r="AD129" i="3"/>
  <c r="AF440" i="3" s="1"/>
  <c r="AI440" i="3" s="1"/>
  <c r="H467" i="3"/>
  <c r="J467" i="3" s="1"/>
  <c r="AD156" i="3"/>
  <c r="H377" i="3"/>
  <c r="J377" i="3" s="1"/>
  <c r="AD66" i="3"/>
  <c r="H350" i="3"/>
  <c r="J350" i="3" s="1"/>
  <c r="AD39" i="3"/>
  <c r="T473" i="3"/>
  <c r="V473" i="3" s="1"/>
  <c r="AD162" i="3"/>
  <c r="AF473" i="3" s="1"/>
  <c r="AI473" i="3" s="1"/>
  <c r="AD189" i="3"/>
  <c r="H500" i="3"/>
  <c r="J500" i="3" s="1"/>
  <c r="H476" i="3"/>
  <c r="J476" i="3" s="1"/>
  <c r="AD165" i="3"/>
  <c r="H387" i="3"/>
  <c r="J387" i="3" s="1"/>
  <c r="AD76" i="3"/>
  <c r="H359" i="3"/>
  <c r="J359" i="3" s="1"/>
  <c r="AD48" i="3"/>
  <c r="T482" i="3"/>
  <c r="V482" i="3" s="1"/>
  <c r="AD171" i="3"/>
  <c r="AF482" i="3" s="1"/>
  <c r="AI482" i="3" s="1"/>
  <c r="H386" i="3"/>
  <c r="J386" i="3" s="1"/>
  <c r="AD75" i="3"/>
  <c r="H375" i="3"/>
  <c r="J375" i="3" s="1"/>
  <c r="AD64" i="3"/>
  <c r="AF375" i="3" s="1"/>
  <c r="AI375" i="3" s="1"/>
  <c r="H374" i="3"/>
  <c r="J374" i="3" s="1"/>
  <c r="AD63" i="3"/>
  <c r="H357" i="3"/>
  <c r="J357" i="3" s="1"/>
  <c r="AD46" i="3"/>
  <c r="AD195" i="3"/>
  <c r="H506" i="3"/>
  <c r="AD180" i="3"/>
  <c r="H491" i="3"/>
  <c r="J491" i="3" s="1"/>
  <c r="H446" i="3"/>
  <c r="J446" i="3" s="1"/>
  <c r="AD135" i="3"/>
  <c r="H419" i="3"/>
  <c r="J419" i="3" s="1"/>
  <c r="AD108" i="3"/>
  <c r="H504" i="3"/>
  <c r="J504" i="3" s="1"/>
  <c r="AD193" i="3"/>
  <c r="H422" i="3"/>
  <c r="J422" i="3" s="1"/>
  <c r="AD111" i="3"/>
  <c r="AF422" i="3" s="1"/>
  <c r="AI422" i="3" s="1"/>
  <c r="H428" i="3"/>
  <c r="J428" i="3" s="1"/>
  <c r="AD117" i="3"/>
  <c r="H351" i="3"/>
  <c r="J351" i="3" s="1"/>
  <c r="AD40" i="3"/>
  <c r="H494" i="3"/>
  <c r="J494" i="3" s="1"/>
  <c r="AD183" i="3"/>
  <c r="H393" i="3"/>
  <c r="J393" i="3" s="1"/>
  <c r="AD82" i="3"/>
  <c r="H416" i="3"/>
  <c r="J416" i="3" s="1"/>
  <c r="AD105" i="3"/>
  <c r="H407" i="3"/>
  <c r="J407" i="3" s="1"/>
  <c r="AD96" i="3"/>
  <c r="AF407" i="3" s="1"/>
  <c r="AI407" i="3" s="1"/>
  <c r="H371" i="3"/>
  <c r="J371" i="3" s="1"/>
  <c r="AD60" i="3"/>
  <c r="T401" i="3"/>
  <c r="V401" i="3" s="1"/>
  <c r="AD90" i="3"/>
  <c r="T410" i="3"/>
  <c r="V410" i="3" s="1"/>
  <c r="AD99" i="3"/>
  <c r="AF410" i="3" s="1"/>
  <c r="AI410" i="3" s="1"/>
  <c r="T365" i="3"/>
  <c r="V365" i="3" s="1"/>
  <c r="AD54" i="3"/>
  <c r="AD202" i="3"/>
  <c r="H513" i="3"/>
  <c r="J513" i="3" s="1"/>
  <c r="H368" i="3"/>
  <c r="J368" i="3" s="1"/>
  <c r="AD57" i="3"/>
  <c r="AF368" i="3" s="1"/>
  <c r="AI368" i="3" s="1"/>
  <c r="H452" i="3"/>
  <c r="J452" i="3" s="1"/>
  <c r="AD141" i="3"/>
  <c r="H380" i="3"/>
  <c r="J380" i="3" s="1"/>
  <c r="AD69" i="3"/>
  <c r="H353" i="3"/>
  <c r="J353" i="3" s="1"/>
  <c r="AD42" i="3"/>
  <c r="AD212" i="3"/>
  <c r="H523" i="3"/>
  <c r="J523" i="3" s="1"/>
  <c r="H470" i="3"/>
  <c r="J470" i="3" s="1"/>
  <c r="AD159" i="3"/>
  <c r="H443" i="3"/>
  <c r="J443" i="3" s="1"/>
  <c r="AD132" i="3"/>
  <c r="AF443" i="3" s="1"/>
  <c r="AI443" i="3" s="1"/>
  <c r="H381" i="3"/>
  <c r="J381" i="3" s="1"/>
  <c r="AD70" i="3"/>
  <c r="AD209" i="3"/>
  <c r="AF520" i="3" s="1"/>
  <c r="AI520" i="3" s="1"/>
  <c r="AD191" i="3"/>
  <c r="AF502" i="3" s="1"/>
  <c r="AI502" i="3" s="1"/>
  <c r="AD187" i="3"/>
  <c r="AF498" i="3" s="1"/>
  <c r="AI498" i="3" s="1"/>
  <c r="AF329" i="3"/>
  <c r="AI329" i="3" s="1"/>
  <c r="AD174" i="3"/>
  <c r="AF485" i="3" s="1"/>
  <c r="AI485" i="3" s="1"/>
  <c r="AD120" i="3"/>
  <c r="AF431" i="3" s="1"/>
  <c r="AI431" i="3" s="1"/>
  <c r="AD87" i="3"/>
  <c r="H515" i="3"/>
  <c r="J515" i="3" s="1"/>
  <c r="AF538" i="3"/>
  <c r="AI538" i="3" s="1"/>
  <c r="AD147" i="3"/>
  <c r="AF458" i="3" s="1"/>
  <c r="AI458" i="3" s="1"/>
  <c r="AD45" i="3"/>
  <c r="AF356" i="3" s="1"/>
  <c r="AI356" i="3" s="1"/>
  <c r="AD94" i="3"/>
  <c r="AF405" i="3" s="1"/>
  <c r="AI405" i="3" s="1"/>
  <c r="AF319" i="3"/>
  <c r="AI319" i="3" s="1"/>
  <c r="AJ319" i="3" s="1"/>
  <c r="BN319" i="3" s="1"/>
  <c r="AJ320" i="3" s="1"/>
  <c r="BN320" i="3" s="1"/>
  <c r="AF505" i="3"/>
  <c r="AI505" i="3" s="1"/>
  <c r="AD144" i="3"/>
  <c r="AF455" i="3" s="1"/>
  <c r="AI455" i="3" s="1"/>
  <c r="AF519" i="3"/>
  <c r="AI519" i="3" s="1"/>
  <c r="AD88" i="3"/>
  <c r="AF399" i="3" s="1"/>
  <c r="AI399" i="3" s="1"/>
  <c r="AF340" i="3"/>
  <c r="AI340" i="3" s="1"/>
  <c r="AD72" i="3"/>
  <c r="AD138" i="3"/>
  <c r="AF449" i="3" s="1"/>
  <c r="AI449" i="3" s="1"/>
  <c r="AD102" i="3"/>
  <c r="AF413" i="3" s="1"/>
  <c r="AI413" i="3" s="1"/>
  <c r="AF332" i="3"/>
  <c r="AI332" i="3" s="1"/>
  <c r="AD51" i="3"/>
  <c r="AF362" i="3" s="1"/>
  <c r="AI362" i="3" s="1"/>
  <c r="AD168" i="3"/>
  <c r="AF479" i="3" s="1"/>
  <c r="AI479" i="3" s="1"/>
  <c r="AF321" i="3"/>
  <c r="AI321" i="3" s="1"/>
  <c r="AF345" i="3"/>
  <c r="AI345" i="3" s="1"/>
  <c r="AD52" i="3"/>
  <c r="AF363" i="3" s="1"/>
  <c r="AI363" i="3" s="1"/>
  <c r="H525" i="3"/>
  <c r="J525" i="3" s="1"/>
  <c r="AF508" i="3"/>
  <c r="AI508" i="3" s="1"/>
  <c r="AF322" i="3"/>
  <c r="AI322" i="3" s="1"/>
  <c r="AF335" i="3"/>
  <c r="AI335" i="3" s="1"/>
  <c r="AD81" i="3"/>
  <c r="AF392" i="3" s="1"/>
  <c r="AI392" i="3" s="1"/>
  <c r="AD126" i="3"/>
  <c r="AF437" i="3" s="1"/>
  <c r="AI437" i="3" s="1"/>
  <c r="AF348" i="3"/>
  <c r="AI348" i="3" s="1"/>
  <c r="AD58" i="3"/>
  <c r="AF369" i="3" s="1"/>
  <c r="AI369" i="3" s="1"/>
  <c r="J539" i="3"/>
  <c r="AF539" i="3"/>
  <c r="AI539" i="3" s="1"/>
  <c r="H370" i="3"/>
  <c r="J370" i="3" s="1"/>
  <c r="AD59" i="3"/>
  <c r="H478" i="3"/>
  <c r="J478" i="3" s="1"/>
  <c r="AD167" i="3"/>
  <c r="H454" i="3"/>
  <c r="J454" i="3" s="1"/>
  <c r="AD143" i="3"/>
  <c r="H430" i="3"/>
  <c r="J430" i="3" s="1"/>
  <c r="AD119" i="3"/>
  <c r="H414" i="3"/>
  <c r="J414" i="3" s="1"/>
  <c r="AD103" i="3"/>
  <c r="J398" i="3"/>
  <c r="AF398" i="3"/>
  <c r="AI398" i="3" s="1"/>
  <c r="H391" i="3"/>
  <c r="J391" i="3" s="1"/>
  <c r="AD80" i="3"/>
  <c r="H355" i="3"/>
  <c r="J355" i="3" s="1"/>
  <c r="AD44" i="3"/>
  <c r="H516" i="3"/>
  <c r="J516" i="3" s="1"/>
  <c r="AD205" i="3"/>
  <c r="AD182" i="3"/>
  <c r="H477" i="3"/>
  <c r="J477" i="3" s="1"/>
  <c r="AD166" i="3"/>
  <c r="H453" i="3"/>
  <c r="J453" i="3" s="1"/>
  <c r="AD142" i="3"/>
  <c r="J437" i="3"/>
  <c r="H429" i="3"/>
  <c r="J429" i="3" s="1"/>
  <c r="AD118" i="3"/>
  <c r="H376" i="3"/>
  <c r="J376" i="3" s="1"/>
  <c r="AD65" i="3"/>
  <c r="AD219" i="3"/>
  <c r="H530" i="3"/>
  <c r="J530" i="3" s="1"/>
  <c r="H397" i="3"/>
  <c r="J397" i="3" s="1"/>
  <c r="AD86" i="3"/>
  <c r="H361" i="3"/>
  <c r="J361" i="3" s="1"/>
  <c r="AD50" i="3"/>
  <c r="H438" i="3"/>
  <c r="J438" i="3" s="1"/>
  <c r="AD127" i="3"/>
  <c r="AD222" i="3"/>
  <c r="H444" i="3"/>
  <c r="J444" i="3" s="1"/>
  <c r="AD133" i="3"/>
  <c r="H412" i="3"/>
  <c r="J412" i="3" s="1"/>
  <c r="AD101" i="3"/>
  <c r="H382" i="3"/>
  <c r="J382" i="3" s="1"/>
  <c r="AD71" i="3"/>
  <c r="AD218" i="3"/>
  <c r="H529" i="3"/>
  <c r="J529" i="3" s="1"/>
  <c r="H510" i="3"/>
  <c r="J510" i="3" s="1"/>
  <c r="AD199" i="3"/>
  <c r="H492" i="3"/>
  <c r="J492" i="3" s="1"/>
  <c r="AD181" i="3"/>
  <c r="H460" i="3"/>
  <c r="J460" i="3" s="1"/>
  <c r="AD149" i="3"/>
  <c r="H483" i="3"/>
  <c r="J483" i="3" s="1"/>
  <c r="AD172" i="3"/>
  <c r="AF483" i="3" s="1"/>
  <c r="AI483" i="3" s="1"/>
  <c r="H459" i="3"/>
  <c r="J459" i="3" s="1"/>
  <c r="AD148" i="3"/>
  <c r="H435" i="3"/>
  <c r="J435" i="3" s="1"/>
  <c r="AD124" i="3"/>
  <c r="H411" i="3"/>
  <c r="J411" i="3" s="1"/>
  <c r="AD100" i="3"/>
  <c r="H403" i="3"/>
  <c r="J403" i="3" s="1"/>
  <c r="AD92" i="3"/>
  <c r="H367" i="3"/>
  <c r="J367" i="3" s="1"/>
  <c r="AD56" i="3"/>
  <c r="AD210" i="3"/>
  <c r="H521" i="3"/>
  <c r="J521" i="3" s="1"/>
  <c r="AD151" i="3"/>
  <c r="H462" i="3"/>
  <c r="J462" i="3" s="1"/>
  <c r="H484" i="3"/>
  <c r="J484" i="3" s="1"/>
  <c r="AD173" i="3"/>
  <c r="H468" i="3"/>
  <c r="J468" i="3" s="1"/>
  <c r="AD157" i="3"/>
  <c r="H436" i="3"/>
  <c r="J436" i="3" s="1"/>
  <c r="AD125" i="3"/>
  <c r="H420" i="3"/>
  <c r="J420" i="3" s="1"/>
  <c r="AD109" i="3"/>
  <c r="AF537" i="3"/>
  <c r="AI537" i="3" s="1"/>
  <c r="J537" i="3"/>
  <c r="H388" i="3"/>
  <c r="J388" i="3" s="1"/>
  <c r="AD77" i="3"/>
  <c r="H352" i="3"/>
  <c r="J352" i="3" s="1"/>
  <c r="AD41" i="3"/>
  <c r="AD217" i="3"/>
  <c r="H528" i="3"/>
  <c r="J528" i="3" s="1"/>
  <c r="AD179" i="3"/>
  <c r="H490" i="3"/>
  <c r="J490" i="3" s="1"/>
  <c r="H474" i="3"/>
  <c r="J474" i="3" s="1"/>
  <c r="AD163" i="3"/>
  <c r="H466" i="3"/>
  <c r="J466" i="3" s="1"/>
  <c r="AD155" i="3"/>
  <c r="H450" i="3"/>
  <c r="J450" i="3" s="1"/>
  <c r="AD139" i="3"/>
  <c r="H442" i="3"/>
  <c r="J442" i="3" s="1"/>
  <c r="AD131" i="3"/>
  <c r="H426" i="3"/>
  <c r="J426" i="3" s="1"/>
  <c r="AD115" i="3"/>
  <c r="H418" i="3"/>
  <c r="J418" i="3" s="1"/>
  <c r="AD107" i="3"/>
  <c r="H409" i="3"/>
  <c r="J409" i="3" s="1"/>
  <c r="AD98" i="3"/>
  <c r="H373" i="3"/>
  <c r="J373" i="3" s="1"/>
  <c r="AD62" i="3"/>
  <c r="J536" i="3"/>
  <c r="H489" i="3"/>
  <c r="J489" i="3" s="1"/>
  <c r="AD178" i="3"/>
  <c r="H465" i="3"/>
  <c r="J465" i="3" s="1"/>
  <c r="AD154" i="3"/>
  <c r="H441" i="3"/>
  <c r="J441" i="3" s="1"/>
  <c r="AD130" i="3"/>
  <c r="H417" i="3"/>
  <c r="J417" i="3" s="1"/>
  <c r="AD106" i="3"/>
  <c r="H394" i="3"/>
  <c r="J394" i="3" s="1"/>
  <c r="AD83" i="3"/>
  <c r="AD47" i="3"/>
  <c r="H358" i="3"/>
  <c r="J358" i="3" s="1"/>
  <c r="H531" i="3"/>
  <c r="J531" i="3" s="1"/>
  <c r="AD220" i="3"/>
  <c r="AD207" i="3"/>
  <c r="H518" i="3"/>
  <c r="J518" i="3" s="1"/>
  <c r="H406" i="3"/>
  <c r="J406" i="3" s="1"/>
  <c r="AD95" i="3"/>
  <c r="H486" i="3"/>
  <c r="J486" i="3" s="1"/>
  <c r="AD175" i="3"/>
  <c r="H480" i="3"/>
  <c r="J480" i="3" s="1"/>
  <c r="AD169" i="3"/>
  <c r="H472" i="3"/>
  <c r="J472" i="3" s="1"/>
  <c r="AD161" i="3"/>
  <c r="H456" i="3"/>
  <c r="J456" i="3" s="1"/>
  <c r="AD145" i="3"/>
  <c r="H448" i="3"/>
  <c r="J448" i="3" s="1"/>
  <c r="AD137" i="3"/>
  <c r="H432" i="3"/>
  <c r="J432" i="3" s="1"/>
  <c r="AD121" i="3"/>
  <c r="H424" i="3"/>
  <c r="J424" i="3" s="1"/>
  <c r="AD113" i="3"/>
  <c r="AD89" i="3"/>
  <c r="H400" i="3"/>
  <c r="J400" i="3" s="1"/>
  <c r="AD53" i="3"/>
  <c r="H364" i="3"/>
  <c r="J364" i="3" s="1"/>
  <c r="AD211" i="3"/>
  <c r="H522" i="3"/>
  <c r="J522" i="3" s="1"/>
  <c r="AF499" i="3"/>
  <c r="AI499" i="3" s="1"/>
  <c r="H379" i="3"/>
  <c r="J379" i="3" s="1"/>
  <c r="AD68" i="3"/>
  <c r="AF488" i="3"/>
  <c r="AI488" i="3" s="1"/>
  <c r="H495" i="3"/>
  <c r="J495" i="3" s="1"/>
  <c r="AD184" i="3"/>
  <c r="H471" i="3"/>
  <c r="J471" i="3" s="1"/>
  <c r="AD160" i="3"/>
  <c r="H447" i="3"/>
  <c r="J447" i="3" s="1"/>
  <c r="AD136" i="3"/>
  <c r="AD128" i="3"/>
  <c r="H423" i="3"/>
  <c r="J423" i="3" s="1"/>
  <c r="AD112" i="3"/>
  <c r="H385" i="3"/>
  <c r="J385" i="3" s="1"/>
  <c r="AD74" i="3"/>
  <c r="H526" i="3"/>
  <c r="J526" i="3" s="1"/>
  <c r="AD215" i="3"/>
  <c r="AD206" i="3"/>
  <c r="H517" i="3"/>
  <c r="J517" i="3" s="1"/>
  <c r="AD201" i="3"/>
  <c r="H512" i="3"/>
  <c r="J512" i="3" s="1"/>
  <c r="AF383" i="3"/>
  <c r="AI383" i="3" s="1"/>
  <c r="AD176" i="3"/>
  <c r="AF487" i="3" s="1"/>
  <c r="AI487" i="3" s="1"/>
  <c r="AD164" i="3"/>
  <c r="AF475" i="3" s="1"/>
  <c r="AI475" i="3" s="1"/>
  <c r="AD158" i="3"/>
  <c r="AF469" i="3" s="1"/>
  <c r="AI469" i="3" s="1"/>
  <c r="AD146" i="3"/>
  <c r="AF457" i="3" s="1"/>
  <c r="AI457" i="3" s="1"/>
  <c r="AD134" i="3"/>
  <c r="AF445" i="3" s="1"/>
  <c r="AI445" i="3" s="1"/>
  <c r="AD122" i="3"/>
  <c r="AF433" i="3" s="1"/>
  <c r="AI433" i="3" s="1"/>
  <c r="AD110" i="3"/>
  <c r="AF421" i="3" s="1"/>
  <c r="AI421" i="3" s="1"/>
  <c r="AD49" i="3"/>
  <c r="AF360" i="3" s="1"/>
  <c r="AI360" i="3" s="1"/>
  <c r="AD61" i="3"/>
  <c r="AF372" i="3" s="1"/>
  <c r="AI372" i="3" s="1"/>
  <c r="AD73" i="3"/>
  <c r="AF384" i="3" s="1"/>
  <c r="AI384" i="3" s="1"/>
  <c r="AD85" i="3"/>
  <c r="AF396" i="3" s="1"/>
  <c r="AI396" i="3" s="1"/>
  <c r="AD97" i="3"/>
  <c r="AF408" i="3" s="1"/>
  <c r="AI408" i="3" s="1"/>
  <c r="H534" i="3"/>
  <c r="J534" i="3" s="1"/>
  <c r="H493" i="3"/>
  <c r="J493" i="3" s="1"/>
  <c r="H524" i="3"/>
  <c r="J524" i="3" s="1"/>
  <c r="AF338" i="3"/>
  <c r="AI338" i="3" s="1"/>
  <c r="H427" i="3"/>
  <c r="J427" i="3" s="1"/>
  <c r="H439" i="3"/>
  <c r="J439" i="3" s="1"/>
  <c r="AD190" i="3"/>
  <c r="AF501" i="3" s="1"/>
  <c r="AI501" i="3" s="1"/>
  <c r="AF428" i="3"/>
  <c r="AI428" i="3" s="1"/>
  <c r="AF341" i="3"/>
  <c r="AI341" i="3" s="1"/>
  <c r="H527" i="3"/>
  <c r="J527" i="3" s="1"/>
  <c r="H503" i="3"/>
  <c r="J503" i="3" s="1"/>
  <c r="AD185" i="3"/>
  <c r="AD170" i="3"/>
  <c r="AF481" i="3" s="1"/>
  <c r="AI481" i="3" s="1"/>
  <c r="AD152" i="3"/>
  <c r="AF463" i="3" s="1"/>
  <c r="AI463" i="3" s="1"/>
  <c r="AD140" i="3"/>
  <c r="AF451" i="3" s="1"/>
  <c r="AI451" i="3" s="1"/>
  <c r="AD104" i="3"/>
  <c r="AF415" i="3" s="1"/>
  <c r="AI415" i="3" s="1"/>
  <c r="AD43" i="3"/>
  <c r="AF354" i="3" s="1"/>
  <c r="AI354" i="3" s="1"/>
  <c r="AD55" i="3"/>
  <c r="AF366" i="3" s="1"/>
  <c r="AI366" i="3" s="1"/>
  <c r="AD67" i="3"/>
  <c r="AF378" i="3" s="1"/>
  <c r="AI378" i="3" s="1"/>
  <c r="AD79" i="3"/>
  <c r="AF390" i="3" s="1"/>
  <c r="AI390" i="3" s="1"/>
  <c r="AD91" i="3"/>
  <c r="AF402" i="3" s="1"/>
  <c r="AI402" i="3" s="1"/>
  <c r="AF500" i="3"/>
  <c r="AI500" i="3" s="1"/>
  <c r="H514" i="3"/>
  <c r="J514" i="3" s="1"/>
  <c r="AD93" i="3"/>
  <c r="AF404" i="3" s="1"/>
  <c r="AI404" i="3" s="1"/>
  <c r="AD196" i="3"/>
  <c r="AF507" i="3" s="1"/>
  <c r="AI507" i="3" s="1"/>
  <c r="AD186" i="3"/>
  <c r="AF497" i="3" s="1"/>
  <c r="AI497" i="3" s="1"/>
  <c r="AF357" i="3"/>
  <c r="AI357" i="3" s="1"/>
  <c r="H496" i="3"/>
  <c r="J496" i="3" s="1"/>
  <c r="W320" i="3"/>
  <c r="AA320" i="3" s="1"/>
  <c r="W321" i="3" s="1"/>
  <c r="AA321" i="3" s="1"/>
  <c r="W322" i="3" s="1"/>
  <c r="AA322" i="3" s="1"/>
  <c r="W323" i="3" s="1"/>
  <c r="AA323" i="3" s="1"/>
  <c r="W324" i="3" s="1"/>
  <c r="AA324" i="3" s="1"/>
  <c r="W325" i="3" s="1"/>
  <c r="AA325" i="3" s="1"/>
  <c r="W326" i="3" s="1"/>
  <c r="AA326" i="3" s="1"/>
  <c r="W327" i="3" s="1"/>
  <c r="AA327" i="3" s="1"/>
  <c r="W328" i="3" s="1"/>
  <c r="AA328" i="3" s="1"/>
  <c r="W329" i="3" s="1"/>
  <c r="AA329" i="3" s="1"/>
  <c r="W330" i="3" s="1"/>
  <c r="AA330" i="3" s="1"/>
  <c r="W331" i="3" s="1"/>
  <c r="AA331" i="3" s="1"/>
  <c r="W332" i="3" s="1"/>
  <c r="AA332" i="3" s="1"/>
  <c r="W333" i="3" s="1"/>
  <c r="AA333" i="3" s="1"/>
  <c r="W334" i="3" s="1"/>
  <c r="AA334" i="3" s="1"/>
  <c r="W335" i="3" s="1"/>
  <c r="AA335" i="3" s="1"/>
  <c r="W336" i="3" s="1"/>
  <c r="AA336" i="3" s="1"/>
  <c r="W337" i="3" s="1"/>
  <c r="AA337" i="3" s="1"/>
  <c r="W338" i="3" s="1"/>
  <c r="AA338" i="3" s="1"/>
  <c r="W339" i="3" s="1"/>
  <c r="AA339" i="3" s="1"/>
  <c r="W340" i="3" s="1"/>
  <c r="AA340" i="3" s="1"/>
  <c r="W341" i="3" s="1"/>
  <c r="AA341" i="3" s="1"/>
  <c r="W342" i="3" s="1"/>
  <c r="AA342" i="3" s="1"/>
  <c r="W343" i="3" s="1"/>
  <c r="AA343" i="3" s="1"/>
  <c r="W344" i="3" s="1"/>
  <c r="AA344" i="3" s="1"/>
  <c r="W345" i="3" s="1"/>
  <c r="AA345" i="3" s="1"/>
  <c r="W346" i="3" s="1"/>
  <c r="AA346" i="3" s="1"/>
  <c r="W347" i="3" s="1"/>
  <c r="AA347" i="3" s="1"/>
  <c r="W348" i="3" s="1"/>
  <c r="AA348" i="3" s="1"/>
  <c r="W349" i="3" s="1"/>
  <c r="AA349" i="3" s="1"/>
  <c r="W350" i="3" s="1"/>
  <c r="AA350" i="3" s="1"/>
  <c r="W351" i="3" s="1"/>
  <c r="AA351" i="3" s="1"/>
  <c r="W352" i="3" s="1"/>
  <c r="AA352" i="3" s="1"/>
  <c r="W353" i="3" s="1"/>
  <c r="AA353" i="3" s="1"/>
  <c r="W354" i="3" s="1"/>
  <c r="AA354" i="3" s="1"/>
  <c r="W355" i="3" s="1"/>
  <c r="AA355" i="3" s="1"/>
  <c r="W356" i="3" s="1"/>
  <c r="AA356" i="3" s="1"/>
  <c r="W357" i="3" s="1"/>
  <c r="AA357" i="3" s="1"/>
  <c r="W358" i="3" s="1"/>
  <c r="AA358" i="3" s="1"/>
  <c r="W359" i="3" s="1"/>
  <c r="AA359" i="3" s="1"/>
  <c r="W360" i="3" s="1"/>
  <c r="AA360" i="3" s="1"/>
  <c r="W361" i="3" s="1"/>
  <c r="AA361" i="3" s="1"/>
  <c r="W362" i="3" s="1"/>
  <c r="AA362" i="3" s="1"/>
  <c r="W363" i="3" s="1"/>
  <c r="AA363" i="3" s="1"/>
  <c r="W364" i="3" s="1"/>
  <c r="AA364" i="3" s="1"/>
  <c r="W365" i="3" s="1"/>
  <c r="AA365" i="3" s="1"/>
  <c r="W366" i="3" s="1"/>
  <c r="AA366" i="3" s="1"/>
  <c r="W367" i="3" s="1"/>
  <c r="AA367" i="3" s="1"/>
  <c r="W368" i="3" s="1"/>
  <c r="AA368" i="3" s="1"/>
  <c r="W369" i="3" s="1"/>
  <c r="AA369" i="3" s="1"/>
  <c r="W370" i="3" s="1"/>
  <c r="AA370" i="3" s="1"/>
  <c r="W371" i="3" s="1"/>
  <c r="AA371" i="3" s="1"/>
  <c r="W372" i="3" s="1"/>
  <c r="AA372" i="3" s="1"/>
  <c r="W373" i="3" s="1"/>
  <c r="AA373" i="3" s="1"/>
  <c r="W374" i="3" s="1"/>
  <c r="AA374" i="3" s="1"/>
  <c r="W375" i="3" s="1"/>
  <c r="AA375" i="3" s="1"/>
  <c r="W376" i="3" s="1"/>
  <c r="AA376" i="3" s="1"/>
  <c r="W377" i="3" s="1"/>
  <c r="AA377" i="3" s="1"/>
  <c r="W378" i="3" s="1"/>
  <c r="AA378" i="3" s="1"/>
  <c r="W379" i="3" s="1"/>
  <c r="AA379" i="3" s="1"/>
  <c r="W380" i="3" s="1"/>
  <c r="AA380" i="3" s="1"/>
  <c r="W381" i="3" s="1"/>
  <c r="AA381" i="3" s="1"/>
  <c r="W382" i="3" s="1"/>
  <c r="AA382" i="3" s="1"/>
  <c r="W383" i="3" s="1"/>
  <c r="AA383" i="3" s="1"/>
  <c r="W384" i="3" s="1"/>
  <c r="AA384" i="3" s="1"/>
  <c r="W385" i="3" s="1"/>
  <c r="AA385" i="3" s="1"/>
  <c r="W386" i="3" s="1"/>
  <c r="AA386" i="3" s="1"/>
  <c r="W387" i="3" s="1"/>
  <c r="AA387" i="3" s="1"/>
  <c r="W388" i="3" s="1"/>
  <c r="AA388" i="3" s="1"/>
  <c r="W389" i="3" s="1"/>
  <c r="AA389" i="3" s="1"/>
  <c r="W390" i="3" s="1"/>
  <c r="AA390" i="3" s="1"/>
  <c r="W391" i="3" s="1"/>
  <c r="AA391" i="3" s="1"/>
  <c r="W392" i="3" s="1"/>
  <c r="AA392" i="3" s="1"/>
  <c r="W393" i="3" s="1"/>
  <c r="AA393" i="3" s="1"/>
  <c r="W394" i="3" s="1"/>
  <c r="AA394" i="3" s="1"/>
  <c r="W395" i="3" s="1"/>
  <c r="AA395" i="3" s="1"/>
  <c r="W396" i="3" s="1"/>
  <c r="AA396" i="3" s="1"/>
  <c r="W397" i="3" s="1"/>
  <c r="AA397" i="3" s="1"/>
  <c r="W398" i="3" s="1"/>
  <c r="AA398" i="3" s="1"/>
  <c r="W399" i="3" s="1"/>
  <c r="AA399" i="3" s="1"/>
  <c r="W400" i="3" s="1"/>
  <c r="AA400" i="3" s="1"/>
  <c r="W401" i="3" s="1"/>
  <c r="AA401" i="3" s="1"/>
  <c r="W402" i="3" s="1"/>
  <c r="AA402" i="3" s="1"/>
  <c r="W403" i="3" s="1"/>
  <c r="AA403" i="3" s="1"/>
  <c r="W404" i="3" s="1"/>
  <c r="AA404" i="3" s="1"/>
  <c r="W405" i="3" s="1"/>
  <c r="AA405" i="3" s="1"/>
  <c r="W406" i="3" s="1"/>
  <c r="AA406" i="3" s="1"/>
  <c r="W407" i="3" s="1"/>
  <c r="AA407" i="3" s="1"/>
  <c r="W408" i="3" s="1"/>
  <c r="AA408" i="3" s="1"/>
  <c r="W409" i="3" s="1"/>
  <c r="AA409" i="3" s="1"/>
  <c r="W410" i="3" s="1"/>
  <c r="AA410" i="3" s="1"/>
  <c r="W411" i="3" s="1"/>
  <c r="AA411" i="3" s="1"/>
  <c r="W412" i="3" s="1"/>
  <c r="AA412" i="3" s="1"/>
  <c r="W413" i="3" s="1"/>
  <c r="AA413" i="3" s="1"/>
  <c r="W414" i="3" s="1"/>
  <c r="AA414" i="3" s="1"/>
  <c r="W415" i="3" s="1"/>
  <c r="AA415" i="3" s="1"/>
  <c r="W416" i="3" s="1"/>
  <c r="AA416" i="3" s="1"/>
  <c r="W417" i="3" s="1"/>
  <c r="AA417" i="3" s="1"/>
  <c r="W418" i="3" s="1"/>
  <c r="AA418" i="3" s="1"/>
  <c r="W419" i="3" s="1"/>
  <c r="AA419" i="3" s="1"/>
  <c r="W420" i="3" s="1"/>
  <c r="AA420" i="3" s="1"/>
  <c r="W421" i="3" s="1"/>
  <c r="AA421" i="3" s="1"/>
  <c r="W422" i="3" s="1"/>
  <c r="AA422" i="3" s="1"/>
  <c r="W423" i="3" s="1"/>
  <c r="AA423" i="3" s="1"/>
  <c r="W424" i="3" s="1"/>
  <c r="AA424" i="3" s="1"/>
  <c r="W425" i="3" s="1"/>
  <c r="AA425" i="3" s="1"/>
  <c r="W426" i="3" s="1"/>
  <c r="AA426" i="3" s="1"/>
  <c r="W427" i="3" s="1"/>
  <c r="AA427" i="3" s="1"/>
  <c r="W428" i="3" s="1"/>
  <c r="AA428" i="3" s="1"/>
  <c r="W429" i="3" s="1"/>
  <c r="AA429" i="3" s="1"/>
  <c r="W430" i="3" s="1"/>
  <c r="AA430" i="3" s="1"/>
  <c r="W431" i="3" s="1"/>
  <c r="AA431" i="3" s="1"/>
  <c r="W432" i="3" s="1"/>
  <c r="AA432" i="3" s="1"/>
  <c r="W433" i="3" s="1"/>
  <c r="AA433" i="3" s="1"/>
  <c r="W434" i="3" s="1"/>
  <c r="AA434" i="3" s="1"/>
  <c r="W435" i="3" s="1"/>
  <c r="AA435" i="3" s="1"/>
  <c r="W436" i="3" s="1"/>
  <c r="AA436" i="3" s="1"/>
  <c r="W437" i="3" s="1"/>
  <c r="AA437" i="3" s="1"/>
  <c r="W438" i="3" s="1"/>
  <c r="AA438" i="3" s="1"/>
  <c r="W439" i="3" s="1"/>
  <c r="AA439" i="3" s="1"/>
  <c r="W440" i="3" s="1"/>
  <c r="AA440" i="3" s="1"/>
  <c r="W441" i="3" s="1"/>
  <c r="AA441" i="3" s="1"/>
  <c r="W442" i="3" s="1"/>
  <c r="AA442" i="3" s="1"/>
  <c r="W443" i="3" s="1"/>
  <c r="AA443" i="3" s="1"/>
  <c r="W444" i="3" s="1"/>
  <c r="AA444" i="3" s="1"/>
  <c r="W445" i="3" s="1"/>
  <c r="AA445" i="3" s="1"/>
  <c r="W446" i="3" s="1"/>
  <c r="AA446" i="3" s="1"/>
  <c r="W447" i="3" s="1"/>
  <c r="AA447" i="3" s="1"/>
  <c r="W448" i="3" s="1"/>
  <c r="AA448" i="3" s="1"/>
  <c r="W449" i="3" s="1"/>
  <c r="AA449" i="3" s="1"/>
  <c r="W450" i="3" s="1"/>
  <c r="AA450" i="3" s="1"/>
  <c r="W451" i="3" s="1"/>
  <c r="AA451" i="3" s="1"/>
  <c r="W452" i="3" s="1"/>
  <c r="AA452" i="3" s="1"/>
  <c r="W453" i="3" s="1"/>
  <c r="AA453" i="3" s="1"/>
  <c r="W454" i="3" s="1"/>
  <c r="AA454" i="3" s="1"/>
  <c r="W455" i="3" s="1"/>
  <c r="AA455" i="3" s="1"/>
  <c r="W456" i="3" s="1"/>
  <c r="AA456" i="3" s="1"/>
  <c r="W457" i="3" s="1"/>
  <c r="AA457" i="3" s="1"/>
  <c r="W458" i="3" s="1"/>
  <c r="AA458" i="3" s="1"/>
  <c r="W459" i="3" s="1"/>
  <c r="AA459" i="3" s="1"/>
  <c r="W460" i="3" s="1"/>
  <c r="AA460" i="3" s="1"/>
  <c r="W461" i="3" s="1"/>
  <c r="AA461" i="3" s="1"/>
  <c r="W462" i="3" s="1"/>
  <c r="AA462" i="3" s="1"/>
  <c r="W463" i="3" s="1"/>
  <c r="AA463" i="3" s="1"/>
  <c r="W464" i="3" s="1"/>
  <c r="AA464" i="3" s="1"/>
  <c r="W465" i="3" s="1"/>
  <c r="AA465" i="3" s="1"/>
  <c r="W466" i="3" s="1"/>
  <c r="AA466" i="3" s="1"/>
  <c r="W467" i="3" s="1"/>
  <c r="AA467" i="3" s="1"/>
  <c r="W468" i="3" s="1"/>
  <c r="AA468" i="3" s="1"/>
  <c r="W469" i="3" s="1"/>
  <c r="AA469" i="3" s="1"/>
  <c r="W470" i="3" s="1"/>
  <c r="AA470" i="3" s="1"/>
  <c r="W471" i="3" s="1"/>
  <c r="AA471" i="3" s="1"/>
  <c r="W472" i="3" s="1"/>
  <c r="AA472" i="3" s="1"/>
  <c r="W473" i="3" s="1"/>
  <c r="AA473" i="3" s="1"/>
  <c r="W474" i="3" s="1"/>
  <c r="AA474" i="3" s="1"/>
  <c r="W475" i="3" s="1"/>
  <c r="AA475" i="3" s="1"/>
  <c r="W476" i="3" s="1"/>
  <c r="AA476" i="3" s="1"/>
  <c r="W477" i="3" s="1"/>
  <c r="AA477" i="3" s="1"/>
  <c r="W478" i="3" s="1"/>
  <c r="AA478" i="3" s="1"/>
  <c r="W479" i="3" s="1"/>
  <c r="AA479" i="3" s="1"/>
  <c r="W480" i="3" s="1"/>
  <c r="AA480" i="3" s="1"/>
  <c r="W481" i="3" s="1"/>
  <c r="AA481" i="3" s="1"/>
  <c r="W482" i="3" s="1"/>
  <c r="AA482" i="3" s="1"/>
  <c r="W483" i="3" s="1"/>
  <c r="AA483" i="3" s="1"/>
  <c r="W484" i="3" s="1"/>
  <c r="AA484" i="3" s="1"/>
  <c r="W485" i="3" s="1"/>
  <c r="AA485" i="3" s="1"/>
  <c r="W486" i="3" s="1"/>
  <c r="AA486" i="3" s="1"/>
  <c r="W487" i="3" s="1"/>
  <c r="AA487" i="3" s="1"/>
  <c r="W488" i="3" s="1"/>
  <c r="AA488" i="3" s="1"/>
  <c r="W489" i="3" s="1"/>
  <c r="AA489" i="3" s="1"/>
  <c r="W490" i="3" s="1"/>
  <c r="AA490" i="3" s="1"/>
  <c r="W491" i="3" s="1"/>
  <c r="AA491" i="3" s="1"/>
  <c r="W492" i="3" s="1"/>
  <c r="AA492" i="3" s="1"/>
  <c r="W493" i="3" s="1"/>
  <c r="AA493" i="3" s="1"/>
  <c r="W494" i="3" s="1"/>
  <c r="AA494" i="3" s="1"/>
  <c r="W495" i="3" s="1"/>
  <c r="AA495" i="3" s="1"/>
  <c r="W496" i="3" s="1"/>
  <c r="AA496" i="3" s="1"/>
  <c r="W497" i="3" s="1"/>
  <c r="AA497" i="3" s="1"/>
  <c r="W498" i="3" s="1"/>
  <c r="AA498" i="3" s="1"/>
  <c r="W499" i="3" s="1"/>
  <c r="AA499" i="3" s="1"/>
  <c r="W500" i="3" s="1"/>
  <c r="AA500" i="3" s="1"/>
  <c r="W501" i="3" s="1"/>
  <c r="AA501" i="3" s="1"/>
  <c r="K320" i="3"/>
  <c r="O320" i="3" s="1"/>
  <c r="K321" i="3" s="1"/>
  <c r="O321" i="3" s="1"/>
  <c r="K322" i="3" s="1"/>
  <c r="O322" i="3" s="1"/>
  <c r="K323" i="3" s="1"/>
  <c r="O323" i="3" s="1"/>
  <c r="K324" i="3" s="1"/>
  <c r="O324" i="3" s="1"/>
  <c r="K325" i="3" s="1"/>
  <c r="O325" i="3" s="1"/>
  <c r="K326" i="3" s="1"/>
  <c r="O326" i="3" s="1"/>
  <c r="K327" i="3" s="1"/>
  <c r="O327" i="3" s="1"/>
  <c r="K328" i="3" s="1"/>
  <c r="O328" i="3" s="1"/>
  <c r="K329" i="3" s="1"/>
  <c r="O329" i="3" s="1"/>
  <c r="K330" i="3" s="1"/>
  <c r="O330" i="3" s="1"/>
  <c r="K331" i="3" s="1"/>
  <c r="O331" i="3" s="1"/>
  <c r="K332" i="3" s="1"/>
  <c r="O332" i="3" s="1"/>
  <c r="K333" i="3" s="1"/>
  <c r="O333" i="3" s="1"/>
  <c r="K334" i="3" s="1"/>
  <c r="O334" i="3" s="1"/>
  <c r="K335" i="3" s="1"/>
  <c r="O335" i="3" s="1"/>
  <c r="K336" i="3" s="1"/>
  <c r="O336" i="3" s="1"/>
  <c r="K337" i="3" s="1"/>
  <c r="O337" i="3" s="1"/>
  <c r="K338" i="3" s="1"/>
  <c r="O338" i="3" s="1"/>
  <c r="K339" i="3" s="1"/>
  <c r="O339" i="3" s="1"/>
  <c r="K340" i="3" s="1"/>
  <c r="O340" i="3" s="1"/>
  <c r="K341" i="3" s="1"/>
  <c r="O341" i="3" s="1"/>
  <c r="K342" i="3" s="1"/>
  <c r="O342" i="3" s="1"/>
  <c r="K343" i="3" s="1"/>
  <c r="O343" i="3" s="1"/>
  <c r="K344" i="3" s="1"/>
  <c r="O344" i="3" s="1"/>
  <c r="K345" i="3" s="1"/>
  <c r="O345" i="3" s="1"/>
  <c r="K346" i="3" s="1"/>
  <c r="O346" i="3" s="1"/>
  <c r="K347" i="3" s="1"/>
  <c r="O347" i="3" s="1"/>
  <c r="K348" i="3" s="1"/>
  <c r="O348" i="3" s="1"/>
  <c r="K349" i="3" s="1"/>
  <c r="O349" i="3" s="1"/>
  <c r="K350" i="3" s="1"/>
  <c r="O350" i="3" s="1"/>
  <c r="K351" i="3" s="1"/>
  <c r="O351" i="3" s="1"/>
  <c r="K352" i="3" s="1"/>
  <c r="O352" i="3" s="1"/>
  <c r="AJ321" i="3" l="1"/>
  <c r="BN321" i="3" s="1"/>
  <c r="AJ322" i="3" s="1"/>
  <c r="BN322" i="3" s="1"/>
  <c r="AJ323" i="3" s="1"/>
  <c r="BN323" i="3" s="1"/>
  <c r="AJ324" i="3" s="1"/>
  <c r="BN324" i="3" s="1"/>
  <c r="AJ325" i="3" s="1"/>
  <c r="BN325" i="3" s="1"/>
  <c r="AJ326" i="3" s="1"/>
  <c r="BN326" i="3" s="1"/>
  <c r="AJ327" i="3" s="1"/>
  <c r="BN327" i="3" s="1"/>
  <c r="AJ328" i="3" s="1"/>
  <c r="BN328" i="3" s="1"/>
  <c r="AJ329" i="3" s="1"/>
  <c r="BN329" i="3" s="1"/>
  <c r="AJ330" i="3" s="1"/>
  <c r="BN330" i="3" s="1"/>
  <c r="AJ331" i="3" s="1"/>
  <c r="BN331" i="3" s="1"/>
  <c r="AJ332" i="3" s="1"/>
  <c r="BN332" i="3" s="1"/>
  <c r="AJ333" i="3" s="1"/>
  <c r="BN333" i="3" s="1"/>
  <c r="AJ334" i="3" s="1"/>
  <c r="BN334" i="3" s="1"/>
  <c r="AJ335" i="3" s="1"/>
  <c r="BN335" i="3" s="1"/>
  <c r="AJ336" i="3" s="1"/>
  <c r="BN336" i="3" s="1"/>
  <c r="AJ337" i="3" s="1"/>
  <c r="BN337" i="3" s="1"/>
  <c r="AJ338" i="3" s="1"/>
  <c r="BN338" i="3" s="1"/>
  <c r="AJ339" i="3" s="1"/>
  <c r="BN339" i="3" s="1"/>
  <c r="AJ340" i="3" s="1"/>
  <c r="BN340" i="3" s="1"/>
  <c r="AJ341" i="3" s="1"/>
  <c r="BN341" i="3" s="1"/>
  <c r="AJ342" i="3" s="1"/>
  <c r="BN342" i="3" s="1"/>
  <c r="AJ343" i="3" s="1"/>
  <c r="BN343" i="3" s="1"/>
  <c r="AJ344" i="3" s="1"/>
  <c r="BN344" i="3" s="1"/>
  <c r="AJ345" i="3" s="1"/>
  <c r="BN345" i="3" s="1"/>
  <c r="AJ346" i="3" s="1"/>
  <c r="BN346" i="3" s="1"/>
  <c r="AJ347" i="3" s="1"/>
  <c r="BN347" i="3" s="1"/>
  <c r="AJ348" i="3" s="1"/>
  <c r="BN348" i="3" s="1"/>
  <c r="AJ349" i="3" s="1"/>
  <c r="BN349" i="3" s="1"/>
  <c r="AF540" i="3"/>
  <c r="AI540" i="3" s="1"/>
  <c r="AF350" i="3"/>
  <c r="AI350" i="3" s="1"/>
  <c r="K353" i="3"/>
  <c r="O353" i="3" s="1"/>
  <c r="K354" i="3" s="1"/>
  <c r="O354" i="3" s="1"/>
  <c r="K355" i="3" s="1"/>
  <c r="O355" i="3" s="1"/>
  <c r="K356" i="3" s="1"/>
  <c r="O356" i="3" s="1"/>
  <c r="K357" i="3" s="1"/>
  <c r="O357" i="3" s="1"/>
  <c r="K358" i="3" s="1"/>
  <c r="O358" i="3" s="1"/>
  <c r="K359" i="3" s="1"/>
  <c r="O359" i="3" s="1"/>
  <c r="K360" i="3" s="1"/>
  <c r="O360" i="3" s="1"/>
  <c r="K361" i="3" s="1"/>
  <c r="O361" i="3" s="1"/>
  <c r="K362" i="3" s="1"/>
  <c r="O362" i="3" s="1"/>
  <c r="K363" i="3" s="1"/>
  <c r="O363" i="3" s="1"/>
  <c r="K364" i="3" s="1"/>
  <c r="O364" i="3" s="1"/>
  <c r="K365" i="3" s="1"/>
  <c r="O365" i="3" s="1"/>
  <c r="K366" i="3" s="1"/>
  <c r="O366" i="3" s="1"/>
  <c r="K367" i="3" s="1"/>
  <c r="O367" i="3" s="1"/>
  <c r="K368" i="3" s="1"/>
  <c r="O368" i="3" s="1"/>
  <c r="K369" i="3" s="1"/>
  <c r="O369" i="3" s="1"/>
  <c r="K370" i="3" s="1"/>
  <c r="O370" i="3" s="1"/>
  <c r="K371" i="3" s="1"/>
  <c r="O371" i="3" s="1"/>
  <c r="K372" i="3" s="1"/>
  <c r="O372" i="3" s="1"/>
  <c r="K373" i="3" s="1"/>
  <c r="O373" i="3" s="1"/>
  <c r="K374" i="3" s="1"/>
  <c r="O374" i="3" s="1"/>
  <c r="K375" i="3" s="1"/>
  <c r="O375" i="3" s="1"/>
  <c r="K376" i="3" s="1"/>
  <c r="O376" i="3" s="1"/>
  <c r="K377" i="3" s="1"/>
  <c r="O377" i="3" s="1"/>
  <c r="K378" i="3" s="1"/>
  <c r="O378" i="3" s="1"/>
  <c r="K379" i="3" s="1"/>
  <c r="O379" i="3" s="1"/>
  <c r="K380" i="3" s="1"/>
  <c r="O380" i="3" s="1"/>
  <c r="K381" i="3" s="1"/>
  <c r="O381" i="3" s="1"/>
  <c r="K382" i="3" s="1"/>
  <c r="O382" i="3" s="1"/>
  <c r="K383" i="3" s="1"/>
  <c r="O383" i="3" s="1"/>
  <c r="K384" i="3" s="1"/>
  <c r="O384" i="3" s="1"/>
  <c r="K385" i="3" s="1"/>
  <c r="O385" i="3" s="1"/>
  <c r="K386" i="3" s="1"/>
  <c r="O386" i="3" s="1"/>
  <c r="K387" i="3" s="1"/>
  <c r="O387" i="3" s="1"/>
  <c r="K388" i="3" s="1"/>
  <c r="O388" i="3" s="1"/>
  <c r="K389" i="3" s="1"/>
  <c r="O389" i="3" s="1"/>
  <c r="K390" i="3" s="1"/>
  <c r="O390" i="3" s="1"/>
  <c r="K391" i="3" s="1"/>
  <c r="O391" i="3" s="1"/>
  <c r="K392" i="3" s="1"/>
  <c r="O392" i="3" s="1"/>
  <c r="K393" i="3" s="1"/>
  <c r="O393" i="3" s="1"/>
  <c r="K394" i="3" s="1"/>
  <c r="O394" i="3" s="1"/>
  <c r="K395" i="3" s="1"/>
  <c r="O395" i="3" s="1"/>
  <c r="K396" i="3" s="1"/>
  <c r="O396" i="3" s="1"/>
  <c r="K397" i="3" s="1"/>
  <c r="O397" i="3" s="1"/>
  <c r="K398" i="3" s="1"/>
  <c r="O398" i="3" s="1"/>
  <c r="K399" i="3" s="1"/>
  <c r="O399" i="3" s="1"/>
  <c r="K400" i="3" s="1"/>
  <c r="O400" i="3" s="1"/>
  <c r="K401" i="3" s="1"/>
  <c r="O401" i="3" s="1"/>
  <c r="K402" i="3" s="1"/>
  <c r="O402" i="3" s="1"/>
  <c r="K403" i="3" s="1"/>
  <c r="O403" i="3" s="1"/>
  <c r="K404" i="3" s="1"/>
  <c r="O404" i="3" s="1"/>
  <c r="K405" i="3" s="1"/>
  <c r="O405" i="3" s="1"/>
  <c r="K406" i="3" s="1"/>
  <c r="O406" i="3" s="1"/>
  <c r="K407" i="3" s="1"/>
  <c r="O407" i="3" s="1"/>
  <c r="K408" i="3" s="1"/>
  <c r="O408" i="3" s="1"/>
  <c r="K409" i="3" s="1"/>
  <c r="O409" i="3" s="1"/>
  <c r="K410" i="3" s="1"/>
  <c r="O410" i="3" s="1"/>
  <c r="K411" i="3" s="1"/>
  <c r="O411" i="3" s="1"/>
  <c r="K412" i="3" s="1"/>
  <c r="O412" i="3" s="1"/>
  <c r="K413" i="3" s="1"/>
  <c r="O413" i="3" s="1"/>
  <c r="K414" i="3" s="1"/>
  <c r="O414" i="3" s="1"/>
  <c r="K415" i="3" s="1"/>
  <c r="O415" i="3" s="1"/>
  <c r="K416" i="3" s="1"/>
  <c r="O416" i="3" s="1"/>
  <c r="K417" i="3" s="1"/>
  <c r="O417" i="3" s="1"/>
  <c r="K418" i="3" s="1"/>
  <c r="O418" i="3" s="1"/>
  <c r="K419" i="3" s="1"/>
  <c r="O419" i="3" s="1"/>
  <c r="K420" i="3" s="1"/>
  <c r="O420" i="3" s="1"/>
  <c r="K421" i="3" s="1"/>
  <c r="O421" i="3" s="1"/>
  <c r="K422" i="3" s="1"/>
  <c r="O422" i="3" s="1"/>
  <c r="K423" i="3" s="1"/>
  <c r="O423" i="3" s="1"/>
  <c r="K424" i="3" s="1"/>
  <c r="O424" i="3" s="1"/>
  <c r="K425" i="3" s="1"/>
  <c r="O425" i="3" s="1"/>
  <c r="K426" i="3" s="1"/>
  <c r="O426" i="3" s="1"/>
  <c r="K427" i="3" s="1"/>
  <c r="O427" i="3" s="1"/>
  <c r="K428" i="3" s="1"/>
  <c r="O428" i="3" s="1"/>
  <c r="K429" i="3" s="1"/>
  <c r="O429" i="3" s="1"/>
  <c r="K430" i="3" s="1"/>
  <c r="O430" i="3" s="1"/>
  <c r="K431" i="3" s="1"/>
  <c r="O431" i="3" s="1"/>
  <c r="K432" i="3" s="1"/>
  <c r="O432" i="3" s="1"/>
  <c r="K433" i="3" s="1"/>
  <c r="O433" i="3" s="1"/>
  <c r="K434" i="3" s="1"/>
  <c r="O434" i="3" s="1"/>
  <c r="K435" i="3" s="1"/>
  <c r="O435" i="3" s="1"/>
  <c r="K436" i="3" s="1"/>
  <c r="O436" i="3" s="1"/>
  <c r="K437" i="3" s="1"/>
  <c r="O437" i="3" s="1"/>
  <c r="K438" i="3" s="1"/>
  <c r="O438" i="3" s="1"/>
  <c r="K439" i="3" s="1"/>
  <c r="O439" i="3" s="1"/>
  <c r="K440" i="3" s="1"/>
  <c r="O440" i="3" s="1"/>
  <c r="K441" i="3" s="1"/>
  <c r="O441" i="3" s="1"/>
  <c r="K442" i="3" s="1"/>
  <c r="O442" i="3" s="1"/>
  <c r="K443" i="3" s="1"/>
  <c r="O443" i="3" s="1"/>
  <c r="K444" i="3" s="1"/>
  <c r="O444" i="3" s="1"/>
  <c r="K445" i="3" s="1"/>
  <c r="O445" i="3" s="1"/>
  <c r="K446" i="3" s="1"/>
  <c r="O446" i="3" s="1"/>
  <c r="K447" i="3" s="1"/>
  <c r="O447" i="3" s="1"/>
  <c r="K448" i="3" s="1"/>
  <c r="O448" i="3" s="1"/>
  <c r="K449" i="3" s="1"/>
  <c r="O449" i="3" s="1"/>
  <c r="K450" i="3" s="1"/>
  <c r="O450" i="3" s="1"/>
  <c r="K451" i="3" s="1"/>
  <c r="O451" i="3" s="1"/>
  <c r="K452" i="3" s="1"/>
  <c r="O452" i="3" s="1"/>
  <c r="K453" i="3" s="1"/>
  <c r="O453" i="3" s="1"/>
  <c r="K454" i="3" s="1"/>
  <c r="O454" i="3" s="1"/>
  <c r="K455" i="3" s="1"/>
  <c r="O455" i="3" s="1"/>
  <c r="K456" i="3" s="1"/>
  <c r="O456" i="3" s="1"/>
  <c r="K457" i="3" s="1"/>
  <c r="O457" i="3" s="1"/>
  <c r="K458" i="3" s="1"/>
  <c r="O458" i="3" s="1"/>
  <c r="K459" i="3" s="1"/>
  <c r="O459" i="3" s="1"/>
  <c r="K460" i="3" s="1"/>
  <c r="O460" i="3" s="1"/>
  <c r="K461" i="3" s="1"/>
  <c r="O461" i="3" s="1"/>
  <c r="K462" i="3" s="1"/>
  <c r="O462" i="3" s="1"/>
  <c r="K463" i="3" s="1"/>
  <c r="O463" i="3" s="1"/>
  <c r="K464" i="3" s="1"/>
  <c r="O464" i="3" s="1"/>
  <c r="K465" i="3" s="1"/>
  <c r="O465" i="3" s="1"/>
  <c r="K466" i="3" s="1"/>
  <c r="O466" i="3" s="1"/>
  <c r="K467" i="3" s="1"/>
  <c r="O467" i="3" s="1"/>
  <c r="K468" i="3" s="1"/>
  <c r="O468" i="3" s="1"/>
  <c r="K469" i="3" s="1"/>
  <c r="O469" i="3" s="1"/>
  <c r="K470" i="3" s="1"/>
  <c r="O470" i="3" s="1"/>
  <c r="K471" i="3" s="1"/>
  <c r="O471" i="3" s="1"/>
  <c r="K472" i="3" s="1"/>
  <c r="O472" i="3" s="1"/>
  <c r="K473" i="3" s="1"/>
  <c r="O473" i="3" s="1"/>
  <c r="K474" i="3" s="1"/>
  <c r="O474" i="3" s="1"/>
  <c r="K475" i="3" s="1"/>
  <c r="O475" i="3" s="1"/>
  <c r="K476" i="3" s="1"/>
  <c r="O476" i="3" s="1"/>
  <c r="K477" i="3" s="1"/>
  <c r="O477" i="3" s="1"/>
  <c r="K478" i="3" s="1"/>
  <c r="O478" i="3" s="1"/>
  <c r="K479" i="3" s="1"/>
  <c r="O479" i="3" s="1"/>
  <c r="K480" i="3" s="1"/>
  <c r="O480" i="3" s="1"/>
  <c r="K481" i="3" s="1"/>
  <c r="O481" i="3" s="1"/>
  <c r="K482" i="3" s="1"/>
  <c r="O482" i="3" s="1"/>
  <c r="K483" i="3" s="1"/>
  <c r="O483" i="3" s="1"/>
  <c r="K484" i="3" s="1"/>
  <c r="O484" i="3" s="1"/>
  <c r="K485" i="3" s="1"/>
  <c r="O485" i="3" s="1"/>
  <c r="K486" i="3" s="1"/>
  <c r="O486" i="3" s="1"/>
  <c r="K487" i="3" s="1"/>
  <c r="O487" i="3" s="1"/>
  <c r="K488" i="3" s="1"/>
  <c r="O488" i="3" s="1"/>
  <c r="K489" i="3" s="1"/>
  <c r="O489" i="3" s="1"/>
  <c r="K490" i="3" s="1"/>
  <c r="O490" i="3" s="1"/>
  <c r="K491" i="3" s="1"/>
  <c r="O491" i="3" s="1"/>
  <c r="K492" i="3" s="1"/>
  <c r="O492" i="3" s="1"/>
  <c r="K493" i="3" s="1"/>
  <c r="O493" i="3" s="1"/>
  <c r="K494" i="3" s="1"/>
  <c r="O494" i="3" s="1"/>
  <c r="K495" i="3" s="1"/>
  <c r="O495" i="3" s="1"/>
  <c r="K496" i="3" s="1"/>
  <c r="O496" i="3" s="1"/>
  <c r="K497" i="3" s="1"/>
  <c r="O497" i="3" s="1"/>
  <c r="K498" i="3" s="1"/>
  <c r="O498" i="3" s="1"/>
  <c r="K499" i="3" s="1"/>
  <c r="O499" i="3" s="1"/>
  <c r="K500" i="3" s="1"/>
  <c r="O500" i="3" s="1"/>
  <c r="K501" i="3" s="1"/>
  <c r="O501" i="3" s="1"/>
  <c r="K502" i="3" s="1"/>
  <c r="O502" i="3" s="1"/>
  <c r="K503" i="3" s="1"/>
  <c r="O503" i="3" s="1"/>
  <c r="K504" i="3" s="1"/>
  <c r="O504" i="3" s="1"/>
  <c r="K505" i="3" s="1"/>
  <c r="O505" i="3" s="1"/>
  <c r="AF439" i="3"/>
  <c r="AI439" i="3" s="1"/>
  <c r="AF546" i="3"/>
  <c r="AI546" i="3" s="1"/>
  <c r="AF509" i="3"/>
  <c r="AI509" i="3" s="1"/>
  <c r="AF371" i="3"/>
  <c r="AI371" i="3" s="1"/>
  <c r="AF490" i="3"/>
  <c r="AI490" i="3" s="1"/>
  <c r="AF529" i="3"/>
  <c r="AI529" i="3" s="1"/>
  <c r="AF391" i="3"/>
  <c r="AI391" i="3" s="1"/>
  <c r="AF414" i="3"/>
  <c r="AI414" i="3" s="1"/>
  <c r="AF370" i="3"/>
  <c r="AI370" i="3" s="1"/>
  <c r="AF525" i="3"/>
  <c r="AI525" i="3" s="1"/>
  <c r="AF523" i="3"/>
  <c r="AI523" i="3" s="1"/>
  <c r="AF491" i="3"/>
  <c r="AI491" i="3" s="1"/>
  <c r="AF548" i="3"/>
  <c r="AI548" i="3" s="1"/>
  <c r="AF542" i="3"/>
  <c r="AI542" i="3" s="1"/>
  <c r="AF526" i="3"/>
  <c r="AI526" i="3" s="1"/>
  <c r="AF423" i="3"/>
  <c r="AI423" i="3" s="1"/>
  <c r="AF494" i="3"/>
  <c r="AI494" i="3" s="1"/>
  <c r="AF424" i="3"/>
  <c r="AI424" i="3" s="1"/>
  <c r="AF448" i="3"/>
  <c r="AI448" i="3" s="1"/>
  <c r="AF472" i="3"/>
  <c r="AI472" i="3" s="1"/>
  <c r="AF486" i="3"/>
  <c r="AI486" i="3" s="1"/>
  <c r="AF417" i="3"/>
  <c r="AI417" i="3" s="1"/>
  <c r="AF409" i="3"/>
  <c r="AI409" i="3" s="1"/>
  <c r="AF450" i="3"/>
  <c r="AI450" i="3" s="1"/>
  <c r="AF474" i="3"/>
  <c r="AI474" i="3" s="1"/>
  <c r="AF468" i="3"/>
  <c r="AI468" i="3" s="1"/>
  <c r="AF411" i="3"/>
  <c r="AI411" i="3" s="1"/>
  <c r="AF382" i="3"/>
  <c r="AI382" i="3" s="1"/>
  <c r="AF444" i="3"/>
  <c r="AI444" i="3" s="1"/>
  <c r="AF438" i="3"/>
  <c r="AI438" i="3" s="1"/>
  <c r="AF397" i="3"/>
  <c r="AI397" i="3" s="1"/>
  <c r="AF376" i="3"/>
  <c r="AI376" i="3" s="1"/>
  <c r="AF477" i="3"/>
  <c r="AI477" i="3" s="1"/>
  <c r="AF381" i="3"/>
  <c r="AI381" i="3" s="1"/>
  <c r="AF470" i="3"/>
  <c r="AI470" i="3" s="1"/>
  <c r="AF353" i="3"/>
  <c r="AI353" i="3" s="1"/>
  <c r="AF452" i="3"/>
  <c r="AI452" i="3" s="1"/>
  <c r="AF416" i="3"/>
  <c r="AI416" i="3" s="1"/>
  <c r="AF504" i="3"/>
  <c r="AI504" i="3" s="1"/>
  <c r="AF446" i="3"/>
  <c r="AI446" i="3" s="1"/>
  <c r="AF374" i="3"/>
  <c r="AI374" i="3" s="1"/>
  <c r="AF386" i="3"/>
  <c r="AI386" i="3" s="1"/>
  <c r="AF359" i="3"/>
  <c r="AI359" i="3" s="1"/>
  <c r="AF476" i="3"/>
  <c r="AI476" i="3" s="1"/>
  <c r="AF377" i="3"/>
  <c r="AI377" i="3" s="1"/>
  <c r="AF545" i="3"/>
  <c r="AI545" i="3" s="1"/>
  <c r="AF456" i="3"/>
  <c r="AI456" i="3" s="1"/>
  <c r="AF531" i="3"/>
  <c r="AI531" i="3" s="1"/>
  <c r="AF352" i="3"/>
  <c r="AI352" i="3" s="1"/>
  <c r="AF484" i="3"/>
  <c r="AI484" i="3" s="1"/>
  <c r="AF435" i="3"/>
  <c r="AI435" i="3" s="1"/>
  <c r="AF380" i="3"/>
  <c r="AI380" i="3" s="1"/>
  <c r="AF401" i="3"/>
  <c r="AI401" i="3" s="1"/>
  <c r="AF351" i="3"/>
  <c r="AI351" i="3" s="1"/>
  <c r="AF506" i="3"/>
  <c r="AI506" i="3" s="1"/>
  <c r="J506" i="3"/>
  <c r="AF365" i="3"/>
  <c r="AI365" i="3" s="1"/>
  <c r="AF471" i="3"/>
  <c r="AI471" i="3" s="1"/>
  <c r="AF462" i="3"/>
  <c r="AI462" i="3" s="1"/>
  <c r="AF515" i="3"/>
  <c r="AI515" i="3" s="1"/>
  <c r="AF517" i="3"/>
  <c r="AI517" i="3" s="1"/>
  <c r="AF400" i="3"/>
  <c r="AI400" i="3" s="1"/>
  <c r="AF530" i="3"/>
  <c r="AI530" i="3" s="1"/>
  <c r="AF516" i="3"/>
  <c r="AI516" i="3" s="1"/>
  <c r="AF454" i="3"/>
  <c r="AI454" i="3" s="1"/>
  <c r="AF387" i="3"/>
  <c r="AI387" i="3" s="1"/>
  <c r="AF467" i="3"/>
  <c r="AI467" i="3" s="1"/>
  <c r="AF513" i="3"/>
  <c r="AI513" i="3" s="1"/>
  <c r="AF496" i="3"/>
  <c r="AI496" i="3" s="1"/>
  <c r="AF436" i="3"/>
  <c r="AI436" i="3" s="1"/>
  <c r="AF403" i="3"/>
  <c r="AI403" i="3" s="1"/>
  <c r="AF429" i="3"/>
  <c r="AI429" i="3" s="1"/>
  <c r="AF393" i="3"/>
  <c r="AI393" i="3" s="1"/>
  <c r="AF419" i="3"/>
  <c r="AI419" i="3" s="1"/>
  <c r="AF385" i="3"/>
  <c r="AI385" i="3" s="1"/>
  <c r="AF379" i="3"/>
  <c r="AI379" i="3" s="1"/>
  <c r="AF432" i="3"/>
  <c r="AI432" i="3" s="1"/>
  <c r="AF406" i="3"/>
  <c r="AI406" i="3" s="1"/>
  <c r="AF420" i="3"/>
  <c r="AI420" i="3" s="1"/>
  <c r="AF367" i="3"/>
  <c r="AI367" i="3" s="1"/>
  <c r="AF412" i="3"/>
  <c r="AI412" i="3" s="1"/>
  <c r="AF493" i="3"/>
  <c r="AI493" i="3" s="1"/>
  <c r="AF430" i="3"/>
  <c r="AI430" i="3" s="1"/>
  <c r="AF441" i="3"/>
  <c r="AI441" i="3" s="1"/>
  <c r="AF418" i="3"/>
  <c r="AI418" i="3" s="1"/>
  <c r="AF460" i="3"/>
  <c r="AI460" i="3" s="1"/>
  <c r="AF534" i="3"/>
  <c r="AI534" i="3" s="1"/>
  <c r="AF521" i="3"/>
  <c r="AI521" i="3" s="1"/>
  <c r="AF518" i="3"/>
  <c r="AI518" i="3" s="1"/>
  <c r="AF465" i="3"/>
  <c r="AI465" i="3" s="1"/>
  <c r="AF426" i="3"/>
  <c r="AI426" i="3" s="1"/>
  <c r="AF514" i="3"/>
  <c r="AI514" i="3" s="1"/>
  <c r="AF492" i="3"/>
  <c r="AI492" i="3" s="1"/>
  <c r="AF355" i="3"/>
  <c r="AI355" i="3" s="1"/>
  <c r="AF478" i="3"/>
  <c r="AI478" i="3" s="1"/>
  <c r="AF503" i="3"/>
  <c r="AI503" i="3" s="1"/>
  <c r="AF447" i="3"/>
  <c r="AI447" i="3" s="1"/>
  <c r="AF522" i="3"/>
  <c r="AI522" i="3" s="1"/>
  <c r="AF489" i="3"/>
  <c r="AI489" i="3" s="1"/>
  <c r="AF442" i="3"/>
  <c r="AI442" i="3" s="1"/>
  <c r="AF528" i="3"/>
  <c r="AI528" i="3" s="1"/>
  <c r="AF510" i="3"/>
  <c r="AI510" i="3" s="1"/>
  <c r="AF533" i="3"/>
  <c r="AI533" i="3" s="1"/>
  <c r="AF527" i="3"/>
  <c r="AI527" i="3" s="1"/>
  <c r="AF427" i="3"/>
  <c r="AI427" i="3" s="1"/>
  <c r="AF512" i="3"/>
  <c r="AI512" i="3" s="1"/>
  <c r="AF364" i="3"/>
  <c r="AI364" i="3" s="1"/>
  <c r="AF524" i="3"/>
  <c r="AI524" i="3" s="1"/>
  <c r="AF480" i="3"/>
  <c r="AI480" i="3" s="1"/>
  <c r="AF358" i="3"/>
  <c r="AI358" i="3" s="1"/>
  <c r="AF388" i="3"/>
  <c r="AI388" i="3" s="1"/>
  <c r="AF361" i="3"/>
  <c r="AI361" i="3" s="1"/>
  <c r="AF453" i="3"/>
  <c r="AI453" i="3" s="1"/>
  <c r="AF495" i="3"/>
  <c r="AI495" i="3" s="1"/>
  <c r="AF394" i="3"/>
  <c r="AI394" i="3" s="1"/>
  <c r="AF373" i="3"/>
  <c r="AI373" i="3" s="1"/>
  <c r="AF466" i="3"/>
  <c r="AI466" i="3" s="1"/>
  <c r="AF459" i="3"/>
  <c r="AI459" i="3" s="1"/>
  <c r="W502" i="3"/>
  <c r="AA502" i="3" s="1"/>
  <c r="W503" i="3" s="1"/>
  <c r="AA503" i="3" s="1"/>
  <c r="W504" i="3" s="1"/>
  <c r="AA504" i="3" s="1"/>
  <c r="W505" i="3" s="1"/>
  <c r="AA505" i="3" s="1"/>
  <c r="W506" i="3" s="1"/>
  <c r="AA506" i="3" s="1"/>
  <c r="W507" i="3" s="1"/>
  <c r="AA507" i="3" s="1"/>
  <c r="W508" i="3" s="1"/>
  <c r="AA508" i="3" s="1"/>
  <c r="W509" i="3" s="1"/>
  <c r="AA509" i="3" s="1"/>
  <c r="W510" i="3" s="1"/>
  <c r="AA510" i="3" s="1"/>
  <c r="W511" i="3" s="1"/>
  <c r="AA511" i="3" s="1"/>
  <c r="W512" i="3" s="1"/>
  <c r="AA512" i="3" s="1"/>
  <c r="W513" i="3" s="1"/>
  <c r="AA513" i="3" s="1"/>
  <c r="W514" i="3" s="1"/>
  <c r="AA514" i="3" s="1"/>
  <c r="W515" i="3" s="1"/>
  <c r="AA515" i="3" s="1"/>
  <c r="W516" i="3" s="1"/>
  <c r="AA516" i="3" s="1"/>
  <c r="W517" i="3" s="1"/>
  <c r="AA517" i="3" s="1"/>
  <c r="W518" i="3" s="1"/>
  <c r="AA518" i="3" s="1"/>
  <c r="W519" i="3" s="1"/>
  <c r="AA519" i="3" s="1"/>
  <c r="W520" i="3" s="1"/>
  <c r="AA520" i="3" s="1"/>
  <c r="W521" i="3" s="1"/>
  <c r="AA521" i="3" s="1"/>
  <c r="W522" i="3" s="1"/>
  <c r="AA522" i="3" s="1"/>
  <c r="W523" i="3" s="1"/>
  <c r="AA523" i="3" s="1"/>
  <c r="W524" i="3" s="1"/>
  <c r="AA524" i="3" s="1"/>
  <c r="W525" i="3" s="1"/>
  <c r="AA525" i="3" s="1"/>
  <c r="W526" i="3" s="1"/>
  <c r="AA526" i="3" s="1"/>
  <c r="W527" i="3" s="1"/>
  <c r="AA527" i="3" s="1"/>
  <c r="W528" i="3" s="1"/>
  <c r="AA528" i="3" s="1"/>
  <c r="W529" i="3" s="1"/>
  <c r="AA529" i="3" s="1"/>
  <c r="W530" i="3" s="1"/>
  <c r="AA530" i="3" s="1"/>
  <c r="W531" i="3" s="1"/>
  <c r="AA531" i="3" s="1"/>
  <c r="W532" i="3" s="1"/>
  <c r="AA532" i="3" s="1"/>
  <c r="W533" i="3" s="1"/>
  <c r="AA533" i="3" s="1"/>
  <c r="W534" i="3" s="1"/>
  <c r="AA534" i="3" s="1"/>
  <c r="W535" i="3" s="1"/>
  <c r="AA535" i="3" s="1"/>
  <c r="W536" i="3" s="1"/>
  <c r="AA536" i="3" s="1"/>
  <c r="W537" i="3" s="1"/>
  <c r="AA537" i="3" s="1"/>
  <c r="W538" i="3" s="1"/>
  <c r="AA538" i="3" s="1"/>
  <c r="W539" i="3" s="1"/>
  <c r="AA539" i="3" s="1"/>
  <c r="W540" i="3" s="1"/>
  <c r="AA540" i="3" s="1"/>
  <c r="W541" i="3" s="1"/>
  <c r="AA541" i="3" s="1"/>
  <c r="W542" i="3" s="1"/>
  <c r="AA542" i="3" s="1"/>
  <c r="W543" i="3" s="1"/>
  <c r="AA543" i="3" s="1"/>
  <c r="W544" i="3" s="1"/>
  <c r="AA544" i="3" s="1"/>
  <c r="W545" i="3" s="1"/>
  <c r="AA545" i="3" s="1"/>
  <c r="W546" i="3" s="1"/>
  <c r="AA546" i="3" s="1"/>
  <c r="W547" i="3" s="1"/>
  <c r="AA547" i="3" s="1"/>
  <c r="W548" i="3" s="1"/>
  <c r="AA548" i="3" s="1"/>
  <c r="W549" i="3" s="1"/>
  <c r="AA549" i="3" s="1"/>
  <c r="W550" i="3" s="1"/>
  <c r="AA550" i="3" s="1"/>
  <c r="W551" i="3" s="1"/>
  <c r="AA551" i="3" s="1"/>
  <c r="W552" i="3" s="1"/>
  <c r="AA552" i="3" s="1"/>
  <c r="W553" i="3" s="1"/>
  <c r="AA553" i="3" s="1"/>
  <c r="W554" i="3" s="1"/>
  <c r="AA554" i="3" s="1"/>
  <c r="W555" i="3" s="1"/>
  <c r="AA555" i="3" s="1"/>
  <c r="W556" i="3" s="1"/>
  <c r="AA556" i="3" s="1"/>
  <c r="W557" i="3" s="1"/>
  <c r="AA557" i="3" s="1"/>
  <c r="W558" i="3" s="1"/>
  <c r="AA558" i="3" s="1"/>
  <c r="W559" i="3" s="1"/>
  <c r="AA559" i="3" s="1"/>
  <c r="W560" i="3" s="1"/>
  <c r="AA560" i="3" s="1"/>
  <c r="W561" i="3" s="1"/>
  <c r="AA561" i="3" s="1"/>
  <c r="W562" i="3" s="1"/>
  <c r="AA562" i="3" s="1"/>
  <c r="W563" i="3" s="1"/>
  <c r="AA563" i="3" s="1"/>
  <c r="W564" i="3" s="1"/>
  <c r="AA564" i="3" s="1"/>
  <c r="W565" i="3" s="1"/>
  <c r="AA565" i="3" s="1"/>
  <c r="W566" i="3" s="1"/>
  <c r="AA566" i="3" s="1"/>
  <c r="W567" i="3" s="1"/>
  <c r="AA567" i="3" s="1"/>
  <c r="W568" i="3" s="1"/>
  <c r="AA568" i="3" s="1"/>
  <c r="W569" i="3" s="1"/>
  <c r="AA569" i="3" s="1"/>
  <c r="W570" i="3" s="1"/>
  <c r="AA570" i="3" s="1"/>
  <c r="W571" i="3" s="1"/>
  <c r="AA571" i="3" s="1"/>
  <c r="W572" i="3" s="1"/>
  <c r="AA572" i="3" s="1"/>
  <c r="W573" i="3" s="1"/>
  <c r="AA573" i="3" s="1"/>
  <c r="W574" i="3" s="1"/>
  <c r="AA574" i="3" s="1"/>
  <c r="W575" i="3" s="1"/>
  <c r="AA575" i="3" s="1"/>
  <c r="W576" i="3" s="1"/>
  <c r="AA576" i="3" s="1"/>
  <c r="W577" i="3" s="1"/>
  <c r="AA577" i="3" s="1"/>
  <c r="W578" i="3" s="1"/>
  <c r="AA578" i="3" s="1"/>
  <c r="W579" i="3" s="1"/>
  <c r="AA579" i="3" s="1"/>
  <c r="W580" i="3" s="1"/>
  <c r="AA580" i="3" s="1"/>
  <c r="W581" i="3" s="1"/>
  <c r="AA581" i="3" s="1"/>
  <c r="W582" i="3" s="1"/>
  <c r="AA582" i="3" s="1"/>
  <c r="W583" i="3" s="1"/>
  <c r="AA583" i="3" s="1"/>
  <c r="W584" i="3" s="1"/>
  <c r="AA584" i="3" s="1"/>
  <c r="W585" i="3" s="1"/>
  <c r="AA585" i="3" s="1"/>
  <c r="W586" i="3" s="1"/>
  <c r="AA586" i="3" s="1"/>
  <c r="W587" i="3" s="1"/>
  <c r="AA587" i="3" s="1"/>
  <c r="W588" i="3" s="1"/>
  <c r="AA588" i="3" s="1"/>
  <c r="W589" i="3" s="1"/>
  <c r="AA589" i="3" s="1"/>
  <c r="W590" i="3" s="1"/>
  <c r="AA590" i="3" s="1"/>
  <c r="W591" i="3" s="1"/>
  <c r="AA591" i="3" s="1"/>
  <c r="W592" i="3" s="1"/>
  <c r="AA592" i="3" s="1"/>
  <c r="W593" i="3" s="1"/>
  <c r="AA593" i="3" s="1"/>
  <c r="W594" i="3" s="1"/>
  <c r="AA594" i="3" s="1"/>
  <c r="W595" i="3" s="1"/>
  <c r="AA595" i="3" s="1"/>
  <c r="W596" i="3" s="1"/>
  <c r="AA596" i="3" s="1"/>
  <c r="W597" i="3" s="1"/>
  <c r="AA597" i="3" s="1"/>
  <c r="W598" i="3" s="1"/>
  <c r="AA598" i="3" s="1"/>
  <c r="W599" i="3" s="1"/>
  <c r="AA599" i="3" s="1"/>
  <c r="W600" i="3" s="1"/>
  <c r="AA600" i="3" s="1"/>
  <c r="W601" i="3" s="1"/>
  <c r="AA601" i="3" s="1"/>
  <c r="W602" i="3" s="1"/>
  <c r="AA602" i="3" s="1"/>
  <c r="W603" i="3" s="1"/>
  <c r="AA603" i="3" s="1"/>
  <c r="W604" i="3" s="1"/>
  <c r="AA604" i="3" s="1"/>
  <c r="W605" i="3" s="1"/>
  <c r="AA605" i="3" s="1"/>
  <c r="W606" i="3" s="1"/>
  <c r="AA606" i="3" s="1"/>
  <c r="W607" i="3" s="1"/>
  <c r="AA607" i="3" s="1"/>
  <c r="W608" i="3" s="1"/>
  <c r="AA608" i="3" s="1"/>
  <c r="W609" i="3" s="1"/>
  <c r="AA609" i="3" s="1"/>
  <c r="W610" i="3" s="1"/>
  <c r="AA610" i="3" s="1"/>
  <c r="W611" i="3" s="1"/>
  <c r="AA611" i="3" s="1"/>
  <c r="W612" i="3" s="1"/>
  <c r="AA612" i="3" s="1"/>
  <c r="W613" i="3" s="1"/>
  <c r="AA613" i="3" s="1"/>
  <c r="W614" i="3" s="1"/>
  <c r="AA614" i="3" s="1"/>
  <c r="W615" i="3" s="1"/>
  <c r="AA615" i="3" s="1"/>
  <c r="W616" i="3" s="1"/>
  <c r="AA616" i="3" s="1"/>
  <c r="W617" i="3" s="1"/>
  <c r="AA617" i="3" s="1"/>
  <c r="W618" i="3" s="1"/>
  <c r="AA618" i="3" s="1"/>
  <c r="W619" i="3" s="1"/>
  <c r="AA619" i="3" s="1"/>
  <c r="W620" i="3" s="1"/>
  <c r="AA620" i="3" s="1"/>
  <c r="W621" i="3" s="1"/>
  <c r="AA621" i="3" s="1"/>
  <c r="W622" i="3" s="1"/>
  <c r="AA622" i="3" s="1"/>
  <c r="W623" i="3" s="1"/>
  <c r="AA623" i="3" s="1"/>
  <c r="W624" i="3" s="1"/>
  <c r="AA624" i="3" s="1"/>
  <c r="AJ350" i="3" l="1"/>
  <c r="BN350" i="3" s="1"/>
  <c r="AJ351" i="3" s="1"/>
  <c r="BN351" i="3" s="1"/>
  <c r="AJ352" i="3" s="1"/>
  <c r="BN352" i="3" s="1"/>
  <c r="AJ353" i="3" s="1"/>
  <c r="BN353" i="3" s="1"/>
  <c r="AJ354" i="3" s="1"/>
  <c r="BN354" i="3" s="1"/>
  <c r="AJ355" i="3" s="1"/>
  <c r="BN355" i="3" s="1"/>
  <c r="AJ356" i="3" s="1"/>
  <c r="BN356" i="3" s="1"/>
  <c r="AJ357" i="3" s="1"/>
  <c r="BN357" i="3" s="1"/>
  <c r="AJ358" i="3" s="1"/>
  <c r="BN358" i="3" s="1"/>
  <c r="AJ359" i="3" s="1"/>
  <c r="BN359" i="3" s="1"/>
  <c r="AJ360" i="3" s="1"/>
  <c r="BN360" i="3" s="1"/>
  <c r="AJ361" i="3" s="1"/>
  <c r="BN361" i="3" s="1"/>
  <c r="AJ362" i="3" s="1"/>
  <c r="BN362" i="3" s="1"/>
  <c r="AJ363" i="3" s="1"/>
  <c r="BN363" i="3" s="1"/>
  <c r="AJ364" i="3" s="1"/>
  <c r="BN364" i="3" s="1"/>
  <c r="AJ365" i="3" s="1"/>
  <c r="BN365" i="3" s="1"/>
  <c r="AJ366" i="3" s="1"/>
  <c r="BN366" i="3" s="1"/>
  <c r="AJ367" i="3" s="1"/>
  <c r="BN367" i="3" s="1"/>
  <c r="AJ368" i="3" s="1"/>
  <c r="BN368" i="3" s="1"/>
  <c r="AJ369" i="3" s="1"/>
  <c r="BN369" i="3" s="1"/>
  <c r="AJ370" i="3" s="1"/>
  <c r="BN370" i="3" s="1"/>
  <c r="AJ371" i="3" s="1"/>
  <c r="BN371" i="3" s="1"/>
  <c r="AJ372" i="3" s="1"/>
  <c r="BN372" i="3" s="1"/>
  <c r="AJ373" i="3" s="1"/>
  <c r="BN373" i="3" s="1"/>
  <c r="AJ374" i="3" s="1"/>
  <c r="BN374" i="3" s="1"/>
  <c r="AJ375" i="3" s="1"/>
  <c r="BN375" i="3" s="1"/>
  <c r="AJ376" i="3" s="1"/>
  <c r="BN376" i="3" s="1"/>
  <c r="AJ377" i="3" s="1"/>
  <c r="BN377" i="3" s="1"/>
  <c r="AJ378" i="3" s="1"/>
  <c r="BN378" i="3" s="1"/>
  <c r="AJ379" i="3" s="1"/>
  <c r="BN379" i="3" s="1"/>
  <c r="AJ380" i="3" s="1"/>
  <c r="BN380" i="3" s="1"/>
  <c r="AJ381" i="3" s="1"/>
  <c r="BN381" i="3" s="1"/>
  <c r="AJ382" i="3" s="1"/>
  <c r="BN382" i="3" s="1"/>
  <c r="AJ383" i="3" s="1"/>
  <c r="BN383" i="3" s="1"/>
  <c r="AJ384" i="3" s="1"/>
  <c r="BN384" i="3" s="1"/>
  <c r="AJ385" i="3" s="1"/>
  <c r="BN385" i="3" s="1"/>
  <c r="AJ386" i="3" s="1"/>
  <c r="BN386" i="3" s="1"/>
  <c r="AJ387" i="3" s="1"/>
  <c r="BN387" i="3" s="1"/>
  <c r="AJ388" i="3" s="1"/>
  <c r="BN388" i="3" s="1"/>
  <c r="AJ389" i="3" s="1"/>
  <c r="BN389" i="3" s="1"/>
  <c r="AJ390" i="3" s="1"/>
  <c r="BN390" i="3" s="1"/>
  <c r="AJ391" i="3" s="1"/>
  <c r="BN391" i="3" s="1"/>
  <c r="AJ392" i="3" s="1"/>
  <c r="BN392" i="3" s="1"/>
  <c r="AJ393" i="3" s="1"/>
  <c r="BN393" i="3" s="1"/>
  <c r="AJ394" i="3" s="1"/>
  <c r="BN394" i="3" s="1"/>
  <c r="AJ395" i="3" s="1"/>
  <c r="BN395" i="3" s="1"/>
  <c r="AJ396" i="3" s="1"/>
  <c r="BN396" i="3" s="1"/>
  <c r="AJ397" i="3" s="1"/>
  <c r="BN397" i="3" s="1"/>
  <c r="AJ398" i="3" s="1"/>
  <c r="BN398" i="3" s="1"/>
  <c r="AJ399" i="3" s="1"/>
  <c r="BN399" i="3" s="1"/>
  <c r="AJ400" i="3" s="1"/>
  <c r="BN400" i="3" s="1"/>
  <c r="AJ401" i="3" s="1"/>
  <c r="BN401" i="3" s="1"/>
  <c r="AJ402" i="3" s="1"/>
  <c r="BN402" i="3" s="1"/>
  <c r="AJ403" i="3" s="1"/>
  <c r="BN403" i="3" s="1"/>
  <c r="AJ404" i="3" s="1"/>
  <c r="BN404" i="3" s="1"/>
  <c r="AJ405" i="3" s="1"/>
  <c r="BN405" i="3" s="1"/>
  <c r="AJ406" i="3" s="1"/>
  <c r="BN406" i="3" s="1"/>
  <c r="AJ407" i="3" s="1"/>
  <c r="BN407" i="3" s="1"/>
  <c r="AJ408" i="3" s="1"/>
  <c r="BN408" i="3" s="1"/>
  <c r="AJ409" i="3" s="1"/>
  <c r="BN409" i="3" s="1"/>
  <c r="AJ410" i="3" s="1"/>
  <c r="BN410" i="3" s="1"/>
  <c r="AJ411" i="3" s="1"/>
  <c r="BN411" i="3" s="1"/>
  <c r="AJ412" i="3" s="1"/>
  <c r="BN412" i="3" s="1"/>
  <c r="AJ413" i="3" s="1"/>
  <c r="BN413" i="3" s="1"/>
  <c r="AJ414" i="3" s="1"/>
  <c r="BN414" i="3" s="1"/>
  <c r="AJ415" i="3" s="1"/>
  <c r="BN415" i="3" s="1"/>
  <c r="AJ416" i="3" s="1"/>
  <c r="BN416" i="3" s="1"/>
  <c r="AJ417" i="3" s="1"/>
  <c r="BN417" i="3" s="1"/>
  <c r="AJ418" i="3" s="1"/>
  <c r="BN418" i="3" s="1"/>
  <c r="AJ419" i="3" s="1"/>
  <c r="BN419" i="3" s="1"/>
  <c r="AJ420" i="3" s="1"/>
  <c r="BN420" i="3" s="1"/>
  <c r="AJ421" i="3" s="1"/>
  <c r="BN421" i="3" s="1"/>
  <c r="AJ422" i="3" s="1"/>
  <c r="BN422" i="3" s="1"/>
  <c r="AJ423" i="3" s="1"/>
  <c r="BN423" i="3" s="1"/>
  <c r="AJ424" i="3" s="1"/>
  <c r="BN424" i="3" s="1"/>
  <c r="AJ425" i="3" s="1"/>
  <c r="BN425" i="3" s="1"/>
  <c r="AJ426" i="3" s="1"/>
  <c r="BN426" i="3" s="1"/>
  <c r="AJ427" i="3" s="1"/>
  <c r="BN427" i="3" s="1"/>
  <c r="AJ428" i="3" s="1"/>
  <c r="BN428" i="3" s="1"/>
  <c r="AJ429" i="3" s="1"/>
  <c r="BN429" i="3" s="1"/>
  <c r="AJ430" i="3" s="1"/>
  <c r="BN430" i="3" s="1"/>
  <c r="AJ431" i="3" s="1"/>
  <c r="BN431" i="3" s="1"/>
  <c r="AJ432" i="3" s="1"/>
  <c r="BN432" i="3" s="1"/>
  <c r="AJ433" i="3" s="1"/>
  <c r="BN433" i="3" s="1"/>
  <c r="AJ434" i="3" s="1"/>
  <c r="BN434" i="3" s="1"/>
  <c r="AJ435" i="3" s="1"/>
  <c r="BN435" i="3" s="1"/>
  <c r="AJ436" i="3" s="1"/>
  <c r="BN436" i="3" s="1"/>
  <c r="AJ437" i="3" s="1"/>
  <c r="BN437" i="3" s="1"/>
  <c r="AJ438" i="3" s="1"/>
  <c r="BN438" i="3" s="1"/>
  <c r="AJ439" i="3" s="1"/>
  <c r="BN439" i="3" s="1"/>
  <c r="AJ440" i="3" s="1"/>
  <c r="BN440" i="3" s="1"/>
  <c r="AJ441" i="3" s="1"/>
  <c r="BN441" i="3" s="1"/>
  <c r="AJ442" i="3" s="1"/>
  <c r="BN442" i="3" s="1"/>
  <c r="AJ443" i="3" s="1"/>
  <c r="BN443" i="3" s="1"/>
  <c r="AJ444" i="3" s="1"/>
  <c r="BN444" i="3" s="1"/>
  <c r="AJ445" i="3" s="1"/>
  <c r="BN445" i="3" s="1"/>
  <c r="AJ446" i="3" s="1"/>
  <c r="BN446" i="3" s="1"/>
  <c r="AJ447" i="3" s="1"/>
  <c r="BN447" i="3" s="1"/>
  <c r="AJ448" i="3" s="1"/>
  <c r="BN448" i="3" s="1"/>
  <c r="AJ449" i="3" s="1"/>
  <c r="BN449" i="3" s="1"/>
  <c r="AJ450" i="3" s="1"/>
  <c r="BN450" i="3" s="1"/>
  <c r="AJ451" i="3" s="1"/>
  <c r="BN451" i="3" s="1"/>
  <c r="AJ452" i="3" s="1"/>
  <c r="BN452" i="3" s="1"/>
  <c r="AJ453" i="3" s="1"/>
  <c r="BN453" i="3" s="1"/>
  <c r="AJ454" i="3" s="1"/>
  <c r="BN454" i="3" s="1"/>
  <c r="AJ455" i="3" s="1"/>
  <c r="BN455" i="3" s="1"/>
  <c r="AJ456" i="3" s="1"/>
  <c r="BN456" i="3" s="1"/>
  <c r="AJ457" i="3" s="1"/>
  <c r="BN457" i="3" s="1"/>
  <c r="AJ458" i="3" s="1"/>
  <c r="BN458" i="3" s="1"/>
  <c r="AJ459" i="3" s="1"/>
  <c r="BN459" i="3" s="1"/>
  <c r="AJ460" i="3" s="1"/>
  <c r="BN460" i="3" s="1"/>
  <c r="AJ461" i="3" s="1"/>
  <c r="BN461" i="3" s="1"/>
  <c r="AJ462" i="3" s="1"/>
  <c r="BN462" i="3" s="1"/>
  <c r="AJ463" i="3" s="1"/>
  <c r="BN463" i="3" s="1"/>
  <c r="AJ464" i="3" s="1"/>
  <c r="BN464" i="3" s="1"/>
  <c r="AJ465" i="3" s="1"/>
  <c r="BN465" i="3" s="1"/>
  <c r="AJ466" i="3" s="1"/>
  <c r="BN466" i="3" s="1"/>
  <c r="AJ467" i="3" s="1"/>
  <c r="BN467" i="3" s="1"/>
  <c r="AJ468" i="3" s="1"/>
  <c r="BN468" i="3" s="1"/>
  <c r="AJ469" i="3" s="1"/>
  <c r="BN469" i="3" s="1"/>
  <c r="AJ470" i="3" s="1"/>
  <c r="BN470" i="3" s="1"/>
  <c r="AJ471" i="3" s="1"/>
  <c r="BN471" i="3" s="1"/>
  <c r="AJ472" i="3" s="1"/>
  <c r="BN472" i="3" s="1"/>
  <c r="AJ473" i="3" s="1"/>
  <c r="BN473" i="3" s="1"/>
  <c r="AJ474" i="3" s="1"/>
  <c r="BN474" i="3" s="1"/>
  <c r="AJ475" i="3" s="1"/>
  <c r="BN475" i="3" s="1"/>
  <c r="AJ476" i="3" s="1"/>
  <c r="BN476" i="3" s="1"/>
  <c r="AJ477" i="3" s="1"/>
  <c r="BN477" i="3" s="1"/>
  <c r="AJ478" i="3" s="1"/>
  <c r="BN478" i="3" s="1"/>
  <c r="AJ479" i="3" s="1"/>
  <c r="BN479" i="3" s="1"/>
  <c r="AJ480" i="3" s="1"/>
  <c r="BN480" i="3" s="1"/>
  <c r="AJ481" i="3" s="1"/>
  <c r="BN481" i="3" s="1"/>
  <c r="AJ482" i="3" s="1"/>
  <c r="BN482" i="3" s="1"/>
  <c r="AJ483" i="3" s="1"/>
  <c r="BN483" i="3" s="1"/>
  <c r="AJ484" i="3" s="1"/>
  <c r="BN484" i="3" s="1"/>
  <c r="AJ485" i="3" s="1"/>
  <c r="BN485" i="3" s="1"/>
  <c r="AJ486" i="3" s="1"/>
  <c r="BN486" i="3" s="1"/>
  <c r="AJ487" i="3" s="1"/>
  <c r="BN487" i="3" s="1"/>
  <c r="AJ488" i="3" s="1"/>
  <c r="BN488" i="3" s="1"/>
  <c r="AJ489" i="3" s="1"/>
  <c r="BN489" i="3" s="1"/>
  <c r="AJ490" i="3" s="1"/>
  <c r="BN490" i="3" s="1"/>
  <c r="AJ491" i="3" s="1"/>
  <c r="BN491" i="3" s="1"/>
  <c r="AJ492" i="3" s="1"/>
  <c r="BN492" i="3" s="1"/>
  <c r="AJ493" i="3" s="1"/>
  <c r="BN493" i="3" s="1"/>
  <c r="AJ494" i="3" s="1"/>
  <c r="BN494" i="3" s="1"/>
  <c r="AJ495" i="3" s="1"/>
  <c r="BN495" i="3" s="1"/>
  <c r="AJ496" i="3" s="1"/>
  <c r="BN496" i="3" s="1"/>
  <c r="AJ497" i="3" s="1"/>
  <c r="BN497" i="3" s="1"/>
  <c r="AJ498" i="3" s="1"/>
  <c r="BN498" i="3" s="1"/>
  <c r="AJ499" i="3" s="1"/>
  <c r="BN499" i="3" s="1"/>
  <c r="AJ500" i="3" s="1"/>
  <c r="BN500" i="3" s="1"/>
  <c r="AJ501" i="3" s="1"/>
  <c r="BN501" i="3" s="1"/>
  <c r="AJ502" i="3" s="1"/>
  <c r="BN502" i="3" s="1"/>
  <c r="AJ503" i="3" s="1"/>
  <c r="BN503" i="3" s="1"/>
  <c r="AJ504" i="3" s="1"/>
  <c r="BN504" i="3" s="1"/>
  <c r="AJ505" i="3" s="1"/>
  <c r="BN505" i="3" s="1"/>
  <c r="AJ506" i="3" s="1"/>
  <c r="BN506" i="3" s="1"/>
  <c r="AJ507" i="3" s="1"/>
  <c r="BN507" i="3" s="1"/>
  <c r="AJ508" i="3" s="1"/>
  <c r="BN508" i="3" s="1"/>
  <c r="AJ509" i="3" s="1"/>
  <c r="BN509" i="3" s="1"/>
  <c r="AJ510" i="3" s="1"/>
  <c r="BN510" i="3" s="1"/>
  <c r="AJ511" i="3" s="1"/>
  <c r="BN511" i="3" s="1"/>
  <c r="AJ512" i="3" s="1"/>
  <c r="BN512" i="3" s="1"/>
  <c r="AJ513" i="3" s="1"/>
  <c r="BN513" i="3" s="1"/>
  <c r="AJ514" i="3" s="1"/>
  <c r="BN514" i="3" s="1"/>
  <c r="AJ515" i="3" s="1"/>
  <c r="BN515" i="3" s="1"/>
  <c r="AJ516" i="3" s="1"/>
  <c r="BN516" i="3" s="1"/>
  <c r="AJ517" i="3" s="1"/>
  <c r="BN517" i="3" s="1"/>
  <c r="AJ518" i="3" s="1"/>
  <c r="BN518" i="3" s="1"/>
  <c r="AJ519" i="3" s="1"/>
  <c r="BN519" i="3" s="1"/>
  <c r="AJ520" i="3" s="1"/>
  <c r="BN520" i="3" s="1"/>
  <c r="AJ521" i="3" s="1"/>
  <c r="BN521" i="3" s="1"/>
  <c r="AJ522" i="3" s="1"/>
  <c r="BN522" i="3" s="1"/>
  <c r="AJ523" i="3" s="1"/>
  <c r="BN523" i="3" s="1"/>
  <c r="AJ524" i="3" s="1"/>
  <c r="BN524" i="3" s="1"/>
  <c r="AJ525" i="3" s="1"/>
  <c r="BN525" i="3" s="1"/>
  <c r="AJ526" i="3" s="1"/>
  <c r="BN526" i="3" s="1"/>
  <c r="AJ527" i="3" s="1"/>
  <c r="BN527" i="3" s="1"/>
  <c r="AJ528" i="3" s="1"/>
  <c r="BN528" i="3" s="1"/>
  <c r="AJ529" i="3" s="1"/>
  <c r="BN529" i="3" s="1"/>
  <c r="AJ530" i="3" s="1"/>
  <c r="BN530" i="3" s="1"/>
  <c r="AJ531" i="3" s="1"/>
  <c r="BN531" i="3" s="1"/>
  <c r="AJ532" i="3" s="1"/>
  <c r="BN532" i="3" s="1"/>
  <c r="K506" i="3"/>
  <c r="O506" i="3" s="1"/>
  <c r="K507" i="3" s="1"/>
  <c r="O507" i="3" s="1"/>
  <c r="K508" i="3" s="1"/>
  <c r="O508" i="3" s="1"/>
  <c r="K509" i="3" s="1"/>
  <c r="O509" i="3" s="1"/>
  <c r="K510" i="3" s="1"/>
  <c r="O510" i="3" s="1"/>
  <c r="K511" i="3" s="1"/>
  <c r="O511" i="3" s="1"/>
  <c r="K512" i="3" s="1"/>
  <c r="O512" i="3" s="1"/>
  <c r="K513" i="3" s="1"/>
  <c r="O513" i="3" s="1"/>
  <c r="K514" i="3" s="1"/>
  <c r="O514" i="3" s="1"/>
  <c r="K515" i="3" s="1"/>
  <c r="O515" i="3" s="1"/>
  <c r="K516" i="3" s="1"/>
  <c r="O516" i="3" s="1"/>
  <c r="K517" i="3" s="1"/>
  <c r="O517" i="3" s="1"/>
  <c r="K518" i="3" s="1"/>
  <c r="O518" i="3" s="1"/>
  <c r="K519" i="3" s="1"/>
  <c r="O519" i="3" s="1"/>
  <c r="K520" i="3" s="1"/>
  <c r="O520" i="3" s="1"/>
  <c r="K521" i="3" s="1"/>
  <c r="O521" i="3" s="1"/>
  <c r="K522" i="3" s="1"/>
  <c r="O522" i="3" s="1"/>
  <c r="K523" i="3" s="1"/>
  <c r="O523" i="3" s="1"/>
  <c r="K524" i="3" s="1"/>
  <c r="O524" i="3" s="1"/>
  <c r="K525" i="3" s="1"/>
  <c r="O525" i="3" s="1"/>
  <c r="K526" i="3" s="1"/>
  <c r="O526" i="3" s="1"/>
  <c r="K527" i="3" s="1"/>
  <c r="O527" i="3" s="1"/>
  <c r="K528" i="3" s="1"/>
  <c r="O528" i="3" s="1"/>
  <c r="K529" i="3" s="1"/>
  <c r="O529" i="3" s="1"/>
  <c r="K530" i="3" s="1"/>
  <c r="O530" i="3" s="1"/>
  <c r="K531" i="3" s="1"/>
  <c r="O531" i="3" s="1"/>
  <c r="K532" i="3" s="1"/>
  <c r="O532" i="3" s="1"/>
  <c r="K533" i="3" s="1"/>
  <c r="O533" i="3" s="1"/>
  <c r="K534" i="3" l="1"/>
  <c r="O534" i="3" s="1"/>
  <c r="K535" i="3" s="1"/>
  <c r="O535" i="3" s="1"/>
  <c r="K536" i="3" s="1"/>
  <c r="O536" i="3" s="1"/>
  <c r="K537" i="3" s="1"/>
  <c r="O537" i="3" s="1"/>
  <c r="K538" i="3" s="1"/>
  <c r="O538" i="3" s="1"/>
  <c r="K539" i="3" s="1"/>
  <c r="O539" i="3" s="1"/>
  <c r="K540" i="3" s="1"/>
  <c r="O540" i="3" s="1"/>
  <c r="K541" i="3" s="1"/>
  <c r="O541" i="3" s="1"/>
  <c r="K542" i="3" s="1"/>
  <c r="O542" i="3" s="1"/>
  <c r="K543" i="3" s="1"/>
  <c r="O543" i="3" s="1"/>
  <c r="K544" i="3" s="1"/>
  <c r="O544" i="3" s="1"/>
  <c r="K545" i="3" s="1"/>
  <c r="O545" i="3" s="1"/>
  <c r="K546" i="3" s="1"/>
  <c r="O546" i="3" s="1"/>
  <c r="K547" i="3" s="1"/>
  <c r="O547" i="3" s="1"/>
  <c r="K548" i="3" s="1"/>
  <c r="O548" i="3" s="1"/>
  <c r="K549" i="3" s="1"/>
  <c r="O549" i="3" s="1"/>
  <c r="K550" i="3" s="1"/>
  <c r="O550" i="3" s="1"/>
  <c r="K551" i="3" s="1"/>
  <c r="O551" i="3" s="1"/>
  <c r="K552" i="3" s="1"/>
  <c r="O552" i="3" s="1"/>
  <c r="K553" i="3" s="1"/>
  <c r="O553" i="3" s="1"/>
  <c r="K554" i="3" s="1"/>
  <c r="O554" i="3" s="1"/>
  <c r="K555" i="3" s="1"/>
  <c r="O555" i="3" s="1"/>
  <c r="K556" i="3" s="1"/>
  <c r="O556" i="3" s="1"/>
  <c r="K557" i="3" s="1"/>
  <c r="O557" i="3" s="1"/>
  <c r="K558" i="3" s="1"/>
  <c r="O558" i="3" s="1"/>
  <c r="K559" i="3" s="1"/>
  <c r="O559" i="3" s="1"/>
  <c r="K560" i="3" s="1"/>
  <c r="O560" i="3" s="1"/>
  <c r="K561" i="3" s="1"/>
  <c r="O561" i="3" s="1"/>
  <c r="K562" i="3" s="1"/>
  <c r="O562" i="3" s="1"/>
  <c r="K563" i="3" s="1"/>
  <c r="O563" i="3" s="1"/>
  <c r="K564" i="3" s="1"/>
  <c r="O564" i="3" s="1"/>
  <c r="K565" i="3" s="1"/>
  <c r="O565" i="3" s="1"/>
  <c r="K566" i="3" s="1"/>
  <c r="O566" i="3" s="1"/>
  <c r="K567" i="3" s="1"/>
  <c r="O567" i="3" s="1"/>
  <c r="K568" i="3" s="1"/>
  <c r="O568" i="3" s="1"/>
  <c r="K569" i="3" s="1"/>
  <c r="O569" i="3" s="1"/>
  <c r="K570" i="3" s="1"/>
  <c r="O570" i="3" s="1"/>
  <c r="K571" i="3" s="1"/>
  <c r="O571" i="3" s="1"/>
  <c r="K572" i="3" s="1"/>
  <c r="O572" i="3" s="1"/>
  <c r="K573" i="3" s="1"/>
  <c r="O573" i="3" s="1"/>
  <c r="K574" i="3" s="1"/>
  <c r="O574" i="3" s="1"/>
  <c r="K575" i="3" s="1"/>
  <c r="O575" i="3" s="1"/>
  <c r="K576" i="3" s="1"/>
  <c r="O576" i="3" s="1"/>
  <c r="K577" i="3" s="1"/>
  <c r="O577" i="3" s="1"/>
  <c r="K578" i="3" s="1"/>
  <c r="O578" i="3" s="1"/>
  <c r="K579" i="3" s="1"/>
  <c r="O579" i="3" s="1"/>
  <c r="K580" i="3" s="1"/>
  <c r="O580" i="3" s="1"/>
  <c r="K581" i="3" s="1"/>
  <c r="O581" i="3" s="1"/>
  <c r="K582" i="3" s="1"/>
  <c r="O582" i="3" s="1"/>
  <c r="K583" i="3" s="1"/>
  <c r="O583" i="3" s="1"/>
  <c r="K584" i="3" s="1"/>
  <c r="O584" i="3" s="1"/>
  <c r="K585" i="3" s="1"/>
  <c r="O585" i="3" s="1"/>
  <c r="K586" i="3" s="1"/>
  <c r="O586" i="3" s="1"/>
  <c r="K587" i="3" s="1"/>
  <c r="O587" i="3" s="1"/>
  <c r="K588" i="3" s="1"/>
  <c r="O588" i="3" s="1"/>
  <c r="K589" i="3" s="1"/>
  <c r="O589" i="3" s="1"/>
  <c r="K590" i="3" s="1"/>
  <c r="O590" i="3" s="1"/>
  <c r="K591" i="3" s="1"/>
  <c r="O591" i="3" s="1"/>
  <c r="K592" i="3" s="1"/>
  <c r="O592" i="3" s="1"/>
  <c r="K593" i="3" s="1"/>
  <c r="O593" i="3" s="1"/>
  <c r="K594" i="3" s="1"/>
  <c r="O594" i="3" s="1"/>
  <c r="K595" i="3" s="1"/>
  <c r="O595" i="3" s="1"/>
  <c r="K596" i="3" s="1"/>
  <c r="O596" i="3" s="1"/>
  <c r="K597" i="3" s="1"/>
  <c r="O597" i="3" s="1"/>
  <c r="K598" i="3" s="1"/>
  <c r="O598" i="3" s="1"/>
  <c r="K599" i="3" s="1"/>
  <c r="O599" i="3" s="1"/>
  <c r="K600" i="3" s="1"/>
  <c r="O600" i="3" s="1"/>
  <c r="K601" i="3" s="1"/>
  <c r="O601" i="3" s="1"/>
  <c r="K602" i="3" s="1"/>
  <c r="O602" i="3" s="1"/>
  <c r="K603" i="3" s="1"/>
  <c r="O603" i="3" s="1"/>
  <c r="K604" i="3" s="1"/>
  <c r="O604" i="3" s="1"/>
  <c r="K605" i="3" s="1"/>
  <c r="O605" i="3" s="1"/>
  <c r="K606" i="3" s="1"/>
  <c r="O606" i="3" s="1"/>
  <c r="K607" i="3" s="1"/>
  <c r="O607" i="3" s="1"/>
  <c r="K608" i="3" s="1"/>
  <c r="O608" i="3" s="1"/>
  <c r="K609" i="3" s="1"/>
  <c r="O609" i="3" s="1"/>
  <c r="K610" i="3" s="1"/>
  <c r="O610" i="3" s="1"/>
  <c r="K611" i="3" s="1"/>
  <c r="O611" i="3" s="1"/>
  <c r="K612" i="3" s="1"/>
  <c r="O612" i="3" s="1"/>
  <c r="K613" i="3" s="1"/>
  <c r="O613" i="3" s="1"/>
  <c r="K614" i="3" s="1"/>
  <c r="O614" i="3" s="1"/>
  <c r="K615" i="3" s="1"/>
  <c r="O615" i="3" s="1"/>
  <c r="K616" i="3" s="1"/>
  <c r="O616" i="3" s="1"/>
  <c r="K617" i="3" s="1"/>
  <c r="O617" i="3" s="1"/>
  <c r="K618" i="3" s="1"/>
  <c r="O618" i="3" s="1"/>
  <c r="K619" i="3" s="1"/>
  <c r="O619" i="3" s="1"/>
  <c r="K620" i="3" s="1"/>
  <c r="O620" i="3" s="1"/>
  <c r="K621" i="3" s="1"/>
  <c r="O621" i="3" s="1"/>
  <c r="K622" i="3" s="1"/>
  <c r="O622" i="3" s="1"/>
  <c r="K623" i="3" s="1"/>
  <c r="O623" i="3" s="1"/>
  <c r="K624" i="3" s="1"/>
  <c r="O624" i="3" s="1"/>
  <c r="BQ432" i="3"/>
  <c r="AJ533" i="3"/>
  <c r="BN533" i="3" s="1"/>
  <c r="AJ534" i="3" s="1"/>
  <c r="BN534" i="3" s="1"/>
  <c r="AJ535" i="3" s="1"/>
  <c r="BN535" i="3" s="1"/>
  <c r="AJ536" i="3" s="1"/>
  <c r="BN536" i="3" s="1"/>
  <c r="AJ537" i="3" s="1"/>
  <c r="BN537" i="3" s="1"/>
  <c r="AJ538" i="3" s="1"/>
  <c r="BN538" i="3" s="1"/>
  <c r="AJ539" i="3" s="1"/>
  <c r="BN539" i="3" s="1"/>
  <c r="AJ540" i="3" s="1"/>
  <c r="BN540" i="3" s="1"/>
  <c r="AJ541" i="3" s="1"/>
  <c r="BN541" i="3" s="1"/>
  <c r="AJ542" i="3" s="1"/>
  <c r="BN542" i="3" s="1"/>
  <c r="AJ543" i="3" s="1"/>
  <c r="BN543" i="3" s="1"/>
  <c r="AJ544" i="3" s="1"/>
  <c r="BN544" i="3" s="1"/>
  <c r="AJ545" i="3" s="1"/>
  <c r="BN545" i="3" s="1"/>
  <c r="AJ546" i="3" s="1"/>
  <c r="BN546" i="3" s="1"/>
  <c r="AJ547" i="3" s="1"/>
  <c r="BN547" i="3" s="1"/>
  <c r="AJ548" i="3" s="1"/>
  <c r="BN548" i="3" s="1"/>
  <c r="AJ549" i="3" s="1"/>
  <c r="BN549" i="3" s="1"/>
  <c r="AJ550" i="3" s="1"/>
  <c r="BN550" i="3" s="1"/>
  <c r="AJ551" i="3" s="1"/>
  <c r="BN551" i="3" s="1"/>
  <c r="AJ552" i="3" s="1"/>
  <c r="BN552" i="3" s="1"/>
  <c r="AJ553" i="3" s="1"/>
  <c r="BN553" i="3" s="1"/>
  <c r="AJ554" i="3" s="1"/>
  <c r="BN554" i="3" s="1"/>
  <c r="AJ555" i="3" s="1"/>
  <c r="BN555" i="3" s="1"/>
  <c r="AJ556" i="3" s="1"/>
  <c r="BN556" i="3" s="1"/>
  <c r="AJ557" i="3" s="1"/>
  <c r="BN557" i="3" s="1"/>
  <c r="AJ558" i="3" s="1"/>
  <c r="BN558" i="3" s="1"/>
  <c r="AJ559" i="3" s="1"/>
  <c r="BN559" i="3" s="1"/>
  <c r="AJ560" i="3" s="1"/>
  <c r="BN560" i="3" s="1"/>
  <c r="AJ561" i="3" s="1"/>
  <c r="BN561" i="3" s="1"/>
  <c r="AJ562" i="3" s="1"/>
  <c r="BN562" i="3" s="1"/>
  <c r="AJ563" i="3" s="1"/>
  <c r="BN563" i="3" s="1"/>
  <c r="AJ564" i="3" s="1"/>
  <c r="BN564" i="3" s="1"/>
  <c r="AJ565" i="3" s="1"/>
  <c r="BN565" i="3" s="1"/>
  <c r="AJ566" i="3" s="1"/>
  <c r="BN566" i="3" s="1"/>
  <c r="AJ567" i="3" s="1"/>
  <c r="BN567" i="3" s="1"/>
  <c r="AJ568" i="3" s="1"/>
  <c r="BN568" i="3" s="1"/>
  <c r="AJ569" i="3" s="1"/>
  <c r="BN569" i="3" s="1"/>
  <c r="AJ570" i="3" s="1"/>
  <c r="BN570" i="3" s="1"/>
  <c r="AJ571" i="3" s="1"/>
  <c r="BN571" i="3" s="1"/>
  <c r="AJ572" i="3" s="1"/>
  <c r="BN572" i="3" s="1"/>
  <c r="AJ573" i="3" s="1"/>
  <c r="BN573" i="3" s="1"/>
  <c r="AJ574" i="3" s="1"/>
  <c r="BN574" i="3" s="1"/>
  <c r="AJ575" i="3" s="1"/>
  <c r="BN575" i="3" s="1"/>
  <c r="AJ576" i="3" s="1"/>
  <c r="BN576" i="3" s="1"/>
  <c r="AJ577" i="3" s="1"/>
  <c r="BN577" i="3" s="1"/>
  <c r="AJ578" i="3" s="1"/>
  <c r="BN578" i="3" s="1"/>
  <c r="AJ579" i="3" s="1"/>
  <c r="BN579" i="3" s="1"/>
  <c r="AJ580" i="3" s="1"/>
  <c r="BN580" i="3" s="1"/>
  <c r="AJ581" i="3" s="1"/>
  <c r="BN581" i="3" s="1"/>
  <c r="AJ582" i="3" s="1"/>
  <c r="BN582" i="3" s="1"/>
  <c r="AJ583" i="3" s="1"/>
  <c r="BN583" i="3" s="1"/>
  <c r="AJ584" i="3" s="1"/>
  <c r="BN584" i="3" s="1"/>
  <c r="AJ585" i="3" s="1"/>
  <c r="BN585" i="3" s="1"/>
  <c r="AJ586" i="3" s="1"/>
  <c r="BN586" i="3" s="1"/>
  <c r="AJ587" i="3" s="1"/>
  <c r="BN587" i="3" s="1"/>
  <c r="AJ588" i="3" s="1"/>
  <c r="BN588" i="3" s="1"/>
  <c r="AJ589" i="3" s="1"/>
  <c r="BN589" i="3" s="1"/>
  <c r="AJ590" i="3" s="1"/>
  <c r="BN590" i="3" s="1"/>
  <c r="AJ591" i="3" s="1"/>
  <c r="BN591" i="3" s="1"/>
  <c r="AJ592" i="3" s="1"/>
  <c r="BN592" i="3" s="1"/>
  <c r="AJ593" i="3" s="1"/>
  <c r="BN593" i="3" s="1"/>
  <c r="AJ594" i="3" s="1"/>
  <c r="BN594" i="3" s="1"/>
  <c r="AJ595" i="3" s="1"/>
  <c r="BN595" i="3" s="1"/>
  <c r="AJ596" i="3" s="1"/>
  <c r="BN596" i="3" s="1"/>
  <c r="AJ597" i="3" s="1"/>
  <c r="BN597" i="3" s="1"/>
  <c r="AJ598" i="3" s="1"/>
  <c r="BN598" i="3" s="1"/>
  <c r="AJ599" i="3" s="1"/>
  <c r="BN599" i="3" s="1"/>
  <c r="AJ600" i="3" s="1"/>
  <c r="BN600" i="3" s="1"/>
  <c r="AJ601" i="3" s="1"/>
  <c r="BN601" i="3" s="1"/>
  <c r="AJ602" i="3" s="1"/>
  <c r="BN602" i="3" s="1"/>
  <c r="AJ603" i="3" s="1"/>
  <c r="BN603" i="3" s="1"/>
  <c r="AJ604" i="3" s="1"/>
  <c r="BN604" i="3" s="1"/>
  <c r="AJ605" i="3" s="1"/>
  <c r="BN605" i="3" s="1"/>
  <c r="AJ606" i="3" s="1"/>
  <c r="BN606" i="3" s="1"/>
  <c r="AJ607" i="3" s="1"/>
  <c r="BN607" i="3" s="1"/>
  <c r="AJ608" i="3" s="1"/>
  <c r="BN608" i="3" s="1"/>
  <c r="AJ609" i="3" s="1"/>
  <c r="BN609" i="3" s="1"/>
  <c r="AJ610" i="3" s="1"/>
  <c r="BN610" i="3" s="1"/>
  <c r="AJ611" i="3" s="1"/>
  <c r="BN611" i="3" s="1"/>
  <c r="AJ612" i="3" s="1"/>
  <c r="BN612" i="3" s="1"/>
  <c r="AJ613" i="3" s="1"/>
  <c r="BN613" i="3" s="1"/>
  <c r="AJ614" i="3" s="1"/>
  <c r="BN614" i="3" s="1"/>
  <c r="AJ615" i="3" s="1"/>
  <c r="BN615" i="3" s="1"/>
  <c r="AJ616" i="3" s="1"/>
  <c r="BN616" i="3" s="1"/>
  <c r="AJ617" i="3" s="1"/>
  <c r="BN617" i="3" s="1"/>
  <c r="AJ618" i="3" s="1"/>
  <c r="BN618" i="3" s="1"/>
  <c r="AJ619" i="3" s="1"/>
  <c r="BN619" i="3" s="1"/>
  <c r="AJ620" i="3" s="1"/>
  <c r="BN620" i="3" s="1"/>
  <c r="AJ621" i="3" s="1"/>
  <c r="BN621" i="3" s="1"/>
  <c r="AJ622" i="3" s="1"/>
  <c r="BN622" i="3" s="1"/>
  <c r="AJ623" i="3" s="1"/>
  <c r="BN623" i="3" s="1"/>
  <c r="AJ624" i="3" s="1"/>
  <c r="BN624" i="3" s="1"/>
</calcChain>
</file>

<file path=xl/sharedStrings.xml><?xml version="1.0" encoding="utf-8"?>
<sst xmlns="http://schemas.openxmlformats.org/spreadsheetml/2006/main" count="1878" uniqueCount="250">
  <si>
    <t>Sale</t>
  </si>
  <si>
    <t xml:space="preserve">Final balance </t>
  </si>
  <si>
    <t xml:space="preserve">Eden &amp; Johoni </t>
  </si>
  <si>
    <t>Gilasco</t>
  </si>
  <si>
    <t>Sale in</t>
  </si>
  <si>
    <t>Gilasco shop rental</t>
  </si>
  <si>
    <t xml:space="preserve">kwc + E66A reno + Mjs </t>
  </si>
  <si>
    <t>Shaft rental + salary</t>
  </si>
  <si>
    <t>Hamid rental +salary + Valid rental</t>
  </si>
  <si>
    <t>Emon fashion</t>
  </si>
  <si>
    <t>Town square</t>
  </si>
  <si>
    <t xml:space="preserve">Town square </t>
  </si>
  <si>
    <t>Al bader</t>
  </si>
  <si>
    <t>Salary</t>
  </si>
  <si>
    <t>Trademart Marketing Chocolate</t>
  </si>
  <si>
    <t xml:space="preserve">Lifestyl tm + salary + tester paper </t>
  </si>
  <si>
    <t>Bedehi iran</t>
  </si>
  <si>
    <t xml:space="preserve">Bedehi </t>
  </si>
  <si>
    <t>Bedehi</t>
  </si>
  <si>
    <t xml:space="preserve">Salary </t>
  </si>
  <si>
    <t>Sweet kiss choclate</t>
  </si>
  <si>
    <t xml:space="preserve">Abubakr </t>
  </si>
  <si>
    <t>HG Asia neck pillow</t>
  </si>
  <si>
    <t>Arch trading sonil</t>
  </si>
  <si>
    <t xml:space="preserve">Z&amp;A Abubakr </t>
  </si>
  <si>
    <t xml:space="preserve">Kwc + E66A reno + Mjs </t>
  </si>
  <si>
    <t>Friday</t>
  </si>
  <si>
    <t>Saturday</t>
  </si>
  <si>
    <t>Sunday</t>
  </si>
  <si>
    <t>Monday</t>
  </si>
  <si>
    <t>Tuesday</t>
  </si>
  <si>
    <t>Wednesday</t>
  </si>
  <si>
    <t>Thursday</t>
  </si>
  <si>
    <t>Epf</t>
  </si>
  <si>
    <t xml:space="preserve">Salary + printing </t>
  </si>
  <si>
    <t>Qcm</t>
  </si>
  <si>
    <t>Kwc + E66A Reno + Kwc Shoes</t>
  </si>
  <si>
    <t xml:space="preserve"> salary + epf </t>
  </si>
  <si>
    <t xml:space="preserve"> kwc + E66A reno + Mjs </t>
  </si>
  <si>
    <t>Total Sale</t>
  </si>
  <si>
    <t>Kwc + Malay atri</t>
  </si>
  <si>
    <t xml:space="preserve">Salary + Hamid utility + Zahid + Custom Eden  </t>
  </si>
  <si>
    <t xml:space="preserve"> Klia2 Johini Rental + Skyline Johoni </t>
  </si>
  <si>
    <t xml:space="preserve">Voucher </t>
  </si>
  <si>
    <t>Hamid Sp + Visa</t>
  </si>
  <si>
    <t>Dubai cargo</t>
  </si>
  <si>
    <t>Hosein agha</t>
  </si>
  <si>
    <t>M Investor</t>
  </si>
  <si>
    <t>Madam bangali</t>
  </si>
  <si>
    <t>Hosein agha + bedehi Iran</t>
  </si>
  <si>
    <t>Bedehi Iran</t>
  </si>
  <si>
    <t>Mohammad saffari</t>
  </si>
  <si>
    <t>Sgw rental</t>
  </si>
  <si>
    <t xml:space="preserve">Camery </t>
  </si>
  <si>
    <t>Total</t>
  </si>
  <si>
    <t>Date</t>
  </si>
  <si>
    <t>To office</t>
  </si>
  <si>
    <t>E66A rental + Salary Abdorrahman</t>
  </si>
  <si>
    <t>SI</t>
  </si>
  <si>
    <t>SGW</t>
  </si>
  <si>
    <t>E66A</t>
  </si>
  <si>
    <t>Quill</t>
  </si>
  <si>
    <t xml:space="preserve">Custome clearance </t>
  </si>
  <si>
    <t xml:space="preserve">Bank muamalat </t>
  </si>
  <si>
    <t>Naser Shayan Manesh</t>
  </si>
  <si>
    <t xml:space="preserve">Paperbag </t>
  </si>
  <si>
    <t>Paperbag</t>
  </si>
  <si>
    <t xml:space="preserve">Shams </t>
  </si>
  <si>
    <t>Faez Salary</t>
  </si>
  <si>
    <t xml:space="preserve">Saturday </t>
  </si>
  <si>
    <t>Camry</t>
  </si>
  <si>
    <t>Whs Pettycash</t>
  </si>
  <si>
    <t>Sweet kiss chocklate</t>
  </si>
  <si>
    <t>Hamid Apt</t>
  </si>
  <si>
    <t>Mardani</t>
  </si>
  <si>
    <t>Rental</t>
  </si>
  <si>
    <t>Utilities</t>
  </si>
  <si>
    <t>Other expenses</t>
  </si>
  <si>
    <t>Mazda+Laptop</t>
  </si>
  <si>
    <t>Si</t>
  </si>
  <si>
    <t>Rama+Holipah Insurance</t>
  </si>
  <si>
    <t>Amoda88</t>
  </si>
  <si>
    <t>J Klia2+2M</t>
  </si>
  <si>
    <t xml:space="preserve">Dubai Town Squair </t>
  </si>
  <si>
    <t>Si Painting Deposite</t>
  </si>
  <si>
    <t xml:space="preserve"> Bergaya </t>
  </si>
  <si>
    <t>Almas Perfumes</t>
  </si>
  <si>
    <t>Ehub</t>
  </si>
  <si>
    <t>Salary+ Bergaya</t>
  </si>
  <si>
    <t>Bergaya</t>
  </si>
  <si>
    <t>Salary+Bergaya</t>
  </si>
  <si>
    <t>Whs Transport</t>
  </si>
  <si>
    <t>Media Art Nazari+Naser Shayan Manesh</t>
  </si>
  <si>
    <t xml:space="preserve">Bergaya </t>
  </si>
  <si>
    <t>Zakat</t>
  </si>
  <si>
    <t>Raf Klia2+Omid Global</t>
  </si>
  <si>
    <t xml:space="preserve">Bsn+Pro 3 Carpet+Pro 3 Relocation </t>
  </si>
  <si>
    <t>Si+Salary+Bergaya</t>
  </si>
  <si>
    <t>Local+Bergaya</t>
  </si>
  <si>
    <t xml:space="preserve">Local+Bergaya </t>
  </si>
  <si>
    <t xml:space="preserve">Gilasco+Faeiz+Bergaya </t>
  </si>
  <si>
    <t>Media Art Nazari Stand+Farid</t>
  </si>
  <si>
    <t xml:space="preserve">Salary+Bergaya </t>
  </si>
  <si>
    <t>Shams Apt</t>
  </si>
  <si>
    <t>Perfume Gift</t>
  </si>
  <si>
    <t>Whs pettycash</t>
  </si>
  <si>
    <t>Valid Apt</t>
  </si>
  <si>
    <t>Quill Reno</t>
  </si>
  <si>
    <t>Gilasco Tm</t>
  </si>
  <si>
    <t>E &amp; J Testpaper</t>
  </si>
  <si>
    <t>Supply Van</t>
  </si>
  <si>
    <t>E Klia</t>
  </si>
  <si>
    <t xml:space="preserve">Town Square Dubai  </t>
  </si>
  <si>
    <t>Salary Settlement+Bergaya</t>
  </si>
  <si>
    <t xml:space="preserve">J Quill+Edn Sgw +Hamid Apt+Shaft Apt </t>
  </si>
  <si>
    <t>Bergaya+Abdelrahman advance+Mhmd Saffari</t>
  </si>
  <si>
    <t>Omid Global Stand+Si Painting</t>
  </si>
  <si>
    <t>Bergaya+Omid Global</t>
  </si>
  <si>
    <t>Shams+Gilasco relocationHamid Sp</t>
  </si>
  <si>
    <t>Kwc shoes</t>
  </si>
  <si>
    <t>Trademart Marketing Chocolate+Neck Pillow</t>
  </si>
  <si>
    <t>Mirza</t>
  </si>
  <si>
    <t>Bergaya+Isa</t>
  </si>
  <si>
    <t>Printing outsg+Gilasco Printing</t>
  </si>
  <si>
    <t xml:space="preserve">AR Unifashion Madam bangali Current + Outstanding+Plastic </t>
  </si>
  <si>
    <t>Translator+Zakat</t>
  </si>
  <si>
    <t>Bergaya+Epf</t>
  </si>
  <si>
    <t xml:space="preserve">2M Dismantling </t>
  </si>
  <si>
    <t>Plastic bag</t>
  </si>
  <si>
    <t xml:space="preserve">Amoda88+Shams Apt) </t>
  </si>
  <si>
    <t>Bergaya+Salary</t>
  </si>
  <si>
    <t>Salary+Bergaya)</t>
  </si>
  <si>
    <t xml:space="preserve">Gilasco Shop Apr </t>
  </si>
  <si>
    <t>Go pays</t>
  </si>
  <si>
    <t>Holipah Insurance</t>
  </si>
  <si>
    <t>E66A+Supply Accounting</t>
  </si>
  <si>
    <t>Bergaya+Supply Salary</t>
  </si>
  <si>
    <t xml:space="preserve">Faez </t>
  </si>
  <si>
    <t>Loptop repair</t>
  </si>
  <si>
    <t xml:space="preserve">Bergaya+Supply Salary+Salary+Socso </t>
  </si>
  <si>
    <t>Supply car</t>
  </si>
  <si>
    <t>Printing</t>
  </si>
  <si>
    <t xml:space="preserve">Supply van </t>
  </si>
  <si>
    <t xml:space="preserve">Rezwanguli </t>
  </si>
  <si>
    <t xml:space="preserve">Voucher Si+Influencer  </t>
  </si>
  <si>
    <t>Bergaya+Salary+Hamid Visa</t>
  </si>
  <si>
    <t>Pc+Si Maintenance</t>
  </si>
  <si>
    <t>Bergaya+Hamid Ticket</t>
  </si>
  <si>
    <t>Infulencer+Eden stamp+Zahid Quill</t>
  </si>
  <si>
    <t xml:space="preserve">Motorbike+Gilasco Domain </t>
  </si>
  <si>
    <t>Testpaper+Hamid Travel Visa</t>
  </si>
  <si>
    <t>Bergaya+Rezwanguli Abudouremu</t>
  </si>
  <si>
    <t>TM</t>
  </si>
  <si>
    <t>Atri KWC</t>
  </si>
  <si>
    <t>Hamid Ticket/Visa</t>
  </si>
  <si>
    <t>Nazari Cake Container</t>
  </si>
  <si>
    <t>Domain Transfer</t>
  </si>
  <si>
    <t>Zahid Quill</t>
  </si>
  <si>
    <t>Bergaya+Gopayz</t>
  </si>
  <si>
    <t>Muamalat</t>
  </si>
  <si>
    <t>Ssm</t>
  </si>
  <si>
    <t>Nazari Warehouse</t>
  </si>
  <si>
    <t>Nazari car</t>
  </si>
  <si>
    <t xml:space="preserve">Sg </t>
  </si>
  <si>
    <t>Whs Pettycash+Tm Nazari</t>
  </si>
  <si>
    <t>Voucher</t>
  </si>
  <si>
    <t>Hamid Apt+J Quill May</t>
  </si>
  <si>
    <t>Bergaya+Salary Nazari+Harith Nazari</t>
  </si>
  <si>
    <t xml:space="preserve">Gift to Zakiah+Printing Tamay Office+BSN </t>
  </si>
  <si>
    <t>Bergaya+Salary+Salary</t>
  </si>
  <si>
    <t>Van Nazari+ESI+E66A+L2M</t>
  </si>
  <si>
    <t>Motorbike Nazari</t>
  </si>
  <si>
    <t>Madam Nazari Agreement+Camry</t>
  </si>
  <si>
    <t xml:space="preserve">Shaft May </t>
  </si>
  <si>
    <t>Van Nazari Tayer</t>
  </si>
  <si>
    <t>Bergaya+Epf April+Socso April</t>
  </si>
  <si>
    <t>Perfume Clearance</t>
  </si>
  <si>
    <t>Mehdi Visa</t>
  </si>
  <si>
    <t>Gilasco Shop</t>
  </si>
  <si>
    <t xml:space="preserve">Motorbike </t>
  </si>
  <si>
    <t>Printing Gilasco+Printing Eden+Printing Nazari)</t>
  </si>
  <si>
    <t>Domain Boloor/Edenselection</t>
  </si>
  <si>
    <t xml:space="preserve">Testpaper+Meauring Laser+Zahid Quill </t>
  </si>
  <si>
    <t>J Quill June</t>
  </si>
  <si>
    <t>Aircon Nazari</t>
  </si>
  <si>
    <t>Exora</t>
  </si>
  <si>
    <t>Other expense</t>
  </si>
  <si>
    <t>Investor</t>
  </si>
  <si>
    <t>Hamid apt June</t>
  </si>
  <si>
    <t>Gilasco maintenance+Johoni klia2 Maintenance</t>
  </si>
  <si>
    <t>Shams</t>
  </si>
  <si>
    <t>Dubai</t>
  </si>
  <si>
    <t xml:space="preserve">Johoni printing </t>
  </si>
  <si>
    <t>Nazari TNB</t>
  </si>
  <si>
    <t>B&amp;S Printing</t>
  </si>
  <si>
    <t>B&amp;S Printing+Magnetic Stand</t>
  </si>
  <si>
    <t>Lifestyle</t>
  </si>
  <si>
    <t>J Quill Jul</t>
  </si>
  <si>
    <t xml:space="preserve">Lifestyle+BSN Loan+Nazari </t>
  </si>
  <si>
    <t>Si+Nazari office</t>
  </si>
  <si>
    <t>Nazari</t>
  </si>
  <si>
    <t>Gilasco maintenance</t>
  </si>
  <si>
    <t>Zahid J Quill</t>
  </si>
  <si>
    <t>J Testpaper</t>
  </si>
  <si>
    <t>Temporarily</t>
  </si>
  <si>
    <t>63k payback</t>
  </si>
  <si>
    <t>Gilasco TM</t>
  </si>
  <si>
    <t>J 1 klia2</t>
  </si>
  <si>
    <t>Nazari Motorbic</t>
  </si>
  <si>
    <t>Eden Paperbag</t>
  </si>
  <si>
    <t>J quill</t>
  </si>
  <si>
    <t>Husseing agha</t>
  </si>
  <si>
    <t>63k payback+Zahid j quill</t>
  </si>
  <si>
    <t>Gilasco Jul</t>
  </si>
  <si>
    <t>Pos Machine</t>
  </si>
  <si>
    <t>Epf May</t>
  </si>
  <si>
    <t>J Testpaper+Nazari</t>
  </si>
  <si>
    <t>J 2 klia2</t>
  </si>
  <si>
    <t>Carpet J2+printing</t>
  </si>
  <si>
    <t>Mehdi visa</t>
  </si>
  <si>
    <t>Mohammad hairul nazim+paperbag</t>
  </si>
  <si>
    <t>Taxi</t>
  </si>
  <si>
    <t>Faiz/shams</t>
  </si>
  <si>
    <t>ESGW July</t>
  </si>
  <si>
    <t>Nazari Tnb</t>
  </si>
  <si>
    <t>E Testpaper</t>
  </si>
  <si>
    <t>BSN Loan</t>
  </si>
  <si>
    <t>Nazari+Nazari</t>
  </si>
  <si>
    <t>Nazari+Nazari epf+Nazari+Nazari rent</t>
  </si>
  <si>
    <t>Name</t>
  </si>
  <si>
    <t>Amount</t>
  </si>
  <si>
    <t>Daily Purchase Balance</t>
  </si>
  <si>
    <t>Daye</t>
  </si>
  <si>
    <t>Day</t>
  </si>
  <si>
    <t>Cash Purchase Amount</t>
  </si>
  <si>
    <t>Credit Payment</t>
  </si>
  <si>
    <t>Total Paid Amount</t>
  </si>
  <si>
    <t xml:space="preserve">Final Bank Balance </t>
  </si>
  <si>
    <t>Bank Account Balance ( before credit payment )</t>
  </si>
  <si>
    <t xml:space="preserve">Cash Payment </t>
  </si>
  <si>
    <t>Purpose</t>
  </si>
  <si>
    <t xml:space="preserve">Online/Voucher Payment </t>
  </si>
  <si>
    <t>Old Outstanding ( before 2023 )</t>
  </si>
  <si>
    <t>New Outstanding</t>
  </si>
  <si>
    <t>Daily Balance
Amount</t>
  </si>
  <si>
    <t>Account  Balance
Amount</t>
  </si>
  <si>
    <t>other</t>
  </si>
  <si>
    <t>Director</t>
  </si>
  <si>
    <t>TOWN  SQUARE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</si>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</sst>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6"/>
      <name val="Yu Gothic"/>
      <family val="2"/>
      <charset val="128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4F6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FFBF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72">
    <xf numFmtId="0" fontId="0" fillId="0" borderId="0" xfId="0"/>
    <xf numFmtId="164" fontId="0" fillId="0" borderId="0" xfId="0" applyNumberFormat="1"/>
    <xf numFmtId="1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Border="1"/>
    <xf numFmtId="3" fontId="0" fillId="2" borderId="1" xfId="0" applyNumberFormat="1" applyFill="1" applyBorder="1"/>
    <xf numFmtId="14" fontId="0" fillId="0" borderId="5" xfId="0" applyNumberFormat="1" applyBorder="1"/>
    <xf numFmtId="164" fontId="0" fillId="2" borderId="5" xfId="0" applyNumberFormat="1" applyFill="1" applyBorder="1"/>
    <xf numFmtId="43" fontId="0" fillId="2" borderId="1" xfId="0" applyNumberFormat="1" applyFill="1" applyBorder="1"/>
    <xf numFmtId="0" fontId="0" fillId="3" borderId="0" xfId="0" applyFill="1"/>
    <xf numFmtId="14" fontId="0" fillId="4" borderId="1" xfId="0" applyNumberFormat="1" applyFill="1" applyBorder="1"/>
    <xf numFmtId="164" fontId="0" fillId="4" borderId="1" xfId="0" applyNumberFormat="1" applyFill="1" applyBorder="1"/>
    <xf numFmtId="3" fontId="0" fillId="4" borderId="1" xfId="0" applyNumberFormat="1" applyFill="1" applyBorder="1"/>
    <xf numFmtId="0" fontId="0" fillId="4" borderId="0" xfId="0" applyFill="1"/>
    <xf numFmtId="0" fontId="0" fillId="4" borderId="1" xfId="0" applyFill="1" applyBorder="1"/>
    <xf numFmtId="43" fontId="0" fillId="4" borderId="1" xfId="0" applyNumberFormat="1" applyFill="1" applyBorder="1"/>
    <xf numFmtId="164" fontId="0" fillId="4" borderId="0" xfId="0" applyNumberFormat="1" applyFill="1"/>
    <xf numFmtId="14" fontId="0" fillId="0" borderId="0" xfId="0" applyNumberFormat="1"/>
    <xf numFmtId="43" fontId="0" fillId="2" borderId="5" xfId="0" applyNumberFormat="1" applyFill="1" applyBorder="1"/>
    <xf numFmtId="14" fontId="0" fillId="0" borderId="2" xfId="0" applyNumberFormat="1" applyBorder="1"/>
    <xf numFmtId="14" fontId="0" fillId="4" borderId="2" xfId="0" applyNumberFormat="1" applyFill="1" applyBorder="1"/>
    <xf numFmtId="14" fontId="0" fillId="0" borderId="6" xfId="0" applyNumberFormat="1" applyBorder="1"/>
    <xf numFmtId="1" fontId="0" fillId="0" borderId="0" xfId="0" applyNumberFormat="1"/>
    <xf numFmtId="43" fontId="0" fillId="4" borderId="5" xfId="0" applyNumberFormat="1" applyFill="1" applyBorder="1"/>
    <xf numFmtId="43" fontId="0" fillId="5" borderId="5" xfId="0" applyNumberFormat="1" applyFill="1" applyBorder="1"/>
    <xf numFmtId="164" fontId="0" fillId="5" borderId="5" xfId="0" applyNumberFormat="1" applyFill="1" applyBorder="1"/>
    <xf numFmtId="164" fontId="0" fillId="4" borderId="5" xfId="0" applyNumberFormat="1" applyFill="1" applyBorder="1"/>
    <xf numFmtId="164" fontId="0" fillId="4" borderId="3" xfId="0" applyNumberFormat="1" applyFill="1" applyBorder="1"/>
    <xf numFmtId="164" fontId="0" fillId="6" borderId="1" xfId="0" applyNumberFormat="1" applyFill="1" applyBorder="1"/>
    <xf numFmtId="14" fontId="0" fillId="4" borderId="3" xfId="0" applyNumberFormat="1" applyFill="1" applyBorder="1"/>
    <xf numFmtId="1" fontId="0" fillId="4" borderId="0" xfId="0" applyNumberFormat="1" applyFill="1"/>
    <xf numFmtId="0" fontId="4" fillId="0" borderId="0" xfId="0" applyFont="1" applyAlignment="1">
      <alignment horizontal="center" vertical="center"/>
    </xf>
    <xf numFmtId="3" fontId="0" fillId="0" borderId="0" xfId="0" applyNumberFormat="1"/>
    <xf numFmtId="164" fontId="0" fillId="7" borderId="5" xfId="0" applyNumberFormat="1" applyFill="1" applyBorder="1"/>
    <xf numFmtId="164" fontId="0" fillId="4" borderId="4" xfId="0" applyNumberFormat="1" applyFill="1" applyBorder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2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2" borderId="1" xfId="0" applyFill="1" applyBorder="1"/>
    <xf numFmtId="164" fontId="0" fillId="2" borderId="3" xfId="0" applyNumberFormat="1" applyFill="1" applyBorder="1"/>
    <xf numFmtId="164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3" fontId="0" fillId="9" borderId="5" xfId="0" applyNumberFormat="1" applyFill="1" applyBorder="1"/>
    <xf numFmtId="43" fontId="0" fillId="9" borderId="1" xfId="0" applyNumberFormat="1" applyFill="1" applyBorder="1"/>
    <xf numFmtId="164" fontId="0" fillId="9" borderId="1" xfId="0" applyNumberFormat="1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6" xfId="0" applyNumberFormat="1" applyFill="1" applyBorder="1"/>
    <xf numFmtId="164" fontId="0" fillId="4" borderId="2" xfId="0" applyNumberFormat="1" applyFill="1" applyBorder="1"/>
    <xf numFmtId="164" fontId="0" fillId="8" borderId="2" xfId="0" applyNumberFormat="1" applyFill="1" applyBorder="1"/>
    <xf numFmtId="0" fontId="0" fillId="0" borderId="1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6" fillId="4" borderId="1" xfId="0" applyFont="1" applyFill="1" applyBorder="1"/>
    <xf numFmtId="164" fontId="6" fillId="4" borderId="3" xfId="0" applyNumberFormat="1" applyFont="1" applyFill="1" applyBorder="1"/>
    <xf numFmtId="0" fontId="6" fillId="2" borderId="1" xfId="0" applyFont="1" applyFill="1" applyBorder="1"/>
    <xf numFmtId="164" fontId="6" fillId="2" borderId="3" xfId="0" applyNumberFormat="1" applyFont="1" applyFill="1" applyBorder="1"/>
    <xf numFmtId="164" fontId="0" fillId="0" borderId="0" xfId="0" applyNumberFormat="1" applyAlignment="1">
      <alignment horizontal="center"/>
    </xf>
    <xf numFmtId="0" fontId="4" fillId="0" borderId="15" xfId="0" applyFont="1" applyBorder="1" applyAlignment="1">
      <alignment horizontal="center" vertical="center"/>
    </xf>
    <xf numFmtId="164" fontId="0" fillId="0" borderId="15" xfId="0" applyNumberFormat="1" applyBorder="1"/>
    <xf numFmtId="0" fontId="0" fillId="0" borderId="15" xfId="0" applyBorder="1"/>
    <xf numFmtId="164" fontId="0" fillId="4" borderId="15" xfId="0" applyNumberFormat="1" applyFill="1" applyBorder="1"/>
    <xf numFmtId="0" fontId="0" fillId="4" borderId="15" xfId="0" applyFill="1" applyBorder="1"/>
    <xf numFmtId="164" fontId="0" fillId="4" borderId="0" xfId="0" applyNumberFormat="1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10" borderId="0" xfId="0" applyFill="1"/>
    <xf numFmtId="0" fontId="0" fillId="10" borderId="12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165" fontId="0" fillId="0" borderId="1" xfId="0" applyNumberFormat="1" applyBorder="1"/>
    <xf numFmtId="165" fontId="0" fillId="4" borderId="1" xfId="0" applyNumberFormat="1" applyFill="1" applyBorder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43" fontId="0" fillId="0" borderId="0" xfId="1" applyFont="1" applyBorder="1" applyAlignment="1">
      <alignment horizontal="center"/>
    </xf>
    <xf numFmtId="0" fontId="0" fillId="4" borderId="2" xfId="0" applyFill="1" applyBorder="1"/>
    <xf numFmtId="14" fontId="0" fillId="0" borderId="15" xfId="0" applyNumberFormat="1" applyBorder="1"/>
    <xf numFmtId="164" fontId="0" fillId="2" borderId="15" xfId="0" applyNumberFormat="1" applyFill="1" applyBorder="1"/>
    <xf numFmtId="14" fontId="0" fillId="4" borderId="15" xfId="0" applyNumberFormat="1" applyFill="1" applyBorder="1"/>
    <xf numFmtId="164" fontId="0" fillId="8" borderId="15" xfId="0" applyNumberFormat="1" applyFill="1" applyBorder="1"/>
    <xf numFmtId="165" fontId="0" fillId="0" borderId="15" xfId="0" applyNumberFormat="1" applyBorder="1"/>
    <xf numFmtId="165" fontId="0" fillId="4" borderId="15" xfId="0" applyNumberFormat="1" applyFill="1" applyBorder="1"/>
    <xf numFmtId="44" fontId="0" fillId="2" borderId="1" xfId="2" applyFont="1" applyFill="1" applyBorder="1" applyAlignment="1">
      <alignment horizontal="center"/>
    </xf>
    <xf numFmtId="43" fontId="0" fillId="0" borderId="0" xfId="0" applyNumberFormat="1"/>
    <xf numFmtId="0" fontId="0" fillId="12" borderId="0" xfId="0" applyFill="1"/>
    <xf numFmtId="165" fontId="0" fillId="12" borderId="1" xfId="0" applyNumberFormat="1" applyFill="1" applyBorder="1"/>
    <xf numFmtId="14" fontId="0" fillId="12" borderId="1" xfId="0" applyNumberFormat="1" applyFill="1" applyBorder="1"/>
    <xf numFmtId="14" fontId="0" fillId="12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3" fontId="0" fillId="12" borderId="1" xfId="0" applyNumberFormat="1" applyFill="1" applyBorder="1"/>
    <xf numFmtId="164" fontId="0" fillId="12" borderId="5" xfId="0" applyNumberFormat="1" applyFill="1" applyBorder="1"/>
    <xf numFmtId="164" fontId="0" fillId="12" borderId="1" xfId="0" applyNumberFormat="1" applyFill="1" applyBorder="1" applyAlignment="1">
      <alignment horizontal="center"/>
    </xf>
    <xf numFmtId="14" fontId="0" fillId="12" borderId="2" xfId="0" applyNumberFormat="1" applyFill="1" applyBorder="1"/>
    <xf numFmtId="0" fontId="0" fillId="12" borderId="1" xfId="0" applyFill="1" applyBorder="1"/>
    <xf numFmtId="164" fontId="0" fillId="12" borderId="3" xfId="0" applyNumberFormat="1" applyFill="1" applyBorder="1"/>
    <xf numFmtId="43" fontId="0" fillId="12" borderId="1" xfId="0" applyNumberFormat="1" applyFill="1" applyBorder="1"/>
    <xf numFmtId="43" fontId="0" fillId="12" borderId="5" xfId="0" applyNumberFormat="1" applyFill="1" applyBorder="1"/>
    <xf numFmtId="0" fontId="0" fillId="12" borderId="0" xfId="0" applyFill="1" applyAlignment="1">
      <alignment horizontal="center"/>
    </xf>
    <xf numFmtId="1" fontId="0" fillId="12" borderId="0" xfId="0" applyNumberFormat="1" applyFill="1"/>
    <xf numFmtId="164" fontId="0" fillId="12" borderId="0" xfId="0" applyNumberFormat="1" applyFill="1"/>
    <xf numFmtId="164" fontId="0" fillId="12" borderId="0" xfId="0" applyNumberFormat="1" applyFill="1" applyAlignment="1">
      <alignment horizontal="center"/>
    </xf>
    <xf numFmtId="165" fontId="0" fillId="12" borderId="5" xfId="0" applyNumberFormat="1" applyFill="1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10" borderId="10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1" borderId="7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A810-E37D-DE4C-9BE4-7CDE0966932E}">
  <dimension ref="A1:BS2330"/>
  <sheetViews>
    <sheetView tabSelected="1" topLeftCell="D1" zoomScale="85" zoomScaleNormal="85" zoomScaleSheetLayoutView="100" workbookViewId="0">
      <selection activeCell="D1" sqref="D1"/>
    </sheetView>
  </sheetViews>
  <sheetFormatPr defaultColWidth="8.5703125" defaultRowHeight="15" x14ac:dyDescent="0.25"/>
  <cols>
    <col min="1" max="3" width="0" hidden="1" customWidth="1"/>
    <col min="4" max="4" width="10.140625" customWidth="1"/>
    <col min="5" max="5" width="11" customWidth="1"/>
    <col min="6" max="6" width="8.5703125" customWidth="1"/>
    <col min="7" max="7" width="11.5703125" style="49" bestFit="1" customWidth="1"/>
    <col min="8" max="10" width="10.140625" customWidth="1"/>
    <col min="11" max="11" width="15" customWidth="1"/>
    <col min="12" max="12" width="25.140625" customWidth="1"/>
    <col min="13" max="13" width="8.5703125" customWidth="1"/>
    <col min="14" max="14" width="9" customWidth="1"/>
    <col min="15" max="15" width="10" customWidth="1"/>
    <col min="16" max="16" width="10.28515625" style="9" customWidth="1"/>
    <col min="17" max="17" width="10.85546875" bestFit="1" customWidth="1"/>
    <col min="18" max="18" width="10.28515625" customWidth="1"/>
    <col min="19" max="19" width="10.28515625" style="49" customWidth="1"/>
    <col min="20" max="20" width="9.7109375" customWidth="1"/>
    <col min="21" max="21" width="10.42578125" customWidth="1"/>
    <col min="22" max="22" width="9.7109375" customWidth="1"/>
    <col min="23" max="23" width="16.5703125" customWidth="1"/>
    <col min="24" max="24" width="21.42578125" customWidth="1"/>
    <col min="25" max="25" width="9.140625" style="1" customWidth="1"/>
    <col min="26" max="26" width="9.5703125" style="1" customWidth="1"/>
    <col min="27" max="27" width="12.42578125" style="49" customWidth="1"/>
    <col min="28" max="28" width="10.7109375" style="9" customWidth="1"/>
    <col min="29" max="29" width="10.85546875" bestFit="1" customWidth="1"/>
    <col min="30" max="30" width="9" customWidth="1"/>
    <col min="31" max="31" width="10.7109375" customWidth="1"/>
    <col min="32" max="33" width="9.85546875" customWidth="1"/>
    <col min="34" max="34" width="20.5703125" bestFit="1" customWidth="1"/>
    <col min="35" max="35" width="11.85546875" bestFit="1" customWidth="1"/>
    <col min="36" max="36" width="10.28515625" customWidth="1"/>
    <col min="37" max="37" width="33" customWidth="1"/>
    <col min="38" max="52" width="11.28515625" customWidth="1"/>
    <col min="53" max="53" width="11.85546875" customWidth="1"/>
    <col min="54" max="60" width="11.28515625" customWidth="1"/>
    <col min="61" max="61" width="13.7109375" customWidth="1"/>
    <col min="62" max="62" width="9.42578125" style="1" customWidth="1"/>
    <col min="63" max="63" width="27.5703125" customWidth="1"/>
    <col min="64" max="64" width="10.28515625" customWidth="1"/>
    <col min="65" max="65" width="11.85546875" customWidth="1"/>
    <col min="66" max="66" width="12.42578125" customWidth="1"/>
    <col min="67" max="67" width="12.140625" customWidth="1"/>
    <col min="69" max="69" width="8.85546875" bestFit="1" customWidth="1"/>
    <col min="71" max="71" width="9.140625" bestFit="1" customWidth="1"/>
  </cols>
  <sheetData>
    <row r="1" spans="4:31" x14ac:dyDescent="0.25">
      <c r="P1"/>
      <c r="AB1"/>
    </row>
    <row r="2" spans="4:31" x14ac:dyDescent="0.25">
      <c r="P2"/>
      <c r="AB2"/>
    </row>
    <row r="3" spans="4:31" ht="42.75" customHeight="1" x14ac:dyDescent="0.25"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/>
    </row>
    <row r="4" spans="4:31" x14ac:dyDescent="0.25">
      <c r="P4"/>
      <c r="AB4"/>
    </row>
    <row r="5" spans="4:31" x14ac:dyDescent="0.25">
      <c r="P5"/>
      <c r="AB5"/>
    </row>
    <row r="6" spans="4:31" x14ac:dyDescent="0.25">
      <c r="E6" s="150"/>
      <c r="F6" s="150"/>
      <c r="P6"/>
      <c r="Q6" s="151" t="s">
        <v>0</v>
      </c>
      <c r="R6" s="151"/>
      <c r="AB6"/>
      <c r="AC6" s="151" t="s">
        <v>0</v>
      </c>
      <c r="AD6" s="151"/>
    </row>
    <row r="7" spans="4:31" ht="37.5" customHeight="1" x14ac:dyDescent="0.25">
      <c r="E7" s="152" t="s">
        <v>3</v>
      </c>
      <c r="F7" s="152"/>
      <c r="G7" s="37"/>
      <c r="H7" s="37"/>
      <c r="I7" s="37"/>
      <c r="J7" s="37"/>
      <c r="K7" s="37"/>
      <c r="P7"/>
      <c r="Q7" s="153" t="s">
        <v>2</v>
      </c>
      <c r="R7" s="154"/>
      <c r="S7" s="66" t="s">
        <v>58</v>
      </c>
      <c r="T7" s="66" t="s">
        <v>59</v>
      </c>
      <c r="U7" s="66" t="s">
        <v>60</v>
      </c>
      <c r="V7" s="66" t="s">
        <v>61</v>
      </c>
      <c r="W7" s="31"/>
      <c r="X7" s="31"/>
      <c r="AB7"/>
      <c r="AC7" s="153" t="s">
        <v>39</v>
      </c>
      <c r="AD7" s="155"/>
    </row>
    <row r="8" spans="4:31" hidden="1" x14ac:dyDescent="0.25">
      <c r="D8" s="9" t="s">
        <v>26</v>
      </c>
      <c r="E8" s="86">
        <v>45352</v>
      </c>
      <c r="F8" s="87">
        <v>14051.3</v>
      </c>
      <c r="H8" s="1"/>
      <c r="P8" s="9" t="s">
        <v>26</v>
      </c>
      <c r="Q8" s="2">
        <v>45352</v>
      </c>
      <c r="R8" s="55">
        <v>8237</v>
      </c>
      <c r="S8" s="59"/>
      <c r="T8" s="67"/>
      <c r="U8" s="68"/>
      <c r="V8" s="68"/>
      <c r="AB8" s="9" t="s">
        <v>26</v>
      </c>
      <c r="AC8" s="21">
        <v>45352</v>
      </c>
      <c r="AD8" s="4">
        <f t="shared" ref="AD8:AD39" si="0">F8+R8</f>
        <v>22288.3</v>
      </c>
      <c r="AE8" s="1"/>
    </row>
    <row r="9" spans="4:31" hidden="1" x14ac:dyDescent="0.25">
      <c r="D9" s="9" t="s">
        <v>27</v>
      </c>
      <c r="E9" s="86">
        <v>45353</v>
      </c>
      <c r="F9" s="87">
        <v>12080.7</v>
      </c>
      <c r="H9" s="1"/>
      <c r="P9" s="9" t="s">
        <v>27</v>
      </c>
      <c r="Q9" s="2">
        <v>45353</v>
      </c>
      <c r="R9" s="55">
        <v>13643</v>
      </c>
      <c r="S9" s="59"/>
      <c r="T9" s="67"/>
      <c r="U9" s="68"/>
      <c r="V9" s="68"/>
      <c r="AB9" s="9" t="s">
        <v>27</v>
      </c>
      <c r="AC9" s="19">
        <v>45353</v>
      </c>
      <c r="AD9" s="4">
        <f t="shared" si="0"/>
        <v>25723.7</v>
      </c>
      <c r="AE9" s="1"/>
    </row>
    <row r="10" spans="4:31" hidden="1" x14ac:dyDescent="0.25">
      <c r="D10" s="9" t="s">
        <v>28</v>
      </c>
      <c r="E10" s="86">
        <v>45354</v>
      </c>
      <c r="F10" s="87">
        <v>13615.3</v>
      </c>
      <c r="H10" s="1"/>
      <c r="P10" s="9" t="s">
        <v>28</v>
      </c>
      <c r="Q10" s="6">
        <v>45354</v>
      </c>
      <c r="R10" s="56">
        <v>8280</v>
      </c>
      <c r="S10" s="59"/>
      <c r="T10" s="67"/>
      <c r="U10" s="68"/>
      <c r="V10" s="68"/>
      <c r="AB10" s="9" t="s">
        <v>28</v>
      </c>
      <c r="AC10" s="19">
        <v>45354</v>
      </c>
      <c r="AD10" s="4">
        <f t="shared" si="0"/>
        <v>21895.3</v>
      </c>
      <c r="AE10" s="1"/>
    </row>
    <row r="11" spans="4:31" hidden="1" x14ac:dyDescent="0.25">
      <c r="D11" s="9" t="s">
        <v>29</v>
      </c>
      <c r="E11" s="86">
        <v>8</v>
      </c>
      <c r="F11" s="87">
        <v>10865.3</v>
      </c>
      <c r="H11" s="1"/>
      <c r="P11" s="9" t="s">
        <v>29</v>
      </c>
      <c r="Q11" s="2">
        <v>45355</v>
      </c>
      <c r="R11" s="55">
        <v>5763</v>
      </c>
      <c r="S11" s="59"/>
      <c r="T11" s="67"/>
      <c r="U11" s="68"/>
      <c r="V11" s="68"/>
      <c r="AB11" s="9" t="s">
        <v>29</v>
      </c>
      <c r="AC11" s="19">
        <v>45355</v>
      </c>
      <c r="AD11" s="4">
        <f t="shared" si="0"/>
        <v>16628.3</v>
      </c>
      <c r="AE11" s="1"/>
    </row>
    <row r="12" spans="4:31" hidden="1" x14ac:dyDescent="0.25">
      <c r="D12" s="9" t="s">
        <v>30</v>
      </c>
      <c r="E12" s="86">
        <v>45356</v>
      </c>
      <c r="F12" s="87">
        <v>13600.65</v>
      </c>
      <c r="H12" s="1"/>
      <c r="P12" s="9" t="s">
        <v>30</v>
      </c>
      <c r="Q12" s="2">
        <v>45356</v>
      </c>
      <c r="R12" s="55">
        <v>10156</v>
      </c>
      <c r="S12" s="59"/>
      <c r="T12" s="67"/>
      <c r="U12" s="68"/>
      <c r="V12" s="68"/>
      <c r="AB12" s="9" t="s">
        <v>30</v>
      </c>
      <c r="AC12" s="19">
        <v>45356</v>
      </c>
      <c r="AD12" s="4">
        <f t="shared" si="0"/>
        <v>23756.65</v>
      </c>
      <c r="AE12" s="1"/>
    </row>
    <row r="13" spans="4:31" hidden="1" x14ac:dyDescent="0.25">
      <c r="D13" s="9" t="s">
        <v>31</v>
      </c>
      <c r="E13" s="86">
        <v>45357</v>
      </c>
      <c r="F13" s="87">
        <v>13117</v>
      </c>
      <c r="H13" s="1"/>
      <c r="P13" s="9" t="s">
        <v>31</v>
      </c>
      <c r="Q13" s="2">
        <v>45357</v>
      </c>
      <c r="R13" s="55">
        <v>10361</v>
      </c>
      <c r="S13" s="59"/>
      <c r="T13" s="67"/>
      <c r="U13" s="68"/>
      <c r="V13" s="68"/>
      <c r="AB13" s="9" t="s">
        <v>31</v>
      </c>
      <c r="AC13" s="19">
        <v>45357</v>
      </c>
      <c r="AD13" s="4">
        <f t="shared" si="0"/>
        <v>23478</v>
      </c>
      <c r="AE13" s="1"/>
    </row>
    <row r="14" spans="4:31" hidden="1" x14ac:dyDescent="0.25">
      <c r="D14" s="9" t="s">
        <v>32</v>
      </c>
      <c r="E14" s="86">
        <v>45358</v>
      </c>
      <c r="F14" s="87">
        <v>10848.6</v>
      </c>
      <c r="H14" s="1"/>
      <c r="P14" s="9" t="s">
        <v>32</v>
      </c>
      <c r="Q14" s="2">
        <v>45358</v>
      </c>
      <c r="R14" s="55">
        <v>6108</v>
      </c>
      <c r="S14" s="59"/>
      <c r="T14" s="67"/>
      <c r="U14" s="68"/>
      <c r="V14" s="68"/>
      <c r="AB14" s="9" t="s">
        <v>32</v>
      </c>
      <c r="AC14" s="19">
        <v>45358</v>
      </c>
      <c r="AD14" s="4">
        <f t="shared" si="0"/>
        <v>16956.599999999999</v>
      </c>
      <c r="AE14" s="1"/>
    </row>
    <row r="15" spans="4:31" hidden="1" x14ac:dyDescent="0.25">
      <c r="D15" s="9" t="s">
        <v>26</v>
      </c>
      <c r="E15" s="86">
        <v>45359</v>
      </c>
      <c r="F15" s="87">
        <v>10720.35</v>
      </c>
      <c r="H15" s="1"/>
      <c r="P15" s="9" t="s">
        <v>26</v>
      </c>
      <c r="Q15" s="2">
        <v>45359</v>
      </c>
      <c r="R15" s="55">
        <v>8195</v>
      </c>
      <c r="S15" s="59"/>
      <c r="T15" s="67"/>
      <c r="U15" s="68"/>
      <c r="V15" s="68"/>
      <c r="AB15" s="9" t="s">
        <v>26</v>
      </c>
      <c r="AC15" s="19">
        <v>45359</v>
      </c>
      <c r="AD15" s="4">
        <f t="shared" si="0"/>
        <v>18915.349999999999</v>
      </c>
      <c r="AE15" s="1"/>
    </row>
    <row r="16" spans="4:31" hidden="1" x14ac:dyDescent="0.25">
      <c r="D16" s="9" t="s">
        <v>27</v>
      </c>
      <c r="E16" s="86">
        <v>45360</v>
      </c>
      <c r="F16" s="87">
        <v>12692.15</v>
      </c>
      <c r="H16" s="1"/>
      <c r="P16" s="9" t="s">
        <v>27</v>
      </c>
      <c r="Q16" s="2">
        <v>45360</v>
      </c>
      <c r="R16" s="55">
        <v>8165</v>
      </c>
      <c r="S16" s="59"/>
      <c r="T16" s="67"/>
      <c r="U16" s="68"/>
      <c r="V16" s="68"/>
      <c r="AB16" s="9" t="s">
        <v>27</v>
      </c>
      <c r="AC16" s="19">
        <v>45360</v>
      </c>
      <c r="AD16" s="4">
        <f t="shared" si="0"/>
        <v>20857.150000000001</v>
      </c>
      <c r="AE16" s="1"/>
    </row>
    <row r="17" spans="4:31" hidden="1" x14ac:dyDescent="0.25">
      <c r="D17" s="9" t="s">
        <v>28</v>
      </c>
      <c r="E17" s="86">
        <v>45361</v>
      </c>
      <c r="F17" s="87">
        <v>11289.7</v>
      </c>
      <c r="H17" s="1"/>
      <c r="P17" s="9" t="s">
        <v>28</v>
      </c>
      <c r="Q17" s="2">
        <v>45361</v>
      </c>
      <c r="R17" s="55">
        <v>5754</v>
      </c>
      <c r="S17" s="59"/>
      <c r="T17" s="67"/>
      <c r="U17" s="68"/>
      <c r="V17" s="68"/>
      <c r="AB17" s="9" t="s">
        <v>28</v>
      </c>
      <c r="AC17" s="19">
        <v>45361</v>
      </c>
      <c r="AD17" s="4">
        <f t="shared" si="0"/>
        <v>17043.7</v>
      </c>
      <c r="AE17" s="1"/>
    </row>
    <row r="18" spans="4:31" hidden="1" x14ac:dyDescent="0.25">
      <c r="D18" s="9" t="s">
        <v>29</v>
      </c>
      <c r="E18" s="86">
        <v>45362</v>
      </c>
      <c r="F18" s="87">
        <v>7705.1</v>
      </c>
      <c r="H18" s="1"/>
      <c r="P18" s="9" t="s">
        <v>29</v>
      </c>
      <c r="Q18" s="2">
        <v>45362</v>
      </c>
      <c r="R18" s="55">
        <v>9509</v>
      </c>
      <c r="S18" s="59"/>
      <c r="T18" s="67"/>
      <c r="U18" s="68"/>
      <c r="V18" s="68"/>
      <c r="AB18" s="9" t="s">
        <v>29</v>
      </c>
      <c r="AC18" s="19">
        <v>45362</v>
      </c>
      <c r="AD18" s="4">
        <f t="shared" si="0"/>
        <v>17214.099999999999</v>
      </c>
      <c r="AE18" s="1"/>
    </row>
    <row r="19" spans="4:31" hidden="1" x14ac:dyDescent="0.25">
      <c r="D19" s="9" t="s">
        <v>30</v>
      </c>
      <c r="E19" s="86">
        <v>45363</v>
      </c>
      <c r="F19" s="87">
        <v>5935.1</v>
      </c>
      <c r="H19" s="1"/>
      <c r="P19" s="9" t="s">
        <v>30</v>
      </c>
      <c r="Q19" s="2">
        <v>45363</v>
      </c>
      <c r="R19" s="55">
        <v>5498</v>
      </c>
      <c r="S19" s="59"/>
      <c r="T19" s="67"/>
      <c r="U19" s="68"/>
      <c r="V19" s="68"/>
      <c r="AB19" s="9" t="s">
        <v>30</v>
      </c>
      <c r="AC19" s="19">
        <v>45363</v>
      </c>
      <c r="AD19" s="4">
        <f t="shared" si="0"/>
        <v>11433.1</v>
      </c>
      <c r="AE19" s="1">
        <v>1</v>
      </c>
    </row>
    <row r="20" spans="4:31" hidden="1" x14ac:dyDescent="0.25">
      <c r="D20" s="9" t="s">
        <v>31</v>
      </c>
      <c r="E20" s="86">
        <v>45364</v>
      </c>
      <c r="F20" s="87">
        <v>7342.1</v>
      </c>
      <c r="G20" s="82">
        <v>2801.45</v>
      </c>
      <c r="H20" s="22">
        <v>2016.8</v>
      </c>
      <c r="I20" s="22">
        <v>2523.85</v>
      </c>
      <c r="L20" s="22">
        <f t="shared" ref="L20:L38" si="1">SUM(G20:K20)</f>
        <v>7342.1</v>
      </c>
      <c r="P20" s="9" t="s">
        <v>31</v>
      </c>
      <c r="Q20" s="2">
        <v>45364</v>
      </c>
      <c r="R20" s="55">
        <v>3860</v>
      </c>
      <c r="S20" s="59"/>
      <c r="T20" s="67"/>
      <c r="U20" s="68"/>
      <c r="V20" s="68"/>
      <c r="AB20" s="9" t="s">
        <v>31</v>
      </c>
      <c r="AC20" s="19">
        <v>45364</v>
      </c>
      <c r="AD20" s="4">
        <f t="shared" si="0"/>
        <v>11202.1</v>
      </c>
      <c r="AE20" s="1">
        <v>2</v>
      </c>
    </row>
    <row r="21" spans="4:31" hidden="1" x14ac:dyDescent="0.25">
      <c r="D21" s="9" t="s">
        <v>32</v>
      </c>
      <c r="E21" s="86">
        <v>45365</v>
      </c>
      <c r="F21" s="87">
        <v>6128.05</v>
      </c>
      <c r="G21" s="82">
        <v>2206</v>
      </c>
      <c r="H21" s="22">
        <v>1953.85</v>
      </c>
      <c r="I21" s="22">
        <v>1968.2</v>
      </c>
      <c r="L21" s="22">
        <f t="shared" si="1"/>
        <v>6128.05</v>
      </c>
      <c r="P21" s="9" t="s">
        <v>32</v>
      </c>
      <c r="Q21" s="2">
        <v>45365</v>
      </c>
      <c r="R21" s="55">
        <v>4947</v>
      </c>
      <c r="S21" s="59">
        <v>792</v>
      </c>
      <c r="T21" s="67">
        <v>2211</v>
      </c>
      <c r="U21" s="68">
        <v>0</v>
      </c>
      <c r="V21" s="68">
        <v>1156</v>
      </c>
      <c r="W21">
        <v>788</v>
      </c>
      <c r="Y21" s="1">
        <f t="shared" ref="Y21:Y38" si="2">SUM(S21:W21)</f>
        <v>4947</v>
      </c>
      <c r="AB21" s="9" t="s">
        <v>32</v>
      </c>
      <c r="AC21" s="19">
        <v>45365</v>
      </c>
      <c r="AD21" s="4">
        <f t="shared" si="0"/>
        <v>11075.05</v>
      </c>
      <c r="AE21" s="1">
        <v>3</v>
      </c>
    </row>
    <row r="22" spans="4:31" hidden="1" x14ac:dyDescent="0.25">
      <c r="D22" s="9" t="s">
        <v>26</v>
      </c>
      <c r="E22" s="86">
        <v>45366</v>
      </c>
      <c r="F22" s="87">
        <v>6846.95</v>
      </c>
      <c r="G22" s="82">
        <v>2004.65</v>
      </c>
      <c r="H22" s="22">
        <v>2539.75</v>
      </c>
      <c r="I22" s="22">
        <v>2302.5500000000002</v>
      </c>
      <c r="L22" s="22">
        <f t="shared" si="1"/>
        <v>6846.95</v>
      </c>
      <c r="P22" s="9" t="s">
        <v>26</v>
      </c>
      <c r="Q22" s="2">
        <v>45366</v>
      </c>
      <c r="R22" s="55">
        <v>4241</v>
      </c>
      <c r="S22" s="59">
        <v>606</v>
      </c>
      <c r="T22" s="67">
        <v>2005</v>
      </c>
      <c r="U22" s="68">
        <v>1356</v>
      </c>
      <c r="V22" s="68">
        <v>106</v>
      </c>
      <c r="W22">
        <v>168</v>
      </c>
      <c r="Y22" s="1">
        <f t="shared" si="2"/>
        <v>4241</v>
      </c>
      <c r="AB22" s="9" t="s">
        <v>26</v>
      </c>
      <c r="AC22" s="19">
        <v>45366</v>
      </c>
      <c r="AD22" s="4">
        <f t="shared" si="0"/>
        <v>11087.95</v>
      </c>
      <c r="AE22" s="1">
        <v>4</v>
      </c>
    </row>
    <row r="23" spans="4:31" hidden="1" x14ac:dyDescent="0.25">
      <c r="D23" s="9" t="s">
        <v>27</v>
      </c>
      <c r="E23" s="86">
        <v>45367</v>
      </c>
      <c r="F23" s="87">
        <v>6740.75</v>
      </c>
      <c r="G23" s="82">
        <v>1052.75</v>
      </c>
      <c r="H23" s="22">
        <v>2185.1999999999998</v>
      </c>
      <c r="I23" s="22">
        <v>3502.8</v>
      </c>
      <c r="L23" s="22">
        <f t="shared" si="1"/>
        <v>6740.75</v>
      </c>
      <c r="P23" s="9" t="s">
        <v>27</v>
      </c>
      <c r="Q23" s="2">
        <v>45367</v>
      </c>
      <c r="R23" s="55">
        <v>5586</v>
      </c>
      <c r="S23" s="59">
        <v>496</v>
      </c>
      <c r="T23" s="67">
        <v>2932</v>
      </c>
      <c r="U23" s="68">
        <v>0</v>
      </c>
      <c r="V23" s="68">
        <v>1402</v>
      </c>
      <c r="W23">
        <v>756</v>
      </c>
      <c r="Y23" s="1">
        <f t="shared" si="2"/>
        <v>5586</v>
      </c>
      <c r="AB23" s="9" t="s">
        <v>27</v>
      </c>
      <c r="AC23" s="19">
        <v>45367</v>
      </c>
      <c r="AD23" s="4">
        <f t="shared" si="0"/>
        <v>12326.75</v>
      </c>
      <c r="AE23" s="1">
        <v>5</v>
      </c>
    </row>
    <row r="24" spans="4:31" hidden="1" x14ac:dyDescent="0.25">
      <c r="D24" s="9" t="s">
        <v>28</v>
      </c>
      <c r="E24" s="86">
        <v>45368</v>
      </c>
      <c r="F24" s="87">
        <v>5818.9</v>
      </c>
      <c r="G24" s="82">
        <v>2646.65</v>
      </c>
      <c r="H24" s="22">
        <v>1062</v>
      </c>
      <c r="I24" s="22">
        <v>2110.25</v>
      </c>
      <c r="L24" s="22">
        <f t="shared" si="1"/>
        <v>5818.9</v>
      </c>
      <c r="P24" s="9" t="s">
        <v>28</v>
      </c>
      <c r="Q24" s="2">
        <v>45368</v>
      </c>
      <c r="R24" s="55">
        <v>4938</v>
      </c>
      <c r="S24" s="59">
        <v>924</v>
      </c>
      <c r="T24" s="67">
        <v>1082</v>
      </c>
      <c r="U24" s="68">
        <v>1048</v>
      </c>
      <c r="V24" s="68">
        <v>632</v>
      </c>
      <c r="W24">
        <v>1252</v>
      </c>
      <c r="Y24" s="1">
        <f t="shared" si="2"/>
        <v>4938</v>
      </c>
      <c r="AB24" s="9" t="s">
        <v>28</v>
      </c>
      <c r="AC24" s="19">
        <v>45368</v>
      </c>
      <c r="AD24" s="4">
        <f t="shared" si="0"/>
        <v>10756.9</v>
      </c>
      <c r="AE24" s="1">
        <v>6</v>
      </c>
    </row>
    <row r="25" spans="4:31" hidden="1" x14ac:dyDescent="0.25">
      <c r="D25" s="9" t="s">
        <v>29</v>
      </c>
      <c r="E25" s="86">
        <v>45369</v>
      </c>
      <c r="F25" s="87">
        <v>5992.4599999999991</v>
      </c>
      <c r="G25" s="82">
        <v>2162.66</v>
      </c>
      <c r="H25" s="22">
        <v>1759.35</v>
      </c>
      <c r="I25" s="22">
        <v>2070.4499999999998</v>
      </c>
      <c r="L25" s="22">
        <f t="shared" si="1"/>
        <v>5992.4599999999991</v>
      </c>
      <c r="P25" s="9" t="s">
        <v>29</v>
      </c>
      <c r="Q25" s="2">
        <v>45369</v>
      </c>
      <c r="R25" s="55">
        <v>5420</v>
      </c>
      <c r="S25" s="59">
        <v>438</v>
      </c>
      <c r="T25" s="67">
        <v>1056</v>
      </c>
      <c r="U25" s="68">
        <v>3338</v>
      </c>
      <c r="V25" s="68">
        <v>588</v>
      </c>
      <c r="W25">
        <v>0</v>
      </c>
      <c r="Y25" s="1">
        <f t="shared" si="2"/>
        <v>5420</v>
      </c>
      <c r="AB25" s="9" t="s">
        <v>29</v>
      </c>
      <c r="AC25" s="19">
        <v>45369</v>
      </c>
      <c r="AD25" s="4">
        <f t="shared" si="0"/>
        <v>11412.46</v>
      </c>
      <c r="AE25" s="1">
        <v>7</v>
      </c>
    </row>
    <row r="26" spans="4:31" hidden="1" x14ac:dyDescent="0.25">
      <c r="D26" s="9" t="s">
        <v>30</v>
      </c>
      <c r="E26" s="86">
        <v>45370</v>
      </c>
      <c r="F26" s="87">
        <v>4247.3</v>
      </c>
      <c r="G26" s="82">
        <v>1594.05</v>
      </c>
      <c r="H26" s="22">
        <v>1075.75</v>
      </c>
      <c r="I26" s="22">
        <v>1577.5</v>
      </c>
      <c r="L26" s="22">
        <f t="shared" si="1"/>
        <v>4247.3</v>
      </c>
      <c r="P26" s="9" t="s">
        <v>30</v>
      </c>
      <c r="Q26" s="2">
        <v>45370</v>
      </c>
      <c r="R26" s="55">
        <v>3854</v>
      </c>
      <c r="S26" s="59">
        <v>526</v>
      </c>
      <c r="T26" s="67">
        <v>796</v>
      </c>
      <c r="U26" s="68">
        <v>562</v>
      </c>
      <c r="V26" s="68">
        <v>504</v>
      </c>
      <c r="W26">
        <v>1466</v>
      </c>
      <c r="Y26" s="1">
        <f t="shared" si="2"/>
        <v>3854</v>
      </c>
      <c r="AB26" s="9" t="s">
        <v>30</v>
      </c>
      <c r="AC26" s="19">
        <v>45370</v>
      </c>
      <c r="AD26" s="4">
        <f t="shared" si="0"/>
        <v>8101.3</v>
      </c>
      <c r="AE26" s="1">
        <v>8</v>
      </c>
    </row>
    <row r="27" spans="4:31" hidden="1" x14ac:dyDescent="0.25">
      <c r="D27" s="9" t="s">
        <v>31</v>
      </c>
      <c r="E27" s="86">
        <v>45371</v>
      </c>
      <c r="F27" s="87">
        <v>4537.3</v>
      </c>
      <c r="G27" s="82">
        <v>1535.55</v>
      </c>
      <c r="H27" s="22">
        <v>1509.05</v>
      </c>
      <c r="I27" s="22">
        <v>1492.7</v>
      </c>
      <c r="L27" s="22">
        <f t="shared" si="1"/>
        <v>4537.3</v>
      </c>
      <c r="P27" s="9" t="s">
        <v>31</v>
      </c>
      <c r="Q27" s="2">
        <v>45371</v>
      </c>
      <c r="R27" s="55">
        <v>6342</v>
      </c>
      <c r="S27" s="59">
        <v>546</v>
      </c>
      <c r="T27" s="67">
        <v>598</v>
      </c>
      <c r="U27" s="68">
        <v>1656</v>
      </c>
      <c r="V27" s="68">
        <v>1426</v>
      </c>
      <c r="W27">
        <v>2116</v>
      </c>
      <c r="Y27" s="1">
        <f t="shared" si="2"/>
        <v>6342</v>
      </c>
      <c r="AB27" s="9" t="s">
        <v>31</v>
      </c>
      <c r="AC27" s="19">
        <v>45371</v>
      </c>
      <c r="AD27" s="4">
        <f t="shared" si="0"/>
        <v>10879.3</v>
      </c>
      <c r="AE27" s="1">
        <v>9</v>
      </c>
    </row>
    <row r="28" spans="4:31" hidden="1" x14ac:dyDescent="0.25">
      <c r="D28" s="9" t="s">
        <v>32</v>
      </c>
      <c r="E28" s="86">
        <v>45372</v>
      </c>
      <c r="F28" s="87">
        <v>4937</v>
      </c>
      <c r="G28" s="82">
        <v>1579.6</v>
      </c>
      <c r="H28" s="22">
        <v>1968.7</v>
      </c>
      <c r="I28" s="22">
        <v>1388.7</v>
      </c>
      <c r="L28" s="22">
        <f t="shared" si="1"/>
        <v>4937</v>
      </c>
      <c r="P28" s="9" t="s">
        <v>32</v>
      </c>
      <c r="Q28" s="2">
        <v>45372</v>
      </c>
      <c r="R28" s="55">
        <v>1872</v>
      </c>
      <c r="S28" s="59">
        <v>168</v>
      </c>
      <c r="T28" s="67">
        <v>456</v>
      </c>
      <c r="U28" s="68">
        <v>196</v>
      </c>
      <c r="V28" s="68">
        <v>456</v>
      </c>
      <c r="W28">
        <v>596</v>
      </c>
      <c r="Y28" s="1">
        <f t="shared" si="2"/>
        <v>1872</v>
      </c>
      <c r="AB28" s="9" t="s">
        <v>32</v>
      </c>
      <c r="AC28" s="19">
        <v>45372</v>
      </c>
      <c r="AD28" s="4">
        <f t="shared" si="0"/>
        <v>6809</v>
      </c>
      <c r="AE28" s="1">
        <v>10</v>
      </c>
    </row>
    <row r="29" spans="4:31" hidden="1" x14ac:dyDescent="0.25">
      <c r="D29" s="9" t="s">
        <v>26</v>
      </c>
      <c r="E29" s="86">
        <v>45373</v>
      </c>
      <c r="F29" s="87">
        <v>5930.9</v>
      </c>
      <c r="G29" s="82">
        <v>1225.5</v>
      </c>
      <c r="H29" s="22">
        <v>2453.4499999999998</v>
      </c>
      <c r="I29" s="22">
        <v>2251.9499999999998</v>
      </c>
      <c r="L29" s="22">
        <f t="shared" si="1"/>
        <v>5930.9</v>
      </c>
      <c r="P29" s="9" t="s">
        <v>26</v>
      </c>
      <c r="Q29" s="2">
        <v>45373</v>
      </c>
      <c r="R29" s="55">
        <v>3128</v>
      </c>
      <c r="S29" s="59">
        <v>1044</v>
      </c>
      <c r="T29" s="67">
        <v>624</v>
      </c>
      <c r="U29" s="68">
        <v>394</v>
      </c>
      <c r="V29" s="68">
        <v>632</v>
      </c>
      <c r="W29">
        <v>434</v>
      </c>
      <c r="Y29" s="1">
        <f t="shared" si="2"/>
        <v>3128</v>
      </c>
      <c r="AB29" s="9" t="s">
        <v>26</v>
      </c>
      <c r="AC29" s="19">
        <v>45373</v>
      </c>
      <c r="AD29" s="4">
        <f t="shared" si="0"/>
        <v>9058.9</v>
      </c>
      <c r="AE29" s="1">
        <v>11</v>
      </c>
    </row>
    <row r="30" spans="4:31" hidden="1" x14ac:dyDescent="0.25">
      <c r="D30" s="9" t="s">
        <v>27</v>
      </c>
      <c r="E30" s="86">
        <v>45374</v>
      </c>
      <c r="F30" s="87">
        <v>5386.65</v>
      </c>
      <c r="G30" s="82">
        <v>1507.95</v>
      </c>
      <c r="H30" s="22">
        <v>2408.1</v>
      </c>
      <c r="I30" s="22">
        <v>1470.6</v>
      </c>
      <c r="L30" s="22">
        <f t="shared" si="1"/>
        <v>5386.65</v>
      </c>
      <c r="P30" s="9" t="s">
        <v>27</v>
      </c>
      <c r="Q30" s="2">
        <v>45374</v>
      </c>
      <c r="R30" s="55">
        <v>8190</v>
      </c>
      <c r="S30" s="59">
        <v>860</v>
      </c>
      <c r="T30" s="67">
        <v>2748</v>
      </c>
      <c r="U30" s="68">
        <v>1748</v>
      </c>
      <c r="V30" s="68">
        <v>922</v>
      </c>
      <c r="W30">
        <v>1912</v>
      </c>
      <c r="Y30" s="1">
        <f t="shared" si="2"/>
        <v>8190</v>
      </c>
      <c r="AB30" s="9" t="s">
        <v>27</v>
      </c>
      <c r="AC30" s="19">
        <v>45374</v>
      </c>
      <c r="AD30" s="4">
        <f t="shared" si="0"/>
        <v>13576.65</v>
      </c>
      <c r="AE30" s="1">
        <v>12</v>
      </c>
    </row>
    <row r="31" spans="4:31" hidden="1" x14ac:dyDescent="0.25">
      <c r="D31" s="9" t="s">
        <v>28</v>
      </c>
      <c r="E31" s="86">
        <v>45375</v>
      </c>
      <c r="F31" s="87">
        <v>7478.2499999999991</v>
      </c>
      <c r="G31" s="82">
        <v>3130.2</v>
      </c>
      <c r="H31" s="22">
        <v>2405.6</v>
      </c>
      <c r="I31" s="22">
        <v>1942.45</v>
      </c>
      <c r="L31" s="22">
        <f t="shared" si="1"/>
        <v>7478.2499999999991</v>
      </c>
      <c r="P31" s="9" t="s">
        <v>28</v>
      </c>
      <c r="Q31" s="2">
        <v>45375</v>
      </c>
      <c r="R31" s="55">
        <v>7329</v>
      </c>
      <c r="S31" s="59">
        <v>392</v>
      </c>
      <c r="T31" s="67">
        <v>1691</v>
      </c>
      <c r="U31" s="68">
        <v>758</v>
      </c>
      <c r="V31" s="68">
        <v>3894</v>
      </c>
      <c r="W31">
        <v>594</v>
      </c>
      <c r="Y31" s="1">
        <f t="shared" si="2"/>
        <v>7329</v>
      </c>
      <c r="AB31" s="9" t="s">
        <v>28</v>
      </c>
      <c r="AC31" s="19">
        <v>45375</v>
      </c>
      <c r="AD31" s="4">
        <f t="shared" si="0"/>
        <v>14807.25</v>
      </c>
      <c r="AE31" s="1">
        <v>13</v>
      </c>
    </row>
    <row r="32" spans="4:31" hidden="1" x14ac:dyDescent="0.25">
      <c r="D32" s="9" t="s">
        <v>29</v>
      </c>
      <c r="E32" s="86">
        <v>45376</v>
      </c>
      <c r="F32" s="87">
        <v>6369.95</v>
      </c>
      <c r="G32" s="82">
        <v>2292.75</v>
      </c>
      <c r="H32" s="22">
        <v>2054</v>
      </c>
      <c r="I32" s="22">
        <v>2023.2</v>
      </c>
      <c r="L32" s="22">
        <f t="shared" si="1"/>
        <v>6369.95</v>
      </c>
      <c r="P32" s="9" t="s">
        <v>29</v>
      </c>
      <c r="Q32" s="2">
        <v>45376</v>
      </c>
      <c r="R32" s="55">
        <v>4268</v>
      </c>
      <c r="S32" s="59">
        <v>924</v>
      </c>
      <c r="T32" s="67">
        <v>1776</v>
      </c>
      <c r="U32" s="68">
        <v>196</v>
      </c>
      <c r="V32" s="68">
        <v>196</v>
      </c>
      <c r="W32">
        <v>1176</v>
      </c>
      <c r="Y32" s="1">
        <f t="shared" si="2"/>
        <v>4268</v>
      </c>
      <c r="AB32" s="9" t="s">
        <v>29</v>
      </c>
      <c r="AC32" s="19">
        <v>45376</v>
      </c>
      <c r="AD32" s="4">
        <f t="shared" si="0"/>
        <v>10637.95</v>
      </c>
      <c r="AE32" s="1">
        <v>14</v>
      </c>
    </row>
    <row r="33" spans="4:62" hidden="1" x14ac:dyDescent="0.25">
      <c r="D33" s="9" t="s">
        <v>30</v>
      </c>
      <c r="E33" s="86">
        <v>45377</v>
      </c>
      <c r="F33" s="87">
        <v>5363.5</v>
      </c>
      <c r="G33" s="82">
        <v>1729.95</v>
      </c>
      <c r="H33" s="22">
        <v>1691.65</v>
      </c>
      <c r="I33" s="22">
        <v>1941.9</v>
      </c>
      <c r="L33" s="22">
        <f t="shared" si="1"/>
        <v>5363.5</v>
      </c>
      <c r="P33" s="9" t="s">
        <v>30</v>
      </c>
      <c r="Q33" s="2">
        <v>45377</v>
      </c>
      <c r="R33" s="55">
        <v>9098</v>
      </c>
      <c r="S33" s="59">
        <v>3252</v>
      </c>
      <c r="T33" s="67">
        <v>3244</v>
      </c>
      <c r="U33" s="68">
        <v>1360</v>
      </c>
      <c r="V33" s="68">
        <v>548</v>
      </c>
      <c r="W33">
        <v>694</v>
      </c>
      <c r="Y33" s="1">
        <f t="shared" si="2"/>
        <v>9098</v>
      </c>
      <c r="AB33" s="9" t="s">
        <v>30</v>
      </c>
      <c r="AC33" s="19">
        <v>45377</v>
      </c>
      <c r="AD33" s="4">
        <f t="shared" si="0"/>
        <v>14461.5</v>
      </c>
      <c r="AE33" s="1">
        <v>15</v>
      </c>
    </row>
    <row r="34" spans="4:62" hidden="1" x14ac:dyDescent="0.25">
      <c r="D34" s="9" t="s">
        <v>31</v>
      </c>
      <c r="E34" s="86">
        <v>45378</v>
      </c>
      <c r="F34" s="87">
        <v>5076.05</v>
      </c>
      <c r="G34" s="82">
        <v>2201.35</v>
      </c>
      <c r="H34" s="22">
        <v>1547.2</v>
      </c>
      <c r="I34" s="22">
        <v>1327.5</v>
      </c>
      <c r="L34" s="22">
        <f t="shared" si="1"/>
        <v>5076.05</v>
      </c>
      <c r="P34" s="9" t="s">
        <v>31</v>
      </c>
      <c r="Q34" s="2">
        <v>45378</v>
      </c>
      <c r="R34" s="55">
        <v>3530</v>
      </c>
      <c r="S34" s="59">
        <v>1608</v>
      </c>
      <c r="T34" s="67">
        <v>594</v>
      </c>
      <c r="U34" s="68">
        <v>198</v>
      </c>
      <c r="V34" s="68">
        <v>664</v>
      </c>
      <c r="W34">
        <v>466</v>
      </c>
      <c r="Y34" s="1">
        <f t="shared" si="2"/>
        <v>3530</v>
      </c>
      <c r="AB34" s="9" t="s">
        <v>31</v>
      </c>
      <c r="AC34" s="19">
        <v>45378</v>
      </c>
      <c r="AD34" s="4">
        <f t="shared" si="0"/>
        <v>8606.0499999999993</v>
      </c>
      <c r="AE34" s="1">
        <v>16</v>
      </c>
    </row>
    <row r="35" spans="4:62" hidden="1" x14ac:dyDescent="0.25">
      <c r="D35" s="9" t="s">
        <v>32</v>
      </c>
      <c r="E35" s="86">
        <v>45379</v>
      </c>
      <c r="F35" s="87">
        <v>6312.6</v>
      </c>
      <c r="G35" s="82">
        <v>1689.55</v>
      </c>
      <c r="H35" s="22">
        <v>2006.45</v>
      </c>
      <c r="I35" s="22">
        <v>2616.6</v>
      </c>
      <c r="L35" s="22">
        <f t="shared" si="1"/>
        <v>6312.6</v>
      </c>
      <c r="P35" s="9" t="s">
        <v>32</v>
      </c>
      <c r="Q35" s="2">
        <v>45379</v>
      </c>
      <c r="R35" s="55">
        <v>8675</v>
      </c>
      <c r="S35" s="59">
        <v>1325</v>
      </c>
      <c r="T35" s="67">
        <v>622</v>
      </c>
      <c r="U35" s="68">
        <v>3280</v>
      </c>
      <c r="V35" s="68">
        <v>624</v>
      </c>
      <c r="W35">
        <v>2824</v>
      </c>
      <c r="Y35" s="1">
        <f t="shared" si="2"/>
        <v>8675</v>
      </c>
      <c r="AB35" s="9" t="s">
        <v>32</v>
      </c>
      <c r="AC35" s="19">
        <v>45379</v>
      </c>
      <c r="AD35" s="4">
        <f t="shared" si="0"/>
        <v>14987.6</v>
      </c>
      <c r="AE35" s="1">
        <v>17</v>
      </c>
    </row>
    <row r="36" spans="4:62" hidden="1" x14ac:dyDescent="0.25">
      <c r="D36" s="9" t="s">
        <v>26</v>
      </c>
      <c r="E36" s="86">
        <v>45380</v>
      </c>
      <c r="F36" s="87">
        <v>7111.25</v>
      </c>
      <c r="G36" s="82">
        <v>2372.35</v>
      </c>
      <c r="H36" s="22">
        <v>1996.2</v>
      </c>
      <c r="I36" s="22">
        <v>2742.7</v>
      </c>
      <c r="L36" s="22">
        <f t="shared" si="1"/>
        <v>7111.25</v>
      </c>
      <c r="P36" s="9" t="s">
        <v>26</v>
      </c>
      <c r="Q36" s="2">
        <v>45380</v>
      </c>
      <c r="R36" s="55">
        <v>5391</v>
      </c>
      <c r="S36" s="59">
        <v>1976</v>
      </c>
      <c r="T36" s="67">
        <v>196</v>
      </c>
      <c r="U36" s="68">
        <v>1015</v>
      </c>
      <c r="V36" s="68">
        <v>952</v>
      </c>
      <c r="W36">
        <v>1252</v>
      </c>
      <c r="Y36" s="1">
        <f t="shared" si="2"/>
        <v>5391</v>
      </c>
      <c r="AB36" s="9" t="s">
        <v>26</v>
      </c>
      <c r="AC36" s="19">
        <v>45380</v>
      </c>
      <c r="AD36" s="4">
        <f t="shared" si="0"/>
        <v>12502.25</v>
      </c>
      <c r="AE36" s="1">
        <v>18</v>
      </c>
    </row>
    <row r="37" spans="4:62" hidden="1" x14ac:dyDescent="0.25">
      <c r="D37" s="9" t="s">
        <v>27</v>
      </c>
      <c r="E37" s="86">
        <v>45381</v>
      </c>
      <c r="F37" s="87">
        <v>7184.4699999999993</v>
      </c>
      <c r="G37" s="82">
        <v>2276.75</v>
      </c>
      <c r="H37" s="22">
        <v>2840.45</v>
      </c>
      <c r="I37" s="22">
        <v>2067.27</v>
      </c>
      <c r="L37" s="22">
        <f t="shared" si="1"/>
        <v>7184.4699999999993</v>
      </c>
      <c r="P37" s="9" t="s">
        <v>27</v>
      </c>
      <c r="Q37" s="2">
        <v>45381</v>
      </c>
      <c r="R37" s="55">
        <v>6243</v>
      </c>
      <c r="S37" s="59">
        <v>1576</v>
      </c>
      <c r="T37" s="67">
        <v>1261</v>
      </c>
      <c r="U37" s="68">
        <v>1388</v>
      </c>
      <c r="V37" s="68">
        <v>196</v>
      </c>
      <c r="W37">
        <v>1822</v>
      </c>
      <c r="Y37" s="1">
        <f t="shared" si="2"/>
        <v>6243</v>
      </c>
      <c r="AB37" s="9" t="s">
        <v>27</v>
      </c>
      <c r="AC37" s="19">
        <v>45381</v>
      </c>
      <c r="AD37" s="4">
        <f t="shared" si="0"/>
        <v>13427.47</v>
      </c>
      <c r="AE37" s="1">
        <v>19</v>
      </c>
    </row>
    <row r="38" spans="4:62" s="13" customFormat="1" hidden="1" x14ac:dyDescent="0.25">
      <c r="D38" s="85" t="s">
        <v>28</v>
      </c>
      <c r="E38" s="88">
        <v>45382</v>
      </c>
      <c r="F38" s="69">
        <v>7491.2999999999993</v>
      </c>
      <c r="G38" s="83">
        <v>2945.85</v>
      </c>
      <c r="H38" s="30">
        <v>2713.3</v>
      </c>
      <c r="I38" s="30">
        <v>1832.15</v>
      </c>
      <c r="L38" s="30">
        <f t="shared" si="1"/>
        <v>7491.2999999999993</v>
      </c>
      <c r="P38" s="13" t="s">
        <v>28</v>
      </c>
      <c r="Q38" s="10">
        <v>45382</v>
      </c>
      <c r="R38" s="57">
        <v>7839</v>
      </c>
      <c r="S38" s="60">
        <v>1442</v>
      </c>
      <c r="T38" s="69">
        <v>2544</v>
      </c>
      <c r="U38" s="70">
        <v>1742</v>
      </c>
      <c r="V38" s="70">
        <v>1028</v>
      </c>
      <c r="W38" s="13">
        <v>1083</v>
      </c>
      <c r="Y38" s="16">
        <f t="shared" si="2"/>
        <v>7839</v>
      </c>
      <c r="Z38" s="16"/>
      <c r="AA38" s="50"/>
      <c r="AB38" s="13" t="s">
        <v>28</v>
      </c>
      <c r="AC38" s="20">
        <v>45382</v>
      </c>
      <c r="AD38" s="11">
        <f t="shared" si="0"/>
        <v>15330.3</v>
      </c>
      <c r="AE38" s="16">
        <v>20</v>
      </c>
      <c r="BJ38" s="16"/>
    </row>
    <row r="39" spans="4:62" hidden="1" x14ac:dyDescent="0.25">
      <c r="D39" s="9" t="s">
        <v>29</v>
      </c>
      <c r="E39" s="86">
        <v>45383</v>
      </c>
      <c r="F39" s="87">
        <f>N39</f>
        <v>7086.15</v>
      </c>
      <c r="G39" s="82">
        <v>2446</v>
      </c>
      <c r="H39" s="22">
        <v>2681</v>
      </c>
      <c r="I39" s="22">
        <v>1959.15</v>
      </c>
      <c r="N39" s="22">
        <f t="shared" ref="N39:N56" si="3">SUM(G39:M39)</f>
        <v>7086.15</v>
      </c>
      <c r="P39" s="9" t="s">
        <v>29</v>
      </c>
      <c r="Q39" s="2">
        <v>45383</v>
      </c>
      <c r="R39" s="55">
        <f>AA39</f>
        <v>7240</v>
      </c>
      <c r="S39" s="59">
        <v>2344</v>
      </c>
      <c r="T39" s="68">
        <v>466</v>
      </c>
      <c r="U39" s="68">
        <v>1244</v>
      </c>
      <c r="V39" s="68">
        <v>2113</v>
      </c>
      <c r="W39">
        <v>1073</v>
      </c>
      <c r="AA39" s="65">
        <f>SUM(S39:Z39)</f>
        <v>7240</v>
      </c>
      <c r="AB39" s="9" t="s">
        <v>29</v>
      </c>
      <c r="AC39" s="19">
        <v>45383</v>
      </c>
      <c r="AD39" s="4">
        <f t="shared" si="0"/>
        <v>14326.15</v>
      </c>
      <c r="AE39" s="1"/>
    </row>
    <row r="40" spans="4:62" hidden="1" x14ac:dyDescent="0.25">
      <c r="D40" s="9" t="s">
        <v>30</v>
      </c>
      <c r="E40" s="86">
        <v>45384</v>
      </c>
      <c r="F40" s="87">
        <f t="shared" ref="F40:F53" si="4">N40</f>
        <v>6526.35</v>
      </c>
      <c r="G40" s="82">
        <v>2702.45</v>
      </c>
      <c r="H40" s="22">
        <v>2450.65</v>
      </c>
      <c r="I40" s="22">
        <v>1373.25</v>
      </c>
      <c r="N40" s="22">
        <f t="shared" si="3"/>
        <v>6526.35</v>
      </c>
      <c r="P40" s="9" t="s">
        <v>30</v>
      </c>
      <c r="Q40" s="2">
        <v>45384</v>
      </c>
      <c r="R40" s="55">
        <f t="shared" ref="R40:R57" si="5">AA40</f>
        <v>7320</v>
      </c>
      <c r="S40" s="59">
        <v>1602</v>
      </c>
      <c r="T40" s="68">
        <v>758</v>
      </c>
      <c r="U40" s="68">
        <v>2164</v>
      </c>
      <c r="V40" s="68">
        <v>1308</v>
      </c>
      <c r="W40">
        <v>1488</v>
      </c>
      <c r="AA40" s="65">
        <f t="shared" ref="AA40:AA55" si="6">SUM(S40:Z40)</f>
        <v>7320</v>
      </c>
      <c r="AB40" s="9" t="s">
        <v>30</v>
      </c>
      <c r="AC40" s="19">
        <v>45384</v>
      </c>
      <c r="AD40" s="4">
        <f t="shared" ref="AD40:AD71" si="7">F40+R40</f>
        <v>13846.35</v>
      </c>
      <c r="AE40" s="1"/>
    </row>
    <row r="41" spans="4:62" hidden="1" x14ac:dyDescent="0.25">
      <c r="D41" s="9" t="s">
        <v>31</v>
      </c>
      <c r="E41" s="86">
        <v>45385</v>
      </c>
      <c r="F41" s="87">
        <f t="shared" si="4"/>
        <v>9175.5</v>
      </c>
      <c r="G41" s="82">
        <v>2996.15</v>
      </c>
      <c r="H41" s="22">
        <v>3482.15</v>
      </c>
      <c r="I41" s="22">
        <v>2697.2</v>
      </c>
      <c r="N41" s="22">
        <f t="shared" si="3"/>
        <v>9175.5</v>
      </c>
      <c r="P41" s="9" t="s">
        <v>31</v>
      </c>
      <c r="Q41" s="2">
        <v>45385</v>
      </c>
      <c r="R41" s="55">
        <f t="shared" si="5"/>
        <v>8325</v>
      </c>
      <c r="S41" s="59">
        <v>1174</v>
      </c>
      <c r="T41" s="68">
        <v>0</v>
      </c>
      <c r="U41" s="68">
        <v>3693</v>
      </c>
      <c r="V41" s="68">
        <v>1502</v>
      </c>
      <c r="W41">
        <v>1956</v>
      </c>
      <c r="AA41" s="65">
        <f t="shared" si="6"/>
        <v>8325</v>
      </c>
      <c r="AB41" s="9" t="s">
        <v>31</v>
      </c>
      <c r="AC41" s="19">
        <v>45385</v>
      </c>
      <c r="AD41" s="4">
        <f t="shared" si="7"/>
        <v>17500.5</v>
      </c>
      <c r="AE41" s="1"/>
    </row>
    <row r="42" spans="4:62" hidden="1" x14ac:dyDescent="0.25">
      <c r="D42" s="9" t="s">
        <v>32</v>
      </c>
      <c r="E42" s="86">
        <v>45386</v>
      </c>
      <c r="F42" s="87">
        <f t="shared" si="4"/>
        <v>9176.1</v>
      </c>
      <c r="G42" s="82">
        <v>2710.55</v>
      </c>
      <c r="H42" s="22">
        <v>4216.75</v>
      </c>
      <c r="I42" s="22">
        <v>2248.8000000000002</v>
      </c>
      <c r="N42" s="22">
        <f t="shared" si="3"/>
        <v>9176.1</v>
      </c>
      <c r="P42" s="9" t="s">
        <v>32</v>
      </c>
      <c r="Q42" s="2">
        <v>45386</v>
      </c>
      <c r="R42" s="55">
        <f t="shared" si="5"/>
        <v>5840</v>
      </c>
      <c r="S42" s="59">
        <v>0</v>
      </c>
      <c r="T42" s="68">
        <v>394</v>
      </c>
      <c r="U42" s="68">
        <v>2256</v>
      </c>
      <c r="V42" s="68">
        <v>1128</v>
      </c>
      <c r="W42">
        <v>2062</v>
      </c>
      <c r="AA42" s="65">
        <f t="shared" si="6"/>
        <v>5840</v>
      </c>
      <c r="AB42" s="9" t="s">
        <v>32</v>
      </c>
      <c r="AC42" s="19">
        <v>45386</v>
      </c>
      <c r="AD42" s="4">
        <f t="shared" si="7"/>
        <v>15016.1</v>
      </c>
      <c r="AE42" s="1"/>
    </row>
    <row r="43" spans="4:62" hidden="1" x14ac:dyDescent="0.25">
      <c r="D43" s="9" t="s">
        <v>26</v>
      </c>
      <c r="E43" s="86">
        <v>45387</v>
      </c>
      <c r="F43" s="87">
        <f t="shared" si="4"/>
        <v>7518.0999999999995</v>
      </c>
      <c r="G43" s="82">
        <v>1982.95</v>
      </c>
      <c r="H43" s="22">
        <v>2889.2</v>
      </c>
      <c r="I43" s="22">
        <v>2645.95</v>
      </c>
      <c r="N43" s="22">
        <f t="shared" si="3"/>
        <v>7518.0999999999995</v>
      </c>
      <c r="P43" s="9" t="s">
        <v>26</v>
      </c>
      <c r="Q43" s="2">
        <v>45387</v>
      </c>
      <c r="R43" s="55">
        <f t="shared" si="5"/>
        <v>8477</v>
      </c>
      <c r="S43" s="59">
        <v>1444</v>
      </c>
      <c r="T43" s="68">
        <v>496</v>
      </c>
      <c r="U43" s="68">
        <v>1799</v>
      </c>
      <c r="V43" s="68">
        <v>4242</v>
      </c>
      <c r="W43">
        <v>496</v>
      </c>
      <c r="AA43" s="65">
        <f t="shared" si="6"/>
        <v>8477</v>
      </c>
      <c r="AB43" s="9" t="s">
        <v>26</v>
      </c>
      <c r="AC43" s="19">
        <v>45387</v>
      </c>
      <c r="AD43" s="4">
        <f t="shared" si="7"/>
        <v>15995.099999999999</v>
      </c>
      <c r="AE43" s="1"/>
    </row>
    <row r="44" spans="4:62" hidden="1" x14ac:dyDescent="0.25">
      <c r="D44" s="9" t="s">
        <v>27</v>
      </c>
      <c r="E44" s="86">
        <v>45388</v>
      </c>
      <c r="F44" s="87">
        <f t="shared" si="4"/>
        <v>11306.6</v>
      </c>
      <c r="G44" s="82">
        <v>3729.75</v>
      </c>
      <c r="H44" s="22">
        <v>4528.75</v>
      </c>
      <c r="I44" s="22">
        <v>3048.1</v>
      </c>
      <c r="N44" s="22">
        <f t="shared" si="3"/>
        <v>11306.6</v>
      </c>
      <c r="P44" s="9" t="s">
        <v>27</v>
      </c>
      <c r="Q44" s="2">
        <v>45388</v>
      </c>
      <c r="R44" s="55">
        <f t="shared" si="5"/>
        <v>8765</v>
      </c>
      <c r="S44" s="59">
        <v>4542</v>
      </c>
      <c r="T44" s="68">
        <v>196</v>
      </c>
      <c r="U44" s="68">
        <v>1370</v>
      </c>
      <c r="V44" s="68">
        <v>562</v>
      </c>
      <c r="W44">
        <v>2095</v>
      </c>
      <c r="AA44" s="65">
        <f t="shared" si="6"/>
        <v>8765</v>
      </c>
      <c r="AB44" s="9" t="s">
        <v>27</v>
      </c>
      <c r="AC44" s="19">
        <v>45388</v>
      </c>
      <c r="AD44" s="4">
        <f t="shared" si="7"/>
        <v>20071.599999999999</v>
      </c>
      <c r="AE44" s="1"/>
    </row>
    <row r="45" spans="4:62" hidden="1" x14ac:dyDescent="0.25">
      <c r="D45" s="9" t="s">
        <v>28</v>
      </c>
      <c r="E45" s="86">
        <v>45389</v>
      </c>
      <c r="F45" s="87">
        <f t="shared" si="4"/>
        <v>9973.4500000000007</v>
      </c>
      <c r="G45" s="82">
        <v>2464.3000000000002</v>
      </c>
      <c r="H45" s="22">
        <v>4847.45</v>
      </c>
      <c r="I45" s="22">
        <v>2661.7</v>
      </c>
      <c r="N45" s="22">
        <f t="shared" si="3"/>
        <v>9973.4500000000007</v>
      </c>
      <c r="P45" s="9" t="s">
        <v>28</v>
      </c>
      <c r="Q45" s="2">
        <v>45389</v>
      </c>
      <c r="R45" s="55">
        <f t="shared" si="5"/>
        <v>6010</v>
      </c>
      <c r="S45" s="59">
        <v>810</v>
      </c>
      <c r="T45" s="68">
        <v>560</v>
      </c>
      <c r="U45" s="68">
        <v>1412</v>
      </c>
      <c r="V45" s="68">
        <v>1718</v>
      </c>
      <c r="W45">
        <v>1510</v>
      </c>
      <c r="AA45" s="65">
        <f t="shared" si="6"/>
        <v>6010</v>
      </c>
      <c r="AB45" s="9" t="s">
        <v>28</v>
      </c>
      <c r="AC45" s="19">
        <v>45389</v>
      </c>
      <c r="AD45" s="4">
        <f t="shared" si="7"/>
        <v>15983.45</v>
      </c>
      <c r="AE45" s="1"/>
    </row>
    <row r="46" spans="4:62" hidden="1" x14ac:dyDescent="0.25">
      <c r="D46" s="9" t="s">
        <v>29</v>
      </c>
      <c r="E46" s="86">
        <v>45390</v>
      </c>
      <c r="F46" s="87">
        <f t="shared" si="4"/>
        <v>8857.4500000000007</v>
      </c>
      <c r="G46" s="82">
        <v>3637.75</v>
      </c>
      <c r="H46" s="22">
        <v>4033.05</v>
      </c>
      <c r="I46" s="22">
        <v>1186.6500000000001</v>
      </c>
      <c r="N46" s="22">
        <f t="shared" si="3"/>
        <v>8857.4500000000007</v>
      </c>
      <c r="P46" s="9" t="s">
        <v>29</v>
      </c>
      <c r="Q46" s="2">
        <v>45390</v>
      </c>
      <c r="R46" s="55">
        <f t="shared" si="5"/>
        <v>11573</v>
      </c>
      <c r="S46" s="59">
        <v>2852</v>
      </c>
      <c r="T46" s="68">
        <v>864</v>
      </c>
      <c r="U46" s="68">
        <v>2432</v>
      </c>
      <c r="V46" s="68">
        <v>2249</v>
      </c>
      <c r="W46">
        <v>3176</v>
      </c>
      <c r="AA46" s="65">
        <f t="shared" si="6"/>
        <v>11573</v>
      </c>
      <c r="AB46" s="9" t="s">
        <v>29</v>
      </c>
      <c r="AC46" s="19">
        <v>45390</v>
      </c>
      <c r="AD46" s="4">
        <f t="shared" si="7"/>
        <v>20430.45</v>
      </c>
      <c r="AE46" s="1"/>
      <c r="AM46">
        <v>121974</v>
      </c>
    </row>
    <row r="47" spans="4:62" hidden="1" x14ac:dyDescent="0.25">
      <c r="D47" s="9" t="s">
        <v>30</v>
      </c>
      <c r="E47" s="86">
        <v>45391</v>
      </c>
      <c r="F47" s="87">
        <f t="shared" si="4"/>
        <v>7608.45</v>
      </c>
      <c r="G47" s="82">
        <v>2753.95</v>
      </c>
      <c r="H47" s="22">
        <v>3494.75</v>
      </c>
      <c r="I47" s="22">
        <v>1359.75</v>
      </c>
      <c r="N47" s="22">
        <f t="shared" si="3"/>
        <v>7608.45</v>
      </c>
      <c r="P47" s="9" t="s">
        <v>30</v>
      </c>
      <c r="Q47" s="2">
        <v>45391</v>
      </c>
      <c r="R47" s="55">
        <f t="shared" si="5"/>
        <v>5996</v>
      </c>
      <c r="S47" s="59">
        <v>1544</v>
      </c>
      <c r="T47" s="68">
        <v>268</v>
      </c>
      <c r="U47" s="68">
        <v>1390</v>
      </c>
      <c r="V47" s="68">
        <v>1604</v>
      </c>
      <c r="W47">
        <v>1190</v>
      </c>
      <c r="AA47" s="65">
        <f t="shared" si="6"/>
        <v>5996</v>
      </c>
      <c r="AB47" s="9" t="s">
        <v>30</v>
      </c>
      <c r="AC47" s="19">
        <v>45391</v>
      </c>
      <c r="AD47" s="4">
        <f t="shared" si="7"/>
        <v>13604.45</v>
      </c>
      <c r="AE47" s="1"/>
      <c r="AM47">
        <v>6400</v>
      </c>
    </row>
    <row r="48" spans="4:62" hidden="1" x14ac:dyDescent="0.25">
      <c r="D48" s="9" t="s">
        <v>31</v>
      </c>
      <c r="E48" s="86">
        <v>45392</v>
      </c>
      <c r="F48" s="87">
        <f t="shared" si="4"/>
        <v>5552.4500000000007</v>
      </c>
      <c r="G48" s="82">
        <v>1739.95</v>
      </c>
      <c r="H48" s="22">
        <v>2413.35</v>
      </c>
      <c r="I48" s="22">
        <v>1399.15</v>
      </c>
      <c r="N48" s="22">
        <f t="shared" si="3"/>
        <v>5552.4500000000007</v>
      </c>
      <c r="P48" s="9" t="s">
        <v>31</v>
      </c>
      <c r="Q48" s="2">
        <v>45392</v>
      </c>
      <c r="R48" s="55">
        <f t="shared" si="5"/>
        <v>5291</v>
      </c>
      <c r="S48" s="59">
        <v>574</v>
      </c>
      <c r="T48" s="68">
        <v>1731</v>
      </c>
      <c r="U48" s="68">
        <v>1432</v>
      </c>
      <c r="V48" s="68">
        <v>1128</v>
      </c>
      <c r="W48">
        <v>426</v>
      </c>
      <c r="AA48" s="65">
        <f t="shared" si="6"/>
        <v>5291</v>
      </c>
      <c r="AB48" s="9" t="s">
        <v>31</v>
      </c>
      <c r="AC48" s="19">
        <v>45392</v>
      </c>
      <c r="AD48" s="4">
        <f t="shared" si="7"/>
        <v>10843.45</v>
      </c>
      <c r="AE48" s="1"/>
      <c r="AM48">
        <f>SUM(AM46:AM47)</f>
        <v>128374</v>
      </c>
    </row>
    <row r="49" spans="4:35" hidden="1" x14ac:dyDescent="0.25">
      <c r="D49" s="9" t="s">
        <v>32</v>
      </c>
      <c r="E49" s="86">
        <v>45393</v>
      </c>
      <c r="F49" s="87">
        <f t="shared" si="4"/>
        <v>5948.2</v>
      </c>
      <c r="G49" s="82">
        <v>2534.85</v>
      </c>
      <c r="H49" s="22">
        <v>2430.85</v>
      </c>
      <c r="I49" s="22">
        <v>982.5</v>
      </c>
      <c r="N49" s="22">
        <f t="shared" si="3"/>
        <v>5948.2</v>
      </c>
      <c r="P49" s="9" t="s">
        <v>32</v>
      </c>
      <c r="Q49" s="2">
        <v>45393</v>
      </c>
      <c r="R49" s="55">
        <f t="shared" si="5"/>
        <v>5944</v>
      </c>
      <c r="S49" s="59">
        <v>1934</v>
      </c>
      <c r="T49" s="68">
        <v>730</v>
      </c>
      <c r="U49" s="68">
        <v>694</v>
      </c>
      <c r="V49" s="68">
        <v>890</v>
      </c>
      <c r="W49">
        <v>1696</v>
      </c>
      <c r="AA49" s="65">
        <f t="shared" si="6"/>
        <v>5944</v>
      </c>
      <c r="AB49" s="9" t="s">
        <v>32</v>
      </c>
      <c r="AC49" s="19">
        <v>45393</v>
      </c>
      <c r="AD49" s="4">
        <f t="shared" si="7"/>
        <v>11892.2</v>
      </c>
      <c r="AE49" s="1"/>
    </row>
    <row r="50" spans="4:35" hidden="1" x14ac:dyDescent="0.25">
      <c r="D50" s="9" t="s">
        <v>26</v>
      </c>
      <c r="E50" s="86">
        <v>45394</v>
      </c>
      <c r="F50" s="87">
        <f t="shared" si="4"/>
        <v>6568.2</v>
      </c>
      <c r="G50" s="82">
        <v>2671.2</v>
      </c>
      <c r="H50" s="22">
        <v>2916</v>
      </c>
      <c r="I50" s="22">
        <v>981</v>
      </c>
      <c r="N50" s="22">
        <f t="shared" si="3"/>
        <v>6568.2</v>
      </c>
      <c r="P50" s="9" t="s">
        <v>26</v>
      </c>
      <c r="Q50" s="2">
        <v>45394</v>
      </c>
      <c r="R50" s="55">
        <f t="shared" si="5"/>
        <v>8369</v>
      </c>
      <c r="S50" s="59">
        <v>2175</v>
      </c>
      <c r="T50" s="68">
        <v>1422</v>
      </c>
      <c r="U50" s="68">
        <v>676</v>
      </c>
      <c r="V50" s="68">
        <v>3174</v>
      </c>
      <c r="W50">
        <v>922</v>
      </c>
      <c r="AA50" s="65">
        <f t="shared" si="6"/>
        <v>8369</v>
      </c>
      <c r="AB50" s="9" t="s">
        <v>26</v>
      </c>
      <c r="AC50" s="19">
        <v>45394</v>
      </c>
      <c r="AD50" s="4">
        <f t="shared" si="7"/>
        <v>14937.2</v>
      </c>
      <c r="AE50" s="1"/>
    </row>
    <row r="51" spans="4:35" hidden="1" x14ac:dyDescent="0.25">
      <c r="D51" s="9" t="s">
        <v>27</v>
      </c>
      <c r="E51" s="86">
        <v>45395</v>
      </c>
      <c r="F51" s="87">
        <f t="shared" si="4"/>
        <v>8490.1</v>
      </c>
      <c r="G51" s="82">
        <v>2702.55</v>
      </c>
      <c r="H51" s="22">
        <v>4352.55</v>
      </c>
      <c r="I51" s="22">
        <v>1435</v>
      </c>
      <c r="K51" s="22"/>
      <c r="M51" s="22"/>
      <c r="N51" s="22">
        <f t="shared" si="3"/>
        <v>8490.1</v>
      </c>
      <c r="P51" s="9" t="s">
        <v>27</v>
      </c>
      <c r="Q51" s="2">
        <v>45395</v>
      </c>
      <c r="R51" s="55">
        <f t="shared" si="5"/>
        <v>11380</v>
      </c>
      <c r="S51" s="59">
        <v>2892</v>
      </c>
      <c r="T51" s="68">
        <v>458</v>
      </c>
      <c r="U51" s="68">
        <v>2582</v>
      </c>
      <c r="V51" s="68">
        <v>3702</v>
      </c>
      <c r="W51">
        <v>1746</v>
      </c>
      <c r="AA51" s="65">
        <f t="shared" si="6"/>
        <v>11380</v>
      </c>
      <c r="AB51" s="9" t="s">
        <v>27</v>
      </c>
      <c r="AC51" s="19">
        <v>45395</v>
      </c>
      <c r="AD51" s="4">
        <f t="shared" si="7"/>
        <v>19870.099999999999</v>
      </c>
      <c r="AE51" s="1"/>
    </row>
    <row r="52" spans="4:35" hidden="1" x14ac:dyDescent="0.25">
      <c r="D52" s="9" t="s">
        <v>28</v>
      </c>
      <c r="E52" s="86">
        <v>45396</v>
      </c>
      <c r="F52" s="87">
        <f t="shared" si="4"/>
        <v>7689.7</v>
      </c>
      <c r="G52" s="82">
        <v>1993.9</v>
      </c>
      <c r="H52" s="22">
        <v>4554.1000000000004</v>
      </c>
      <c r="I52" s="22">
        <v>1141.7</v>
      </c>
      <c r="K52" s="22"/>
      <c r="M52" s="22"/>
      <c r="N52" s="22">
        <f t="shared" si="3"/>
        <v>7689.7</v>
      </c>
      <c r="P52" s="9" t="s">
        <v>28</v>
      </c>
      <c r="Q52" s="2">
        <v>45396</v>
      </c>
      <c r="R52" s="55">
        <f t="shared" si="5"/>
        <v>8815</v>
      </c>
      <c r="S52" s="59">
        <v>1398</v>
      </c>
      <c r="T52" s="68">
        <v>198</v>
      </c>
      <c r="U52" s="68">
        <v>2890</v>
      </c>
      <c r="V52" s="68">
        <v>2613</v>
      </c>
      <c r="W52">
        <v>1716</v>
      </c>
      <c r="AA52" s="65">
        <f t="shared" si="6"/>
        <v>8815</v>
      </c>
      <c r="AB52" s="9" t="s">
        <v>28</v>
      </c>
      <c r="AC52" s="19">
        <v>45396</v>
      </c>
      <c r="AD52" s="4">
        <f t="shared" si="7"/>
        <v>16504.7</v>
      </c>
      <c r="AE52" s="1"/>
    </row>
    <row r="53" spans="4:35" hidden="1" x14ac:dyDescent="0.25">
      <c r="D53" s="9" t="s">
        <v>29</v>
      </c>
      <c r="E53" s="86">
        <v>45397</v>
      </c>
      <c r="F53" s="87">
        <f t="shared" si="4"/>
        <v>7207.7000000000007</v>
      </c>
      <c r="G53" s="82">
        <v>3222.15</v>
      </c>
      <c r="H53" s="22">
        <v>2523.9499999999998</v>
      </c>
      <c r="I53" s="22">
        <v>1461.6</v>
      </c>
      <c r="J53" s="22"/>
      <c r="K53" s="22"/>
      <c r="L53" s="22"/>
      <c r="M53" s="22"/>
      <c r="N53" s="22">
        <f t="shared" si="3"/>
        <v>7207.7000000000007</v>
      </c>
      <c r="P53" s="9" t="s">
        <v>29</v>
      </c>
      <c r="Q53" s="2">
        <v>45397</v>
      </c>
      <c r="R53" s="55">
        <f t="shared" si="5"/>
        <v>7610</v>
      </c>
      <c r="S53" s="59">
        <v>808</v>
      </c>
      <c r="T53" s="68">
        <v>2288</v>
      </c>
      <c r="U53" s="68">
        <v>1182</v>
      </c>
      <c r="V53" s="68">
        <v>2032</v>
      </c>
      <c r="W53">
        <v>1300</v>
      </c>
      <c r="AA53" s="65">
        <f>SUM(S53:Z53)</f>
        <v>7610</v>
      </c>
      <c r="AB53" s="9" t="s">
        <v>29</v>
      </c>
      <c r="AC53" s="19">
        <v>45397</v>
      </c>
      <c r="AD53" s="4">
        <f t="shared" si="7"/>
        <v>14817.7</v>
      </c>
      <c r="AE53" s="1"/>
    </row>
    <row r="54" spans="4:35" hidden="1" x14ac:dyDescent="0.25">
      <c r="D54" s="9" t="s">
        <v>30</v>
      </c>
      <c r="E54" s="86">
        <v>45398</v>
      </c>
      <c r="F54" s="87">
        <f>N54</f>
        <v>4894.8</v>
      </c>
      <c r="G54" s="82">
        <v>1971.85</v>
      </c>
      <c r="H54" s="22">
        <v>2069.75</v>
      </c>
      <c r="I54" s="22">
        <v>853.2</v>
      </c>
      <c r="J54" s="22"/>
      <c r="K54" s="22"/>
      <c r="L54" s="22"/>
      <c r="M54" s="22"/>
      <c r="N54" s="22">
        <f t="shared" si="3"/>
        <v>4894.8</v>
      </c>
      <c r="P54" s="9" t="s">
        <v>30</v>
      </c>
      <c r="Q54" s="2">
        <v>45398</v>
      </c>
      <c r="R54" s="55">
        <f t="shared" si="5"/>
        <v>4720</v>
      </c>
      <c r="S54" s="59">
        <v>602</v>
      </c>
      <c r="T54" s="68">
        <v>1318</v>
      </c>
      <c r="U54" s="68">
        <v>704</v>
      </c>
      <c r="V54" s="68">
        <v>1254</v>
      </c>
      <c r="W54">
        <v>842</v>
      </c>
      <c r="AA54" s="65">
        <f t="shared" si="6"/>
        <v>4720</v>
      </c>
      <c r="AB54" s="9" t="s">
        <v>30</v>
      </c>
      <c r="AC54" s="19">
        <v>45398</v>
      </c>
      <c r="AD54" s="4">
        <f t="shared" si="7"/>
        <v>9614.7999999999993</v>
      </c>
      <c r="AE54" s="1"/>
      <c r="AF54" s="17">
        <v>45384</v>
      </c>
      <c r="AG54" s="17"/>
      <c r="AH54" t="s">
        <v>68</v>
      </c>
      <c r="AI54" s="32">
        <v>4000</v>
      </c>
    </row>
    <row r="55" spans="4:35" hidden="1" x14ac:dyDescent="0.25">
      <c r="D55" s="9" t="s">
        <v>31</v>
      </c>
      <c r="E55" s="86">
        <v>45399</v>
      </c>
      <c r="F55" s="87">
        <f t="shared" ref="F55:F68" si="8">N55</f>
        <v>4755.95</v>
      </c>
      <c r="G55" s="82">
        <v>2240.4499999999998</v>
      </c>
      <c r="H55" s="22">
        <v>1733.4</v>
      </c>
      <c r="I55" s="22">
        <v>782.1</v>
      </c>
      <c r="J55" s="22"/>
      <c r="K55" s="22"/>
      <c r="L55" s="22"/>
      <c r="M55" s="22"/>
      <c r="N55" s="22">
        <f t="shared" si="3"/>
        <v>4755.95</v>
      </c>
      <c r="P55" s="9" t="s">
        <v>31</v>
      </c>
      <c r="Q55" s="2">
        <v>45399</v>
      </c>
      <c r="R55" s="55">
        <f t="shared" si="5"/>
        <v>9851</v>
      </c>
      <c r="S55" s="59">
        <v>1747</v>
      </c>
      <c r="T55" s="68">
        <v>1714</v>
      </c>
      <c r="U55" s="68">
        <v>2666</v>
      </c>
      <c r="V55" s="68">
        <v>2008</v>
      </c>
      <c r="W55">
        <v>1716</v>
      </c>
      <c r="AA55" s="65">
        <f t="shared" si="6"/>
        <v>9851</v>
      </c>
      <c r="AB55" s="9" t="s">
        <v>31</v>
      </c>
      <c r="AC55" s="19">
        <v>45399</v>
      </c>
      <c r="AD55" s="4">
        <f t="shared" si="7"/>
        <v>14606.95</v>
      </c>
      <c r="AE55" s="1"/>
      <c r="AF55" s="17">
        <v>45385</v>
      </c>
      <c r="AG55" s="17"/>
      <c r="AH55" t="s">
        <v>64</v>
      </c>
      <c r="AI55">
        <v>664</v>
      </c>
    </row>
    <row r="56" spans="4:35" hidden="1" x14ac:dyDescent="0.25">
      <c r="D56" s="9" t="s">
        <v>32</v>
      </c>
      <c r="E56" s="86">
        <v>45400</v>
      </c>
      <c r="F56" s="87">
        <f t="shared" si="8"/>
        <v>7436.65</v>
      </c>
      <c r="G56" s="82">
        <v>2335.75</v>
      </c>
      <c r="H56" s="22">
        <v>3589.65</v>
      </c>
      <c r="I56" s="22">
        <v>1511.25</v>
      </c>
      <c r="J56" s="22"/>
      <c r="K56" s="22"/>
      <c r="L56" s="22"/>
      <c r="M56" s="22"/>
      <c r="N56" s="22">
        <f t="shared" si="3"/>
        <v>7436.65</v>
      </c>
      <c r="P56" s="9" t="s">
        <v>32</v>
      </c>
      <c r="Q56" s="2">
        <v>45400</v>
      </c>
      <c r="R56" s="55">
        <f t="shared" si="5"/>
        <v>3533</v>
      </c>
      <c r="S56" s="59">
        <v>1141</v>
      </c>
      <c r="T56" s="68">
        <v>592</v>
      </c>
      <c r="U56" s="68">
        <v>338</v>
      </c>
      <c r="V56" s="68">
        <v>1462</v>
      </c>
      <c r="W56">
        <v>0</v>
      </c>
      <c r="AA56" s="65">
        <f>SUM(S56:Z56)</f>
        <v>3533</v>
      </c>
      <c r="AB56" s="9" t="s">
        <v>32</v>
      </c>
      <c r="AC56" s="19">
        <v>45400</v>
      </c>
      <c r="AD56" s="4">
        <f t="shared" si="7"/>
        <v>10969.65</v>
      </c>
      <c r="AE56" s="1"/>
      <c r="AF56" s="17">
        <v>45386</v>
      </c>
      <c r="AG56" s="17"/>
      <c r="AH56" t="s">
        <v>63</v>
      </c>
      <c r="AI56" s="32">
        <v>12000</v>
      </c>
    </row>
    <row r="57" spans="4:35" hidden="1" x14ac:dyDescent="0.25">
      <c r="D57" s="9" t="s">
        <v>26</v>
      </c>
      <c r="E57" s="86">
        <v>45401</v>
      </c>
      <c r="F57" s="87">
        <f t="shared" si="8"/>
        <v>5583.45</v>
      </c>
      <c r="G57" s="82">
        <v>2627.05</v>
      </c>
      <c r="H57" s="22">
        <v>1761.6</v>
      </c>
      <c r="I57" s="22">
        <v>1194.8</v>
      </c>
      <c r="J57" s="22"/>
      <c r="K57" s="22"/>
      <c r="L57" s="22"/>
      <c r="M57" s="22"/>
      <c r="N57" s="22">
        <f t="shared" ref="N57:N120" si="9">SUM(G57:M57)</f>
        <v>5583.45</v>
      </c>
      <c r="P57" s="9" t="s">
        <v>26</v>
      </c>
      <c r="Q57" s="2">
        <v>45401</v>
      </c>
      <c r="R57" s="55">
        <f t="shared" si="5"/>
        <v>5744</v>
      </c>
      <c r="S57" s="59">
        <v>1168</v>
      </c>
      <c r="T57" s="68">
        <v>424</v>
      </c>
      <c r="U57" s="68">
        <v>1014</v>
      </c>
      <c r="V57" s="68">
        <v>2484</v>
      </c>
      <c r="W57">
        <v>654</v>
      </c>
      <c r="AA57" s="65">
        <f t="shared" ref="AA57:AA120" si="10">SUM(S57:Z57)</f>
        <v>5744</v>
      </c>
      <c r="AB57" s="9" t="s">
        <v>26</v>
      </c>
      <c r="AC57" s="19">
        <v>45401</v>
      </c>
      <c r="AD57" s="4">
        <f t="shared" si="7"/>
        <v>11327.45</v>
      </c>
      <c r="AE57" s="1"/>
      <c r="AF57" s="17"/>
      <c r="AG57" s="17"/>
    </row>
    <row r="58" spans="4:35" hidden="1" x14ac:dyDescent="0.25">
      <c r="D58" s="9" t="s">
        <v>27</v>
      </c>
      <c r="E58" s="86">
        <v>45402</v>
      </c>
      <c r="F58" s="87">
        <f t="shared" si="8"/>
        <v>5763.65</v>
      </c>
      <c r="G58" s="82">
        <v>2232.1</v>
      </c>
      <c r="H58" s="22">
        <v>2673.65</v>
      </c>
      <c r="I58" s="22">
        <v>857.9</v>
      </c>
      <c r="J58" s="22"/>
      <c r="K58" s="22"/>
      <c r="L58" s="22"/>
      <c r="M58" s="22"/>
      <c r="N58" s="22">
        <f t="shared" si="9"/>
        <v>5763.65</v>
      </c>
      <c r="P58" s="9" t="s">
        <v>27</v>
      </c>
      <c r="Q58" s="2">
        <v>45402</v>
      </c>
      <c r="R58" s="55">
        <f t="shared" ref="R58:R74" si="11">AA58</f>
        <v>5875</v>
      </c>
      <c r="S58" s="59">
        <v>1466</v>
      </c>
      <c r="T58" s="68">
        <v>1311</v>
      </c>
      <c r="U58" s="68">
        <v>198</v>
      </c>
      <c r="V58" s="68">
        <v>2314</v>
      </c>
      <c r="W58">
        <v>586</v>
      </c>
      <c r="AA58" s="65">
        <f t="shared" si="10"/>
        <v>5875</v>
      </c>
      <c r="AB58" s="9" t="s">
        <v>27</v>
      </c>
      <c r="AC58" s="19">
        <v>45402</v>
      </c>
      <c r="AD58" s="4">
        <f t="shared" si="7"/>
        <v>11638.65</v>
      </c>
      <c r="AE58" s="1"/>
      <c r="AF58" s="17">
        <v>45393</v>
      </c>
      <c r="AG58" s="17"/>
      <c r="AH58" t="s">
        <v>67</v>
      </c>
      <c r="AI58">
        <f>(2000+129)</f>
        <v>2129</v>
      </c>
    </row>
    <row r="59" spans="4:35" hidden="1" x14ac:dyDescent="0.25">
      <c r="D59" s="9" t="s">
        <v>28</v>
      </c>
      <c r="E59" s="86">
        <v>45403</v>
      </c>
      <c r="F59" s="87">
        <f t="shared" si="8"/>
        <v>6571.2999999999993</v>
      </c>
      <c r="G59" s="82">
        <v>2923.2</v>
      </c>
      <c r="H59" s="22">
        <v>2355.9499999999998</v>
      </c>
      <c r="I59" s="22">
        <v>1292.1500000000001</v>
      </c>
      <c r="J59" s="22"/>
      <c r="K59" s="22"/>
      <c r="L59" s="22"/>
      <c r="M59" s="22"/>
      <c r="N59" s="22">
        <f t="shared" si="9"/>
        <v>6571.2999999999993</v>
      </c>
      <c r="P59" s="9" t="s">
        <v>28</v>
      </c>
      <c r="Q59" s="2">
        <v>45403</v>
      </c>
      <c r="R59" s="55">
        <f t="shared" si="11"/>
        <v>7360</v>
      </c>
      <c r="S59" s="59">
        <v>2536</v>
      </c>
      <c r="T59" s="68">
        <v>1030</v>
      </c>
      <c r="U59" s="68">
        <v>1134</v>
      </c>
      <c r="V59" s="68">
        <v>2064</v>
      </c>
      <c r="W59">
        <v>596</v>
      </c>
      <c r="AA59" s="65">
        <f t="shared" si="10"/>
        <v>7360</v>
      </c>
      <c r="AB59" s="9" t="s">
        <v>28</v>
      </c>
      <c r="AC59" s="19">
        <v>45403</v>
      </c>
      <c r="AD59" s="4">
        <f t="shared" si="7"/>
        <v>13931.3</v>
      </c>
      <c r="AE59" s="1"/>
    </row>
    <row r="60" spans="4:35" hidden="1" x14ac:dyDescent="0.25">
      <c r="D60" s="9" t="s">
        <v>29</v>
      </c>
      <c r="E60" s="86">
        <v>45404</v>
      </c>
      <c r="F60" s="87">
        <f t="shared" si="8"/>
        <v>5895.6</v>
      </c>
      <c r="G60" s="82">
        <v>2275.65</v>
      </c>
      <c r="H60" s="22">
        <v>2197.1</v>
      </c>
      <c r="I60" s="22">
        <v>1422.85</v>
      </c>
      <c r="J60" s="22"/>
      <c r="K60" s="22"/>
      <c r="L60" s="22"/>
      <c r="M60" s="22"/>
      <c r="N60" s="22">
        <f t="shared" si="9"/>
        <v>5895.6</v>
      </c>
      <c r="P60" s="9" t="s">
        <v>29</v>
      </c>
      <c r="Q60" s="2">
        <v>45404</v>
      </c>
      <c r="R60" s="55">
        <f t="shared" si="11"/>
        <v>8924</v>
      </c>
      <c r="S60" s="59">
        <v>1424</v>
      </c>
      <c r="T60" s="68">
        <v>196</v>
      </c>
      <c r="U60" s="68">
        <v>2712</v>
      </c>
      <c r="V60" s="68">
        <v>564</v>
      </c>
      <c r="W60">
        <v>4028</v>
      </c>
      <c r="AA60" s="65">
        <f t="shared" si="10"/>
        <v>8924</v>
      </c>
      <c r="AB60" s="9" t="s">
        <v>29</v>
      </c>
      <c r="AC60" s="19">
        <v>45404</v>
      </c>
      <c r="AD60" s="4">
        <f t="shared" si="7"/>
        <v>14819.6</v>
      </c>
      <c r="AE60" s="1"/>
    </row>
    <row r="61" spans="4:35" hidden="1" x14ac:dyDescent="0.25">
      <c r="D61" s="9" t="s">
        <v>30</v>
      </c>
      <c r="E61" s="86">
        <v>45405</v>
      </c>
      <c r="F61" s="87">
        <f t="shared" si="8"/>
        <v>4201.6499999999996</v>
      </c>
      <c r="G61" s="82">
        <v>1737.95</v>
      </c>
      <c r="H61" s="22">
        <v>2463.6999999999998</v>
      </c>
      <c r="I61" s="22">
        <v>0</v>
      </c>
      <c r="J61" s="22"/>
      <c r="K61" s="22"/>
      <c r="L61" s="22"/>
      <c r="M61" s="22"/>
      <c r="N61" s="22">
        <f t="shared" si="9"/>
        <v>4201.6499999999996</v>
      </c>
      <c r="P61" s="9" t="s">
        <v>30</v>
      </c>
      <c r="Q61" s="2">
        <v>45405</v>
      </c>
      <c r="R61" s="55">
        <f t="shared" si="11"/>
        <v>5779</v>
      </c>
      <c r="S61" s="59">
        <v>1150</v>
      </c>
      <c r="T61" s="68">
        <v>1180</v>
      </c>
      <c r="U61" s="68">
        <v>1470</v>
      </c>
      <c r="V61" s="68">
        <v>1294</v>
      </c>
      <c r="W61">
        <v>685</v>
      </c>
      <c r="AA61" s="65">
        <f t="shared" si="10"/>
        <v>5779</v>
      </c>
      <c r="AB61" s="9" t="s">
        <v>30</v>
      </c>
      <c r="AC61" s="19">
        <v>45405</v>
      </c>
      <c r="AD61" s="4">
        <f t="shared" si="7"/>
        <v>9980.65</v>
      </c>
      <c r="AE61" s="1"/>
    </row>
    <row r="62" spans="4:35" hidden="1" x14ac:dyDescent="0.25">
      <c r="D62" s="9" t="s">
        <v>31</v>
      </c>
      <c r="E62" s="86">
        <v>45406</v>
      </c>
      <c r="F62" s="87">
        <f t="shared" si="8"/>
        <v>3500.85</v>
      </c>
      <c r="G62" s="82">
        <v>1666.3</v>
      </c>
      <c r="H62" s="22">
        <v>1834.55</v>
      </c>
      <c r="I62" s="22">
        <v>0</v>
      </c>
      <c r="J62" s="22"/>
      <c r="K62" s="22"/>
      <c r="L62" s="22"/>
      <c r="M62" s="22"/>
      <c r="N62" s="22">
        <f t="shared" si="9"/>
        <v>3500.85</v>
      </c>
      <c r="P62" s="9" t="s">
        <v>31</v>
      </c>
      <c r="Q62" s="2">
        <v>45406</v>
      </c>
      <c r="R62" s="55">
        <f t="shared" si="11"/>
        <v>5224</v>
      </c>
      <c r="S62" s="59">
        <v>1344</v>
      </c>
      <c r="T62" s="68">
        <v>0</v>
      </c>
      <c r="U62" s="68">
        <v>1598</v>
      </c>
      <c r="V62" s="68">
        <v>1338</v>
      </c>
      <c r="W62">
        <v>944</v>
      </c>
      <c r="AA62" s="65">
        <f t="shared" si="10"/>
        <v>5224</v>
      </c>
      <c r="AB62" s="9" t="s">
        <v>31</v>
      </c>
      <c r="AC62" s="19">
        <v>45406</v>
      </c>
      <c r="AD62" s="4">
        <f t="shared" si="7"/>
        <v>8724.85</v>
      </c>
      <c r="AE62" s="1"/>
    </row>
    <row r="63" spans="4:35" hidden="1" x14ac:dyDescent="0.25">
      <c r="D63" s="9" t="s">
        <v>32</v>
      </c>
      <c r="E63" s="86">
        <v>45407</v>
      </c>
      <c r="F63" s="87">
        <f t="shared" si="8"/>
        <v>4706.3500000000004</v>
      </c>
      <c r="G63" s="82">
        <v>2255.5</v>
      </c>
      <c r="H63" s="22">
        <v>2450.85</v>
      </c>
      <c r="I63" s="22">
        <v>0</v>
      </c>
      <c r="J63" s="22"/>
      <c r="K63" s="22"/>
      <c r="L63" s="22"/>
      <c r="M63" s="22"/>
      <c r="N63" s="22">
        <f t="shared" si="9"/>
        <v>4706.3500000000004</v>
      </c>
      <c r="P63" s="9" t="s">
        <v>32</v>
      </c>
      <c r="Q63" s="2">
        <v>45407</v>
      </c>
      <c r="R63" s="55">
        <f t="shared" si="11"/>
        <v>4172</v>
      </c>
      <c r="S63" s="59">
        <v>980</v>
      </c>
      <c r="T63" s="68">
        <v>280</v>
      </c>
      <c r="U63" s="68">
        <v>1632</v>
      </c>
      <c r="V63" s="68">
        <v>1052</v>
      </c>
      <c r="W63">
        <v>228</v>
      </c>
      <c r="AA63" s="65">
        <f t="shared" si="10"/>
        <v>4172</v>
      </c>
      <c r="AB63" s="9" t="s">
        <v>32</v>
      </c>
      <c r="AC63" s="19">
        <v>45407</v>
      </c>
      <c r="AD63" s="4">
        <f t="shared" si="7"/>
        <v>8878.35</v>
      </c>
      <c r="AE63" s="1"/>
    </row>
    <row r="64" spans="4:35" hidden="1" x14ac:dyDescent="0.25">
      <c r="D64" s="9" t="s">
        <v>26</v>
      </c>
      <c r="E64" s="86">
        <v>45408</v>
      </c>
      <c r="F64" s="87">
        <f t="shared" si="8"/>
        <v>6423.9</v>
      </c>
      <c r="G64" s="82">
        <v>2867.2</v>
      </c>
      <c r="H64" s="22">
        <v>3556.7</v>
      </c>
      <c r="I64" s="22">
        <v>0</v>
      </c>
      <c r="J64" s="22"/>
      <c r="K64" s="22"/>
      <c r="L64" s="22"/>
      <c r="M64" s="22"/>
      <c r="N64" s="22">
        <f t="shared" si="9"/>
        <v>6423.9</v>
      </c>
      <c r="P64" s="9" t="s">
        <v>26</v>
      </c>
      <c r="Q64" s="2">
        <v>45408</v>
      </c>
      <c r="R64" s="55">
        <f t="shared" si="11"/>
        <v>3678</v>
      </c>
      <c r="S64" s="59">
        <v>1472</v>
      </c>
      <c r="T64" s="68">
        <v>0</v>
      </c>
      <c r="U64" s="68">
        <v>1810</v>
      </c>
      <c r="V64" s="68">
        <v>396</v>
      </c>
      <c r="W64">
        <v>0</v>
      </c>
      <c r="AA64" s="65">
        <f t="shared" si="10"/>
        <v>3678</v>
      </c>
      <c r="AB64" s="9" t="s">
        <v>26</v>
      </c>
      <c r="AC64" s="19">
        <v>45408</v>
      </c>
      <c r="AD64" s="4">
        <f t="shared" si="7"/>
        <v>10101.9</v>
      </c>
      <c r="AE64" s="1"/>
    </row>
    <row r="65" spans="4:62" hidden="1" x14ac:dyDescent="0.25">
      <c r="D65" s="9" t="s">
        <v>27</v>
      </c>
      <c r="E65" s="86">
        <v>45409</v>
      </c>
      <c r="F65" s="87">
        <f t="shared" si="8"/>
        <v>4395.7000000000007</v>
      </c>
      <c r="G65" s="82">
        <v>2288.4</v>
      </c>
      <c r="H65" s="22">
        <v>2107.3000000000002</v>
      </c>
      <c r="I65" s="22">
        <v>0</v>
      </c>
      <c r="J65" s="22"/>
      <c r="K65" s="22"/>
      <c r="L65" s="22"/>
      <c r="M65" s="22"/>
      <c r="N65" s="22">
        <f t="shared" si="9"/>
        <v>4395.7000000000007</v>
      </c>
      <c r="P65" s="9" t="s">
        <v>27</v>
      </c>
      <c r="Q65" s="2">
        <v>45409</v>
      </c>
      <c r="R65" s="55">
        <f t="shared" si="11"/>
        <v>5023.8</v>
      </c>
      <c r="S65" s="59">
        <v>1770</v>
      </c>
      <c r="T65" s="68">
        <v>375.8</v>
      </c>
      <c r="U65" s="68">
        <v>644</v>
      </c>
      <c r="V65" s="68">
        <v>1610</v>
      </c>
      <c r="W65">
        <v>624</v>
      </c>
      <c r="AA65" s="65">
        <f t="shared" si="10"/>
        <v>5023.8</v>
      </c>
      <c r="AB65" s="9" t="s">
        <v>27</v>
      </c>
      <c r="AC65" s="19">
        <v>45409</v>
      </c>
      <c r="AD65" s="4">
        <f t="shared" si="7"/>
        <v>9419.5</v>
      </c>
      <c r="AE65" s="1"/>
    </row>
    <row r="66" spans="4:62" hidden="1" x14ac:dyDescent="0.25">
      <c r="D66" s="9" t="s">
        <v>28</v>
      </c>
      <c r="E66" s="86">
        <v>45410</v>
      </c>
      <c r="F66" s="87">
        <f t="shared" si="8"/>
        <v>5309.35</v>
      </c>
      <c r="G66" s="82">
        <v>1966</v>
      </c>
      <c r="H66" s="22">
        <v>3343.35</v>
      </c>
      <c r="I66" s="22">
        <v>0</v>
      </c>
      <c r="J66" s="22"/>
      <c r="K66" s="22"/>
      <c r="L66" s="22"/>
      <c r="M66" s="22"/>
      <c r="N66" s="22">
        <f t="shared" si="9"/>
        <v>5309.35</v>
      </c>
      <c r="P66" s="9" t="s">
        <v>28</v>
      </c>
      <c r="Q66" s="2">
        <v>45410</v>
      </c>
      <c r="R66" s="55">
        <f t="shared" si="11"/>
        <v>9124</v>
      </c>
      <c r="S66" s="59">
        <v>3074</v>
      </c>
      <c r="T66" s="68">
        <v>196</v>
      </c>
      <c r="U66" s="68">
        <v>2346</v>
      </c>
      <c r="V66" s="68">
        <v>2338</v>
      </c>
      <c r="W66">
        <v>1170</v>
      </c>
      <c r="AA66" s="65">
        <f t="shared" si="10"/>
        <v>9124</v>
      </c>
      <c r="AB66" s="9" t="s">
        <v>28</v>
      </c>
      <c r="AC66" s="19">
        <v>45410</v>
      </c>
      <c r="AD66" s="4">
        <f t="shared" si="7"/>
        <v>14433.35</v>
      </c>
      <c r="AE66" s="1"/>
    </row>
    <row r="67" spans="4:62" hidden="1" x14ac:dyDescent="0.25">
      <c r="D67" s="9" t="s">
        <v>29</v>
      </c>
      <c r="E67" s="86">
        <v>45411</v>
      </c>
      <c r="F67" s="87">
        <f t="shared" si="8"/>
        <v>5880.15</v>
      </c>
      <c r="G67" s="82">
        <v>3084.55</v>
      </c>
      <c r="H67" s="22">
        <v>2795.6</v>
      </c>
      <c r="I67" s="22">
        <v>0</v>
      </c>
      <c r="J67" s="22"/>
      <c r="K67" s="22"/>
      <c r="L67" s="22"/>
      <c r="M67" s="22"/>
      <c r="N67" s="22">
        <f t="shared" si="9"/>
        <v>5880.15</v>
      </c>
      <c r="P67" s="9" t="s">
        <v>29</v>
      </c>
      <c r="Q67" s="2">
        <v>45411</v>
      </c>
      <c r="R67" s="55">
        <f t="shared" si="11"/>
        <v>7616</v>
      </c>
      <c r="S67" s="59">
        <v>1284</v>
      </c>
      <c r="T67" s="68">
        <v>0</v>
      </c>
      <c r="U67" s="68">
        <v>1928</v>
      </c>
      <c r="V67" s="68">
        <v>2530</v>
      </c>
      <c r="W67">
        <v>1874</v>
      </c>
      <c r="AA67" s="65">
        <f t="shared" si="10"/>
        <v>7616</v>
      </c>
      <c r="AB67" s="9" t="s">
        <v>29</v>
      </c>
      <c r="AC67" s="19">
        <v>45411</v>
      </c>
      <c r="AD67" s="4">
        <f t="shared" si="7"/>
        <v>13496.15</v>
      </c>
      <c r="AE67" s="1"/>
    </row>
    <row r="68" spans="4:62" s="13" customFormat="1" hidden="1" x14ac:dyDescent="0.25">
      <c r="D68" s="13" t="s">
        <v>30</v>
      </c>
      <c r="E68" s="88">
        <v>45412</v>
      </c>
      <c r="F68" s="69">
        <f t="shared" si="8"/>
        <v>4709.5</v>
      </c>
      <c r="G68" s="83">
        <v>2324.1</v>
      </c>
      <c r="H68" s="30">
        <v>2385.4</v>
      </c>
      <c r="I68" s="30">
        <v>0</v>
      </c>
      <c r="J68" s="30"/>
      <c r="K68" s="30"/>
      <c r="L68" s="30"/>
      <c r="M68" s="30"/>
      <c r="N68" s="30">
        <f t="shared" si="9"/>
        <v>4709.5</v>
      </c>
      <c r="P68" s="13" t="s">
        <v>30</v>
      </c>
      <c r="Q68" s="10">
        <v>45412</v>
      </c>
      <c r="R68" s="57">
        <f t="shared" si="11"/>
        <v>11160</v>
      </c>
      <c r="S68" s="60">
        <v>1820</v>
      </c>
      <c r="T68" s="70">
        <v>168</v>
      </c>
      <c r="U68" s="70">
        <v>5024</v>
      </c>
      <c r="V68" s="70">
        <v>886</v>
      </c>
      <c r="W68" s="13">
        <v>3262</v>
      </c>
      <c r="Z68" s="16"/>
      <c r="AA68" s="71">
        <f t="shared" si="10"/>
        <v>11160</v>
      </c>
      <c r="AB68" s="13" t="s">
        <v>30</v>
      </c>
      <c r="AC68" s="20">
        <v>45412</v>
      </c>
      <c r="AD68" s="34">
        <f t="shared" si="7"/>
        <v>15869.5</v>
      </c>
      <c r="AE68" s="16"/>
      <c r="BJ68" s="16"/>
    </row>
    <row r="69" spans="4:62" hidden="1" x14ac:dyDescent="0.25">
      <c r="D69" s="9" t="s">
        <v>31</v>
      </c>
      <c r="E69" s="86">
        <v>45413</v>
      </c>
      <c r="F69" s="87">
        <f>N69</f>
        <v>3574.6</v>
      </c>
      <c r="G69" s="49">
        <v>3574.6</v>
      </c>
      <c r="H69" s="22"/>
      <c r="I69" s="22"/>
      <c r="J69" s="22"/>
      <c r="K69" s="22"/>
      <c r="L69" s="22"/>
      <c r="M69" s="22"/>
      <c r="N69" s="22">
        <f t="shared" si="9"/>
        <v>3574.6</v>
      </c>
      <c r="Q69" s="2">
        <v>45413</v>
      </c>
      <c r="R69" s="55">
        <f t="shared" si="11"/>
        <v>13401</v>
      </c>
      <c r="S69" s="59">
        <v>1844</v>
      </c>
      <c r="T69" s="68">
        <v>562</v>
      </c>
      <c r="U69" s="68">
        <v>5887</v>
      </c>
      <c r="V69" s="68">
        <v>3434</v>
      </c>
      <c r="W69">
        <v>1674</v>
      </c>
      <c r="AA69" s="65">
        <f t="shared" si="10"/>
        <v>13401</v>
      </c>
      <c r="AB69" s="9" t="s">
        <v>31</v>
      </c>
      <c r="AC69" s="19">
        <v>45413</v>
      </c>
      <c r="AD69" s="4">
        <f t="shared" si="7"/>
        <v>16975.599999999999</v>
      </c>
      <c r="AE69" s="1"/>
    </row>
    <row r="70" spans="4:62" hidden="1" x14ac:dyDescent="0.25">
      <c r="D70" s="9" t="s">
        <v>32</v>
      </c>
      <c r="E70" s="86">
        <v>45414</v>
      </c>
      <c r="F70" s="87">
        <f>N70</f>
        <v>2118</v>
      </c>
      <c r="G70" s="49">
        <v>2118</v>
      </c>
      <c r="H70" s="22"/>
      <c r="I70" s="22"/>
      <c r="J70" s="22"/>
      <c r="K70" s="22"/>
      <c r="L70" s="22"/>
      <c r="M70" s="22"/>
      <c r="N70" s="22">
        <f t="shared" si="9"/>
        <v>2118</v>
      </c>
      <c r="Q70" s="2">
        <v>45414</v>
      </c>
      <c r="R70" s="55">
        <f t="shared" si="11"/>
        <v>9371</v>
      </c>
      <c r="S70" s="59">
        <v>4389</v>
      </c>
      <c r="T70" s="68">
        <v>392</v>
      </c>
      <c r="U70" s="68">
        <v>1950</v>
      </c>
      <c r="V70" s="68">
        <v>1866</v>
      </c>
      <c r="W70">
        <v>774</v>
      </c>
      <c r="AA70" s="65">
        <f t="shared" si="10"/>
        <v>9371</v>
      </c>
      <c r="AB70" s="9" t="s">
        <v>32</v>
      </c>
      <c r="AC70" s="19">
        <v>45414</v>
      </c>
      <c r="AD70" s="4">
        <f t="shared" si="7"/>
        <v>11489</v>
      </c>
      <c r="AE70" s="1"/>
    </row>
    <row r="71" spans="4:62" hidden="1" x14ac:dyDescent="0.25">
      <c r="D71" s="9" t="s">
        <v>26</v>
      </c>
      <c r="E71" s="86">
        <v>45415</v>
      </c>
      <c r="F71" s="87">
        <f t="shared" ref="F71:F98" si="12">N71</f>
        <v>3526.65</v>
      </c>
      <c r="G71" s="49">
        <v>3526.65</v>
      </c>
      <c r="H71" s="22"/>
      <c r="I71" s="22"/>
      <c r="J71" s="22"/>
      <c r="K71" s="22"/>
      <c r="L71" s="22"/>
      <c r="M71" s="22"/>
      <c r="N71" s="22">
        <f t="shared" si="9"/>
        <v>3526.65</v>
      </c>
      <c r="Q71" s="2">
        <v>45415</v>
      </c>
      <c r="R71" s="55">
        <f t="shared" si="11"/>
        <v>8234</v>
      </c>
      <c r="S71" s="59">
        <v>1370</v>
      </c>
      <c r="T71" s="68">
        <v>1168</v>
      </c>
      <c r="U71" s="68">
        <v>1968</v>
      </c>
      <c r="V71" s="68">
        <v>2934</v>
      </c>
      <c r="W71">
        <v>794</v>
      </c>
      <c r="AA71" s="65">
        <f t="shared" si="10"/>
        <v>8234</v>
      </c>
      <c r="AB71" s="9" t="s">
        <v>26</v>
      </c>
      <c r="AC71" s="19">
        <v>45415</v>
      </c>
      <c r="AD71" s="4">
        <f t="shared" si="7"/>
        <v>11760.65</v>
      </c>
      <c r="AE71" s="1"/>
    </row>
    <row r="72" spans="4:62" hidden="1" x14ac:dyDescent="0.25">
      <c r="D72" s="9" t="s">
        <v>27</v>
      </c>
      <c r="E72" s="86">
        <v>45416</v>
      </c>
      <c r="F72" s="87">
        <f t="shared" si="12"/>
        <v>3016.6</v>
      </c>
      <c r="G72" s="49">
        <v>3016.6</v>
      </c>
      <c r="H72" s="22"/>
      <c r="I72" s="22"/>
      <c r="J72" s="22"/>
      <c r="K72" s="22"/>
      <c r="L72" s="22"/>
      <c r="M72" s="22"/>
      <c r="N72" s="22">
        <f t="shared" si="9"/>
        <v>3016.6</v>
      </c>
      <c r="Q72" s="2">
        <v>45416</v>
      </c>
      <c r="R72" s="55">
        <f t="shared" si="11"/>
        <v>5650</v>
      </c>
      <c r="S72" s="59">
        <v>1146</v>
      </c>
      <c r="T72" s="68">
        <v>560</v>
      </c>
      <c r="U72" s="68">
        <v>1448</v>
      </c>
      <c r="V72" s="68">
        <v>1484</v>
      </c>
      <c r="W72">
        <v>1012</v>
      </c>
      <c r="AA72" s="65">
        <f t="shared" si="10"/>
        <v>5650</v>
      </c>
      <c r="AB72" s="9" t="s">
        <v>27</v>
      </c>
      <c r="AC72" s="19">
        <v>45416</v>
      </c>
      <c r="AD72" s="4">
        <f t="shared" ref="AD72:AD100" si="13">F72+R72</f>
        <v>8666.6</v>
      </c>
      <c r="AE72" s="1"/>
    </row>
    <row r="73" spans="4:62" hidden="1" x14ac:dyDescent="0.25">
      <c r="D73" s="9" t="s">
        <v>28</v>
      </c>
      <c r="E73" s="86">
        <v>45417</v>
      </c>
      <c r="F73" s="87">
        <f t="shared" si="12"/>
        <v>2992.45</v>
      </c>
      <c r="G73" s="49">
        <v>2992.45</v>
      </c>
      <c r="H73" s="22"/>
      <c r="I73" s="22"/>
      <c r="J73" s="22"/>
      <c r="K73" s="22"/>
      <c r="L73" s="22"/>
      <c r="M73" s="22"/>
      <c r="N73" s="22">
        <f t="shared" si="9"/>
        <v>2992.45</v>
      </c>
      <c r="Q73" s="2">
        <v>45417</v>
      </c>
      <c r="R73" s="55">
        <f t="shared" si="11"/>
        <v>7154</v>
      </c>
      <c r="S73" s="59">
        <v>1476</v>
      </c>
      <c r="T73" s="68">
        <v>560</v>
      </c>
      <c r="U73" s="68">
        <v>1022</v>
      </c>
      <c r="V73" s="68">
        <v>2004</v>
      </c>
      <c r="W73">
        <v>2092</v>
      </c>
      <c r="AA73" s="65">
        <f t="shared" si="10"/>
        <v>7154</v>
      </c>
      <c r="AB73" s="9" t="s">
        <v>28</v>
      </c>
      <c r="AC73" s="19">
        <v>45417</v>
      </c>
      <c r="AD73" s="4">
        <f t="shared" si="13"/>
        <v>10146.450000000001</v>
      </c>
      <c r="AE73" s="1"/>
    </row>
    <row r="74" spans="4:62" hidden="1" x14ac:dyDescent="0.25">
      <c r="D74" s="9" t="s">
        <v>29</v>
      </c>
      <c r="E74" s="86">
        <v>45418</v>
      </c>
      <c r="F74" s="87">
        <f t="shared" si="12"/>
        <v>4245.5</v>
      </c>
      <c r="G74" s="49">
        <v>4245.5</v>
      </c>
      <c r="H74" s="22"/>
      <c r="I74" s="22"/>
      <c r="J74" s="22"/>
      <c r="K74" s="22"/>
      <c r="L74" s="22"/>
      <c r="M74" s="22"/>
      <c r="N74" s="22">
        <f t="shared" si="9"/>
        <v>4245.5</v>
      </c>
      <c r="Q74" s="2">
        <v>45418</v>
      </c>
      <c r="R74" s="55">
        <f t="shared" si="11"/>
        <v>5600</v>
      </c>
      <c r="S74" s="59">
        <v>1476</v>
      </c>
      <c r="T74" s="68">
        <v>560</v>
      </c>
      <c r="U74" s="68">
        <v>1332</v>
      </c>
      <c r="V74" s="68">
        <v>2004</v>
      </c>
      <c r="W74">
        <v>228</v>
      </c>
      <c r="AA74" s="65">
        <f t="shared" si="10"/>
        <v>5600</v>
      </c>
      <c r="AB74" s="9" t="s">
        <v>29</v>
      </c>
      <c r="AC74" s="19">
        <v>45418</v>
      </c>
      <c r="AD74" s="4">
        <f t="shared" si="13"/>
        <v>9845.5</v>
      </c>
      <c r="AE74" s="1"/>
    </row>
    <row r="75" spans="4:62" hidden="1" x14ac:dyDescent="0.25">
      <c r="D75" s="9" t="s">
        <v>30</v>
      </c>
      <c r="E75" s="86">
        <v>45419</v>
      </c>
      <c r="F75" s="87">
        <f t="shared" si="12"/>
        <v>3232.15</v>
      </c>
      <c r="G75" s="49">
        <v>3232.15</v>
      </c>
      <c r="H75" s="22"/>
      <c r="I75" s="22"/>
      <c r="J75" s="22"/>
      <c r="K75" s="22"/>
      <c r="L75" s="22"/>
      <c r="M75" s="22"/>
      <c r="N75" s="22">
        <f t="shared" si="9"/>
        <v>3232.15</v>
      </c>
      <c r="Q75" s="2">
        <v>45419</v>
      </c>
      <c r="R75" s="55">
        <f t="shared" ref="R75:R97" si="14">AA75</f>
        <v>6392</v>
      </c>
      <c r="S75" s="59">
        <v>612</v>
      </c>
      <c r="T75" s="68">
        <v>2474</v>
      </c>
      <c r="U75" s="68">
        <v>1332</v>
      </c>
      <c r="V75" s="68">
        <v>1746</v>
      </c>
      <c r="W75">
        <v>228</v>
      </c>
      <c r="AA75" s="65">
        <f t="shared" si="10"/>
        <v>6392</v>
      </c>
      <c r="AB75" s="9" t="s">
        <v>30</v>
      </c>
      <c r="AC75" s="19">
        <v>45419</v>
      </c>
      <c r="AD75" s="4">
        <f t="shared" si="13"/>
        <v>9624.15</v>
      </c>
      <c r="AE75" s="1"/>
    </row>
    <row r="76" spans="4:62" hidden="1" x14ac:dyDescent="0.25">
      <c r="D76" s="9" t="s">
        <v>31</v>
      </c>
      <c r="E76" s="86">
        <v>45420</v>
      </c>
      <c r="F76" s="87">
        <f t="shared" si="12"/>
        <v>4137.1000000000004</v>
      </c>
      <c r="G76" s="49">
        <v>4137.1000000000004</v>
      </c>
      <c r="H76" s="22"/>
      <c r="I76" s="22"/>
      <c r="J76" s="22"/>
      <c r="K76" s="22"/>
      <c r="L76" s="22"/>
      <c r="M76" s="22"/>
      <c r="N76" s="22">
        <f t="shared" si="9"/>
        <v>4137.1000000000004</v>
      </c>
      <c r="Q76" s="2">
        <v>45420</v>
      </c>
      <c r="R76" s="55">
        <f t="shared" si="14"/>
        <v>7544</v>
      </c>
      <c r="S76" s="59">
        <v>786</v>
      </c>
      <c r="T76" s="68">
        <v>784</v>
      </c>
      <c r="U76" s="68">
        <v>2546</v>
      </c>
      <c r="V76" s="68">
        <v>1872</v>
      </c>
      <c r="W76">
        <v>1556</v>
      </c>
      <c r="AA76" s="65">
        <f t="shared" si="10"/>
        <v>7544</v>
      </c>
      <c r="AB76" s="9" t="s">
        <v>31</v>
      </c>
      <c r="AC76" s="19">
        <v>45420</v>
      </c>
      <c r="AD76" s="4">
        <f t="shared" si="13"/>
        <v>11681.1</v>
      </c>
      <c r="AE76" s="1"/>
    </row>
    <row r="77" spans="4:62" hidden="1" x14ac:dyDescent="0.25">
      <c r="D77" s="9" t="s">
        <v>32</v>
      </c>
      <c r="E77" s="86">
        <v>45421</v>
      </c>
      <c r="F77" s="87">
        <f t="shared" si="12"/>
        <v>2773.9</v>
      </c>
      <c r="G77" s="49">
        <v>2773.9</v>
      </c>
      <c r="H77" s="22"/>
      <c r="I77" s="22"/>
      <c r="J77" s="22"/>
      <c r="K77" s="22"/>
      <c r="L77" s="22"/>
      <c r="M77" s="22"/>
      <c r="N77" s="22">
        <f t="shared" si="9"/>
        <v>2773.9</v>
      </c>
      <c r="Q77" s="2">
        <v>45421</v>
      </c>
      <c r="R77" s="55">
        <f t="shared" si="14"/>
        <v>5526</v>
      </c>
      <c r="S77" s="59">
        <v>1518</v>
      </c>
      <c r="T77" s="68">
        <v>532</v>
      </c>
      <c r="U77" s="68">
        <v>2050</v>
      </c>
      <c r="V77" s="68">
        <v>970</v>
      </c>
      <c r="W77">
        <v>456</v>
      </c>
      <c r="AA77" s="65">
        <f t="shared" si="10"/>
        <v>5526</v>
      </c>
      <c r="AB77" s="9" t="s">
        <v>32</v>
      </c>
      <c r="AC77" s="19">
        <v>45421</v>
      </c>
      <c r="AD77" s="4">
        <f t="shared" si="13"/>
        <v>8299.9</v>
      </c>
      <c r="AE77" s="1"/>
    </row>
    <row r="78" spans="4:62" hidden="1" x14ac:dyDescent="0.25">
      <c r="D78" s="9" t="s">
        <v>26</v>
      </c>
      <c r="E78" s="86">
        <v>45422</v>
      </c>
      <c r="F78" s="87">
        <f t="shared" si="12"/>
        <v>3083.7</v>
      </c>
      <c r="G78" s="49">
        <v>3083.7</v>
      </c>
      <c r="H78" s="22"/>
      <c r="I78" s="22"/>
      <c r="J78" s="22"/>
      <c r="K78" s="22"/>
      <c r="L78" s="22"/>
      <c r="M78" s="22"/>
      <c r="N78" s="22">
        <f t="shared" si="9"/>
        <v>3083.7</v>
      </c>
      <c r="Q78" s="2">
        <v>45422</v>
      </c>
      <c r="R78" s="55">
        <f t="shared" si="14"/>
        <v>6627.9</v>
      </c>
      <c r="S78" s="59">
        <v>2914</v>
      </c>
      <c r="T78" s="68">
        <v>679.9</v>
      </c>
      <c r="U78" s="68">
        <v>298</v>
      </c>
      <c r="V78" s="68">
        <v>1180</v>
      </c>
      <c r="W78">
        <v>1556</v>
      </c>
      <c r="AA78" s="65">
        <f t="shared" si="10"/>
        <v>6627.9</v>
      </c>
      <c r="AB78" s="9" t="s">
        <v>26</v>
      </c>
      <c r="AC78" s="19">
        <v>45422</v>
      </c>
      <c r="AD78" s="4">
        <f t="shared" si="13"/>
        <v>9711.5999999999985</v>
      </c>
      <c r="AE78" s="1"/>
    </row>
    <row r="79" spans="4:62" hidden="1" x14ac:dyDescent="0.25">
      <c r="D79" s="9" t="s">
        <v>27</v>
      </c>
      <c r="E79" s="86">
        <v>45423</v>
      </c>
      <c r="F79" s="87">
        <f t="shared" si="12"/>
        <v>3699.3</v>
      </c>
      <c r="G79" s="49">
        <v>3699.3</v>
      </c>
      <c r="H79" s="22"/>
      <c r="I79" s="22"/>
      <c r="J79" s="22"/>
      <c r="K79" s="22"/>
      <c r="L79" s="22"/>
      <c r="M79" s="22"/>
      <c r="N79" s="22">
        <f t="shared" si="9"/>
        <v>3699.3</v>
      </c>
      <c r="Q79" s="2">
        <v>45423</v>
      </c>
      <c r="R79" s="55">
        <f t="shared" si="14"/>
        <v>13553</v>
      </c>
      <c r="S79" s="59">
        <v>524</v>
      </c>
      <c r="T79" s="68">
        <v>928</v>
      </c>
      <c r="U79" s="68">
        <v>6099</v>
      </c>
      <c r="V79" s="68">
        <v>2680</v>
      </c>
      <c r="W79">
        <v>3322</v>
      </c>
      <c r="AA79" s="65">
        <f t="shared" si="10"/>
        <v>13553</v>
      </c>
      <c r="AB79" s="9" t="s">
        <v>27</v>
      </c>
      <c r="AC79" s="19">
        <v>45423</v>
      </c>
      <c r="AD79" s="4">
        <f t="shared" si="13"/>
        <v>17252.3</v>
      </c>
      <c r="AE79" s="1"/>
    </row>
    <row r="80" spans="4:62" hidden="1" x14ac:dyDescent="0.25">
      <c r="D80" s="9" t="s">
        <v>28</v>
      </c>
      <c r="E80" s="86">
        <v>45424</v>
      </c>
      <c r="F80" s="87">
        <f t="shared" si="12"/>
        <v>6781.45</v>
      </c>
      <c r="G80" s="49">
        <v>6781.45</v>
      </c>
      <c r="H80" s="22"/>
      <c r="I80" s="22"/>
      <c r="J80" s="22"/>
      <c r="K80" s="22"/>
      <c r="L80" s="22"/>
      <c r="M80" s="22"/>
      <c r="N80" s="22">
        <f t="shared" si="9"/>
        <v>6781.45</v>
      </c>
      <c r="Q80" s="2">
        <v>45424</v>
      </c>
      <c r="R80" s="55">
        <f t="shared" si="14"/>
        <v>8359</v>
      </c>
      <c r="S80" s="59">
        <v>2218</v>
      </c>
      <c r="T80" s="68">
        <v>304</v>
      </c>
      <c r="U80" s="68">
        <v>2068</v>
      </c>
      <c r="V80" s="68">
        <v>1852</v>
      </c>
      <c r="W80">
        <v>1917</v>
      </c>
      <c r="AA80" s="65">
        <f t="shared" si="10"/>
        <v>8359</v>
      </c>
      <c r="AB80" s="9" t="s">
        <v>28</v>
      </c>
      <c r="AC80" s="19">
        <v>45424</v>
      </c>
      <c r="AD80" s="4">
        <f t="shared" si="13"/>
        <v>15140.45</v>
      </c>
      <c r="AE80" s="1"/>
    </row>
    <row r="81" spans="4:38" hidden="1" x14ac:dyDescent="0.25">
      <c r="D81" s="9" t="s">
        <v>29</v>
      </c>
      <c r="E81" s="86">
        <v>45425</v>
      </c>
      <c r="F81" s="87">
        <f t="shared" si="12"/>
        <v>4280.8500000000004</v>
      </c>
      <c r="G81" s="49">
        <v>4280.8500000000004</v>
      </c>
      <c r="H81" s="22"/>
      <c r="I81" s="22"/>
      <c r="J81" s="22"/>
      <c r="K81" s="22"/>
      <c r="L81" s="22"/>
      <c r="M81" s="22"/>
      <c r="N81" s="22">
        <f t="shared" si="9"/>
        <v>4280.8500000000004</v>
      </c>
      <c r="Q81" s="2">
        <v>45425</v>
      </c>
      <c r="R81" s="55">
        <f t="shared" si="14"/>
        <v>4892</v>
      </c>
      <c r="S81" s="59">
        <v>610</v>
      </c>
      <c r="T81" s="68">
        <v>642</v>
      </c>
      <c r="U81" s="68">
        <v>0</v>
      </c>
      <c r="V81" s="68">
        <v>2122</v>
      </c>
      <c r="W81">
        <v>1518</v>
      </c>
      <c r="AA81" s="65">
        <f t="shared" si="10"/>
        <v>4892</v>
      </c>
      <c r="AB81" s="9" t="s">
        <v>29</v>
      </c>
      <c r="AC81" s="19">
        <v>45425</v>
      </c>
      <c r="AD81" s="4">
        <f t="shared" si="13"/>
        <v>9172.85</v>
      </c>
      <c r="AE81" s="1"/>
    </row>
    <row r="82" spans="4:38" hidden="1" x14ac:dyDescent="0.25">
      <c r="D82" s="9" t="s">
        <v>30</v>
      </c>
      <c r="E82" s="86">
        <v>45426</v>
      </c>
      <c r="F82" s="87">
        <f t="shared" si="12"/>
        <v>3380.85</v>
      </c>
      <c r="G82" s="49">
        <v>3380.85</v>
      </c>
      <c r="H82" s="22"/>
      <c r="I82" s="22"/>
      <c r="J82" s="22"/>
      <c r="K82" s="22"/>
      <c r="L82" s="22"/>
      <c r="M82" s="22"/>
      <c r="N82" s="22">
        <f t="shared" si="9"/>
        <v>3380.85</v>
      </c>
      <c r="Q82" s="2">
        <v>45426</v>
      </c>
      <c r="R82" s="55">
        <f t="shared" si="14"/>
        <v>7952</v>
      </c>
      <c r="S82" s="59">
        <v>1424</v>
      </c>
      <c r="T82" s="68">
        <v>780</v>
      </c>
      <c r="U82" s="68">
        <v>2484</v>
      </c>
      <c r="V82" s="68">
        <v>1230</v>
      </c>
      <c r="W82">
        <v>2034</v>
      </c>
      <c r="AA82" s="65">
        <f t="shared" si="10"/>
        <v>7952</v>
      </c>
      <c r="AB82" s="9" t="s">
        <v>30</v>
      </c>
      <c r="AC82" s="19">
        <v>45426</v>
      </c>
      <c r="AD82" s="4">
        <f t="shared" si="13"/>
        <v>11332.85</v>
      </c>
      <c r="AE82" s="1"/>
    </row>
    <row r="83" spans="4:38" hidden="1" x14ac:dyDescent="0.25">
      <c r="D83" s="9" t="s">
        <v>31</v>
      </c>
      <c r="E83" s="86">
        <v>45427</v>
      </c>
      <c r="F83" s="87">
        <f t="shared" si="12"/>
        <v>3410.15</v>
      </c>
      <c r="G83" s="49">
        <v>3410.15</v>
      </c>
      <c r="H83" s="22"/>
      <c r="I83" s="22"/>
      <c r="J83" s="22"/>
      <c r="K83" s="22"/>
      <c r="L83" s="22"/>
      <c r="M83" s="22"/>
      <c r="N83" s="22">
        <f t="shared" si="9"/>
        <v>3410.15</v>
      </c>
      <c r="Q83" s="2">
        <v>45427</v>
      </c>
      <c r="R83" s="55">
        <f t="shared" si="14"/>
        <v>7081</v>
      </c>
      <c r="S83" s="59">
        <v>196</v>
      </c>
      <c r="T83" s="68">
        <v>392</v>
      </c>
      <c r="U83" s="68">
        <v>1338</v>
      </c>
      <c r="V83" s="68">
        <v>2073</v>
      </c>
      <c r="W83">
        <v>3082</v>
      </c>
      <c r="AA83" s="65">
        <f t="shared" si="10"/>
        <v>7081</v>
      </c>
      <c r="AB83" s="9" t="s">
        <v>31</v>
      </c>
      <c r="AC83" s="19">
        <v>45427</v>
      </c>
      <c r="AD83" s="4">
        <f t="shared" si="13"/>
        <v>10491.15</v>
      </c>
      <c r="AE83" s="1"/>
      <c r="AI83" s="17"/>
      <c r="AJ83" s="17"/>
      <c r="AL83" s="32"/>
    </row>
    <row r="84" spans="4:38" hidden="1" x14ac:dyDescent="0.25">
      <c r="D84" s="9" t="s">
        <v>32</v>
      </c>
      <c r="E84" s="86">
        <v>45428</v>
      </c>
      <c r="F84" s="87">
        <f t="shared" si="12"/>
        <v>2530.1</v>
      </c>
      <c r="G84" s="49">
        <v>2530.1</v>
      </c>
      <c r="H84" s="22"/>
      <c r="I84" s="22"/>
      <c r="J84" s="22"/>
      <c r="K84" s="22"/>
      <c r="L84" s="22"/>
      <c r="M84" s="22"/>
      <c r="N84" s="22">
        <f t="shared" si="9"/>
        <v>2530.1</v>
      </c>
      <c r="Q84" s="2">
        <v>45428</v>
      </c>
      <c r="R84" s="55">
        <f t="shared" si="14"/>
        <v>8805</v>
      </c>
      <c r="S84" s="59">
        <v>2015</v>
      </c>
      <c r="T84" s="68">
        <v>850</v>
      </c>
      <c r="U84" s="68">
        <v>1132</v>
      </c>
      <c r="V84" s="68">
        <v>3588</v>
      </c>
      <c r="W84">
        <v>1220</v>
      </c>
      <c r="AA84" s="65">
        <f t="shared" si="10"/>
        <v>8805</v>
      </c>
      <c r="AB84" s="9" t="s">
        <v>32</v>
      </c>
      <c r="AC84" s="19">
        <v>45428</v>
      </c>
      <c r="AD84" s="4">
        <f t="shared" si="13"/>
        <v>11335.1</v>
      </c>
      <c r="AE84" s="1"/>
    </row>
    <row r="85" spans="4:38" hidden="1" x14ac:dyDescent="0.25">
      <c r="D85" s="9" t="s">
        <v>26</v>
      </c>
      <c r="E85" s="86">
        <v>45429</v>
      </c>
      <c r="F85" s="87">
        <f t="shared" si="12"/>
        <v>4213.8999999999996</v>
      </c>
      <c r="G85" s="49">
        <v>4213.8999999999996</v>
      </c>
      <c r="H85" s="22"/>
      <c r="I85" s="22"/>
      <c r="J85" s="22"/>
      <c r="K85" s="22"/>
      <c r="L85" s="22"/>
      <c r="M85" s="22"/>
      <c r="N85" s="22">
        <f t="shared" si="9"/>
        <v>4213.8999999999996</v>
      </c>
      <c r="Q85" s="2">
        <v>45429</v>
      </c>
      <c r="R85" s="55">
        <f t="shared" si="14"/>
        <v>9487</v>
      </c>
      <c r="S85" s="59">
        <v>1811</v>
      </c>
      <c r="T85" s="68">
        <v>690</v>
      </c>
      <c r="U85" s="68">
        <v>4198</v>
      </c>
      <c r="V85" s="68">
        <v>2392</v>
      </c>
      <c r="W85">
        <v>396</v>
      </c>
      <c r="AA85" s="65">
        <f t="shared" si="10"/>
        <v>9487</v>
      </c>
      <c r="AB85" s="9" t="s">
        <v>26</v>
      </c>
      <c r="AC85" s="19">
        <v>45429</v>
      </c>
      <c r="AD85" s="4">
        <f t="shared" si="13"/>
        <v>13700.9</v>
      </c>
      <c r="AE85" s="1"/>
      <c r="AJ85" s="17"/>
      <c r="AK85" s="32"/>
      <c r="AL85" s="32"/>
    </row>
    <row r="86" spans="4:38" hidden="1" x14ac:dyDescent="0.25">
      <c r="D86" s="9" t="s">
        <v>27</v>
      </c>
      <c r="E86" s="86">
        <v>45430</v>
      </c>
      <c r="F86" s="87">
        <f t="shared" si="12"/>
        <v>4975.45</v>
      </c>
      <c r="G86" s="49">
        <v>4975.45</v>
      </c>
      <c r="H86" s="22"/>
      <c r="I86" s="22"/>
      <c r="J86" s="22"/>
      <c r="K86" s="22"/>
      <c r="L86" s="22"/>
      <c r="M86" s="22"/>
      <c r="N86" s="22">
        <f t="shared" si="9"/>
        <v>4975.45</v>
      </c>
      <c r="Q86" s="2">
        <v>45430</v>
      </c>
      <c r="R86" s="55">
        <f t="shared" si="14"/>
        <v>9558</v>
      </c>
      <c r="S86" s="59">
        <v>1938</v>
      </c>
      <c r="T86" s="68">
        <v>0</v>
      </c>
      <c r="U86" s="68">
        <v>5250</v>
      </c>
      <c r="V86" s="68">
        <v>1022</v>
      </c>
      <c r="W86">
        <v>1348</v>
      </c>
      <c r="AA86" s="65">
        <f t="shared" si="10"/>
        <v>9558</v>
      </c>
      <c r="AB86" s="9" t="s">
        <v>27</v>
      </c>
      <c r="AC86" s="19">
        <v>45430</v>
      </c>
      <c r="AD86" s="4">
        <f t="shared" si="13"/>
        <v>14533.45</v>
      </c>
      <c r="AE86" s="1"/>
      <c r="AJ86" s="17">
        <v>45419</v>
      </c>
      <c r="AK86" t="s">
        <v>137</v>
      </c>
      <c r="AL86">
        <v>500</v>
      </c>
    </row>
    <row r="87" spans="4:38" hidden="1" x14ac:dyDescent="0.25">
      <c r="D87" s="9" t="s">
        <v>28</v>
      </c>
      <c r="E87" s="86">
        <v>45431</v>
      </c>
      <c r="F87" s="87">
        <f t="shared" si="12"/>
        <v>4145.1499999999996</v>
      </c>
      <c r="G87" s="49">
        <v>4145.1499999999996</v>
      </c>
      <c r="H87" s="22"/>
      <c r="I87" s="22"/>
      <c r="J87" s="22"/>
      <c r="K87" s="22"/>
      <c r="L87" s="22"/>
      <c r="M87" s="22"/>
      <c r="N87" s="22">
        <f t="shared" si="9"/>
        <v>4145.1499999999996</v>
      </c>
      <c r="Q87" s="2">
        <v>45431</v>
      </c>
      <c r="R87" s="55">
        <f t="shared" si="14"/>
        <v>10343</v>
      </c>
      <c r="S87" s="59">
        <v>2828</v>
      </c>
      <c r="T87" s="68">
        <v>632</v>
      </c>
      <c r="U87" s="68">
        <v>1312</v>
      </c>
      <c r="V87" s="68">
        <v>2867</v>
      </c>
      <c r="W87">
        <v>2704</v>
      </c>
      <c r="AA87" s="65">
        <f t="shared" si="10"/>
        <v>10343</v>
      </c>
      <c r="AB87" s="9" t="s">
        <v>28</v>
      </c>
      <c r="AC87" s="19">
        <v>45431</v>
      </c>
      <c r="AD87" s="4">
        <f t="shared" si="13"/>
        <v>14488.15</v>
      </c>
      <c r="AE87" s="1"/>
      <c r="AJ87" s="17">
        <v>45426</v>
      </c>
      <c r="AK87" t="s">
        <v>133</v>
      </c>
      <c r="AL87">
        <v>2500</v>
      </c>
    </row>
    <row r="88" spans="4:38" hidden="1" x14ac:dyDescent="0.25">
      <c r="D88" s="9" t="s">
        <v>29</v>
      </c>
      <c r="E88" s="86">
        <v>45432</v>
      </c>
      <c r="F88" s="87">
        <f t="shared" si="12"/>
        <v>3986.7</v>
      </c>
      <c r="G88" s="49">
        <v>3986.7</v>
      </c>
      <c r="H88" s="22"/>
      <c r="I88" s="22"/>
      <c r="J88" s="22"/>
      <c r="K88" s="22"/>
      <c r="L88" s="22"/>
      <c r="M88" s="22"/>
      <c r="N88" s="22">
        <f t="shared" si="9"/>
        <v>3986.7</v>
      </c>
      <c r="Q88" s="2">
        <v>45432</v>
      </c>
      <c r="R88" s="55">
        <f t="shared" si="14"/>
        <v>4367</v>
      </c>
      <c r="S88" s="59">
        <v>503</v>
      </c>
      <c r="T88" s="68">
        <v>0</v>
      </c>
      <c r="U88" s="68">
        <v>1232</v>
      </c>
      <c r="V88" s="68">
        <v>1042</v>
      </c>
      <c r="W88">
        <v>1590</v>
      </c>
      <c r="AA88" s="65">
        <f t="shared" si="10"/>
        <v>4367</v>
      </c>
      <c r="AB88" s="9" t="s">
        <v>29</v>
      </c>
      <c r="AC88" s="19">
        <v>45432</v>
      </c>
      <c r="AD88" s="4">
        <f t="shared" si="13"/>
        <v>8353.7000000000007</v>
      </c>
      <c r="AE88" s="1"/>
      <c r="AJ88" t="s">
        <v>143</v>
      </c>
      <c r="AK88" s="32"/>
    </row>
    <row r="89" spans="4:38" hidden="1" x14ac:dyDescent="0.25">
      <c r="D89" s="9" t="s">
        <v>30</v>
      </c>
      <c r="E89" s="86">
        <v>45433</v>
      </c>
      <c r="F89" s="87">
        <f t="shared" si="12"/>
        <v>3491.25</v>
      </c>
      <c r="G89" s="49">
        <v>3491.25</v>
      </c>
      <c r="H89" s="22"/>
      <c r="I89" s="22"/>
      <c r="J89" s="22"/>
      <c r="K89" s="22"/>
      <c r="L89" s="22"/>
      <c r="M89" s="22"/>
      <c r="N89" s="22">
        <f t="shared" si="9"/>
        <v>3491.25</v>
      </c>
      <c r="Q89" s="2">
        <v>45433</v>
      </c>
      <c r="R89" s="55">
        <f t="shared" si="14"/>
        <v>4342</v>
      </c>
      <c r="S89" s="59">
        <v>1552</v>
      </c>
      <c r="T89" s="68">
        <v>0</v>
      </c>
      <c r="U89" s="68">
        <v>814</v>
      </c>
      <c r="V89" s="68">
        <v>1162</v>
      </c>
      <c r="W89">
        <v>814</v>
      </c>
      <c r="AA89" s="65">
        <f t="shared" si="10"/>
        <v>4342</v>
      </c>
      <c r="AB89" s="9" t="s">
        <v>30</v>
      </c>
      <c r="AC89" s="19">
        <v>45433</v>
      </c>
      <c r="AD89" s="4">
        <f t="shared" si="13"/>
        <v>7833.25</v>
      </c>
      <c r="AE89" s="1"/>
    </row>
    <row r="90" spans="4:38" hidden="1" x14ac:dyDescent="0.25">
      <c r="D90" s="9" t="s">
        <v>31</v>
      </c>
      <c r="E90" s="86">
        <v>45434</v>
      </c>
      <c r="F90" s="87">
        <f t="shared" si="12"/>
        <v>3297.25</v>
      </c>
      <c r="G90" s="49">
        <v>3297.25</v>
      </c>
      <c r="H90" s="22"/>
      <c r="I90" s="22"/>
      <c r="J90" s="22"/>
      <c r="K90" s="22"/>
      <c r="L90" s="22"/>
      <c r="M90" s="22"/>
      <c r="N90" s="22">
        <f t="shared" si="9"/>
        <v>3297.25</v>
      </c>
      <c r="Q90" s="2">
        <v>45434</v>
      </c>
      <c r="R90" s="55">
        <f t="shared" si="14"/>
        <v>9496</v>
      </c>
      <c r="S90" s="59">
        <v>3209</v>
      </c>
      <c r="T90" s="68">
        <v>496</v>
      </c>
      <c r="U90" s="68">
        <v>1490</v>
      </c>
      <c r="V90" s="68">
        <v>2385</v>
      </c>
      <c r="W90">
        <v>1916</v>
      </c>
      <c r="AA90" s="65">
        <f t="shared" si="10"/>
        <v>9496</v>
      </c>
      <c r="AB90" s="9" t="s">
        <v>31</v>
      </c>
      <c r="AC90" s="19">
        <v>45434</v>
      </c>
      <c r="AD90" s="4">
        <f t="shared" si="13"/>
        <v>12793.25</v>
      </c>
      <c r="AE90" s="1"/>
    </row>
    <row r="91" spans="4:38" hidden="1" x14ac:dyDescent="0.25">
      <c r="D91" s="9" t="s">
        <v>32</v>
      </c>
      <c r="E91" s="86">
        <v>45435</v>
      </c>
      <c r="F91" s="87">
        <f t="shared" si="12"/>
        <v>2979.45</v>
      </c>
      <c r="G91" s="49">
        <v>2979.45</v>
      </c>
      <c r="H91" s="22"/>
      <c r="I91" s="22"/>
      <c r="J91" s="22"/>
      <c r="K91" s="22"/>
      <c r="L91" s="22"/>
      <c r="M91" s="22"/>
      <c r="N91" s="22">
        <f t="shared" si="9"/>
        <v>2979.45</v>
      </c>
      <c r="Q91" s="2">
        <v>45435</v>
      </c>
      <c r="R91" s="55">
        <f t="shared" si="14"/>
        <v>6124</v>
      </c>
      <c r="S91" s="59">
        <v>1824</v>
      </c>
      <c r="T91" s="68">
        <v>196</v>
      </c>
      <c r="U91" s="68">
        <v>2218</v>
      </c>
      <c r="V91" s="68">
        <v>406</v>
      </c>
      <c r="W91">
        <v>1480</v>
      </c>
      <c r="AA91" s="65">
        <f t="shared" si="10"/>
        <v>6124</v>
      </c>
      <c r="AB91" s="9" t="s">
        <v>32</v>
      </c>
      <c r="AC91" s="19">
        <v>45435</v>
      </c>
      <c r="AD91" s="4">
        <f t="shared" si="13"/>
        <v>9103.4500000000007</v>
      </c>
      <c r="AE91" s="1"/>
    </row>
    <row r="92" spans="4:38" hidden="1" x14ac:dyDescent="0.25">
      <c r="D92" s="9" t="s">
        <v>26</v>
      </c>
      <c r="E92" s="86">
        <v>45436</v>
      </c>
      <c r="F92" s="87">
        <f t="shared" si="12"/>
        <v>2931</v>
      </c>
      <c r="G92" s="49">
        <v>2931</v>
      </c>
      <c r="H92" s="22"/>
      <c r="I92" s="22"/>
      <c r="J92" s="22"/>
      <c r="K92" s="22"/>
      <c r="L92" s="22"/>
      <c r="M92" s="22"/>
      <c r="N92" s="22">
        <f t="shared" si="9"/>
        <v>2931</v>
      </c>
      <c r="Q92" s="2">
        <v>45436</v>
      </c>
      <c r="R92" s="55">
        <f t="shared" si="14"/>
        <v>11522</v>
      </c>
      <c r="S92" s="59">
        <v>1398</v>
      </c>
      <c r="T92" s="68">
        <v>650</v>
      </c>
      <c r="U92" s="68">
        <v>2952</v>
      </c>
      <c r="V92" s="68">
        <v>4038</v>
      </c>
      <c r="W92">
        <v>2484</v>
      </c>
      <c r="AA92" s="65">
        <f t="shared" si="10"/>
        <v>11522</v>
      </c>
      <c r="AB92" s="9" t="s">
        <v>26</v>
      </c>
      <c r="AC92" s="19">
        <v>45436</v>
      </c>
      <c r="AD92" s="4">
        <f t="shared" si="13"/>
        <v>14453</v>
      </c>
      <c r="AE92" s="1"/>
    </row>
    <row r="93" spans="4:38" hidden="1" x14ac:dyDescent="0.25">
      <c r="D93" s="9" t="s">
        <v>27</v>
      </c>
      <c r="E93" s="86">
        <v>45437</v>
      </c>
      <c r="F93" s="87">
        <f t="shared" si="12"/>
        <v>3161.5</v>
      </c>
      <c r="G93" s="49">
        <v>3161.5</v>
      </c>
      <c r="H93" s="22"/>
      <c r="I93" s="22"/>
      <c r="J93" s="22"/>
      <c r="K93" s="22"/>
      <c r="L93" s="22"/>
      <c r="M93" s="22"/>
      <c r="N93" s="22">
        <f t="shared" si="9"/>
        <v>3161.5</v>
      </c>
      <c r="Q93" s="2">
        <v>45437</v>
      </c>
      <c r="R93" s="55">
        <f t="shared" si="14"/>
        <v>7896</v>
      </c>
      <c r="S93" s="59">
        <v>2071</v>
      </c>
      <c r="T93" s="68">
        <v>168</v>
      </c>
      <c r="U93" s="68">
        <v>2105</v>
      </c>
      <c r="V93" s="68">
        <v>2928</v>
      </c>
      <c r="W93">
        <v>624</v>
      </c>
      <c r="AA93" s="65">
        <f t="shared" si="10"/>
        <v>7896</v>
      </c>
      <c r="AB93" s="9" t="s">
        <v>27</v>
      </c>
      <c r="AC93" s="19">
        <v>45437</v>
      </c>
      <c r="AD93" s="4">
        <f t="shared" si="13"/>
        <v>11057.5</v>
      </c>
      <c r="AE93" s="1"/>
    </row>
    <row r="94" spans="4:38" hidden="1" x14ac:dyDescent="0.25">
      <c r="D94" s="9" t="s">
        <v>28</v>
      </c>
      <c r="E94" s="86">
        <v>45438</v>
      </c>
      <c r="F94" s="87">
        <f t="shared" si="12"/>
        <v>3786.4</v>
      </c>
      <c r="G94" s="49">
        <v>3786.4</v>
      </c>
      <c r="H94" s="22"/>
      <c r="I94" s="22"/>
      <c r="J94" s="22"/>
      <c r="K94" s="22"/>
      <c r="L94" s="22"/>
      <c r="M94" s="22"/>
      <c r="N94" s="22">
        <f t="shared" si="9"/>
        <v>3786.4</v>
      </c>
      <c r="Q94" s="2">
        <v>45438</v>
      </c>
      <c r="R94" s="55">
        <f t="shared" si="14"/>
        <v>7605</v>
      </c>
      <c r="S94" s="59">
        <v>1647</v>
      </c>
      <c r="T94" s="68">
        <v>570</v>
      </c>
      <c r="U94" s="68">
        <v>1370</v>
      </c>
      <c r="V94" s="68">
        <v>1602</v>
      </c>
      <c r="W94">
        <v>2416</v>
      </c>
      <c r="AA94" s="65">
        <f t="shared" si="10"/>
        <v>7605</v>
      </c>
      <c r="AB94" s="9" t="s">
        <v>28</v>
      </c>
      <c r="AC94" s="19">
        <v>45438</v>
      </c>
      <c r="AD94" s="4">
        <f t="shared" si="13"/>
        <v>11391.4</v>
      </c>
      <c r="AE94" s="1"/>
    </row>
    <row r="95" spans="4:38" hidden="1" x14ac:dyDescent="0.25">
      <c r="D95" s="9" t="s">
        <v>29</v>
      </c>
      <c r="E95" s="86">
        <v>45439</v>
      </c>
      <c r="F95" s="87">
        <f t="shared" si="12"/>
        <v>5536.85</v>
      </c>
      <c r="G95" s="49">
        <v>5536.85</v>
      </c>
      <c r="H95" s="22"/>
      <c r="I95" s="22"/>
      <c r="J95" s="22"/>
      <c r="K95" s="22"/>
      <c r="L95" s="22"/>
      <c r="M95" s="22"/>
      <c r="N95" s="22">
        <f t="shared" si="9"/>
        <v>5536.85</v>
      </c>
      <c r="Q95" s="2">
        <v>45439</v>
      </c>
      <c r="R95" s="55">
        <f t="shared" si="14"/>
        <v>8641</v>
      </c>
      <c r="S95" s="59">
        <v>1727</v>
      </c>
      <c r="T95" s="68">
        <v>208</v>
      </c>
      <c r="U95" s="68">
        <v>1398</v>
      </c>
      <c r="V95" s="68">
        <v>3198</v>
      </c>
      <c r="W95">
        <v>2110</v>
      </c>
      <c r="AA95" s="65">
        <f t="shared" si="10"/>
        <v>8641</v>
      </c>
      <c r="AB95" s="9" t="s">
        <v>29</v>
      </c>
      <c r="AC95" s="19">
        <v>45439</v>
      </c>
      <c r="AD95" s="4">
        <f t="shared" si="13"/>
        <v>14177.85</v>
      </c>
      <c r="AE95" s="1"/>
    </row>
    <row r="96" spans="4:38" hidden="1" x14ac:dyDescent="0.25">
      <c r="D96" s="9" t="s">
        <v>30</v>
      </c>
      <c r="E96" s="86">
        <v>45440</v>
      </c>
      <c r="F96" s="87">
        <f t="shared" si="12"/>
        <v>3672.9</v>
      </c>
      <c r="G96" s="49">
        <v>3672.9</v>
      </c>
      <c r="H96" s="22"/>
      <c r="I96" s="22"/>
      <c r="J96" s="22"/>
      <c r="K96" s="22"/>
      <c r="L96" s="22"/>
      <c r="M96" s="22"/>
      <c r="N96" s="22">
        <f t="shared" si="9"/>
        <v>3672.9</v>
      </c>
      <c r="Q96" s="2">
        <v>45440</v>
      </c>
      <c r="R96" s="55">
        <f t="shared" si="14"/>
        <v>6597</v>
      </c>
      <c r="S96" s="59">
        <v>1693</v>
      </c>
      <c r="T96" s="68">
        <v>198</v>
      </c>
      <c r="U96" s="68">
        <v>3278</v>
      </c>
      <c r="V96" s="68">
        <v>724</v>
      </c>
      <c r="W96">
        <v>704</v>
      </c>
      <c r="AA96" s="65">
        <f t="shared" si="10"/>
        <v>6597</v>
      </c>
      <c r="AB96" s="9" t="s">
        <v>30</v>
      </c>
      <c r="AC96" s="19">
        <v>45440</v>
      </c>
      <c r="AD96" s="4">
        <f t="shared" si="13"/>
        <v>10269.9</v>
      </c>
      <c r="AE96" s="1"/>
    </row>
    <row r="97" spans="4:62" hidden="1" x14ac:dyDescent="0.25">
      <c r="D97" s="9" t="s">
        <v>31</v>
      </c>
      <c r="E97" s="86">
        <v>45441</v>
      </c>
      <c r="F97" s="87">
        <f t="shared" si="12"/>
        <v>4777.1000000000004</v>
      </c>
      <c r="G97" s="49">
        <v>4777.1000000000004</v>
      </c>
      <c r="H97" s="22"/>
      <c r="I97" s="22"/>
      <c r="J97" s="22"/>
      <c r="K97" s="22"/>
      <c r="L97" s="22"/>
      <c r="M97" s="22"/>
      <c r="N97" s="22">
        <f t="shared" si="9"/>
        <v>4777.1000000000004</v>
      </c>
      <c r="Q97" s="2">
        <v>45441</v>
      </c>
      <c r="R97" s="55">
        <f t="shared" si="14"/>
        <v>6790</v>
      </c>
      <c r="S97" s="59">
        <v>2104</v>
      </c>
      <c r="T97" s="68">
        <v>218</v>
      </c>
      <c r="U97" s="68">
        <v>616</v>
      </c>
      <c r="V97" s="68">
        <v>2252</v>
      </c>
      <c r="W97">
        <v>1600</v>
      </c>
      <c r="AA97" s="65">
        <f t="shared" si="10"/>
        <v>6790</v>
      </c>
      <c r="AB97" s="9" t="s">
        <v>31</v>
      </c>
      <c r="AC97" s="19">
        <v>45441</v>
      </c>
      <c r="AD97" s="4">
        <f t="shared" si="13"/>
        <v>11567.1</v>
      </c>
      <c r="AE97" s="1"/>
    </row>
    <row r="98" spans="4:62" hidden="1" x14ac:dyDescent="0.25">
      <c r="D98" s="9" t="s">
        <v>32</v>
      </c>
      <c r="E98" s="86">
        <v>45442</v>
      </c>
      <c r="F98" s="87">
        <f t="shared" si="12"/>
        <v>4638.55</v>
      </c>
      <c r="G98" s="49">
        <v>4638.55</v>
      </c>
      <c r="N98" s="22">
        <f t="shared" si="9"/>
        <v>4638.55</v>
      </c>
      <c r="Q98" s="2">
        <v>45442</v>
      </c>
      <c r="R98" s="55">
        <f>AA98</f>
        <v>11353</v>
      </c>
      <c r="S98" s="59">
        <v>2719</v>
      </c>
      <c r="T98" s="68">
        <v>0</v>
      </c>
      <c r="U98" s="68">
        <v>3122</v>
      </c>
      <c r="V98" s="68">
        <v>4588</v>
      </c>
      <c r="W98">
        <v>924</v>
      </c>
      <c r="AA98" s="65">
        <f t="shared" si="10"/>
        <v>11353</v>
      </c>
      <c r="AB98" s="9" t="s">
        <v>32</v>
      </c>
      <c r="AC98" s="19">
        <v>45442</v>
      </c>
      <c r="AD98" s="4">
        <f t="shared" si="13"/>
        <v>15991.55</v>
      </c>
      <c r="AE98" s="1"/>
    </row>
    <row r="99" spans="4:62" s="13" customFormat="1" hidden="1" x14ac:dyDescent="0.25">
      <c r="D99" s="13" t="s">
        <v>26</v>
      </c>
      <c r="E99" s="88">
        <v>45443</v>
      </c>
      <c r="F99" s="69">
        <f>G99</f>
        <v>2985.75</v>
      </c>
      <c r="G99" s="50">
        <v>2985.75</v>
      </c>
      <c r="N99" s="30">
        <f t="shared" si="9"/>
        <v>2985.75</v>
      </c>
      <c r="Q99" s="10">
        <v>45443</v>
      </c>
      <c r="R99" s="57">
        <f>AA99</f>
        <v>7784</v>
      </c>
      <c r="S99" s="60">
        <v>954</v>
      </c>
      <c r="T99" s="70">
        <v>938</v>
      </c>
      <c r="U99" s="70">
        <v>2752</v>
      </c>
      <c r="V99" s="70">
        <v>2416</v>
      </c>
      <c r="W99" s="13">
        <v>724</v>
      </c>
      <c r="Y99" s="16"/>
      <c r="Z99" s="16"/>
      <c r="AA99" s="71">
        <f t="shared" si="10"/>
        <v>7784</v>
      </c>
      <c r="AB99" s="9" t="s">
        <v>26</v>
      </c>
      <c r="AC99" s="20">
        <v>45443</v>
      </c>
      <c r="AD99" s="11">
        <f t="shared" si="13"/>
        <v>10769.75</v>
      </c>
      <c r="AE99" s="16"/>
      <c r="BJ99" s="16"/>
    </row>
    <row r="100" spans="4:62" hidden="1" x14ac:dyDescent="0.25">
      <c r="D100" s="9" t="s">
        <v>27</v>
      </c>
      <c r="E100" s="86">
        <v>45444</v>
      </c>
      <c r="F100" s="87">
        <f>N100</f>
        <v>7146.45</v>
      </c>
      <c r="G100" s="49">
        <v>7146.45</v>
      </c>
      <c r="N100" s="22">
        <f t="shared" si="9"/>
        <v>7146.45</v>
      </c>
      <c r="Q100" s="2">
        <v>45444</v>
      </c>
      <c r="R100" s="55">
        <f>AA100</f>
        <v>10044</v>
      </c>
      <c r="S100" s="59">
        <v>2368</v>
      </c>
      <c r="T100" s="68">
        <v>196</v>
      </c>
      <c r="U100" s="68">
        <v>2900</v>
      </c>
      <c r="V100" s="68">
        <v>2474</v>
      </c>
      <c r="W100">
        <v>2106</v>
      </c>
      <c r="AA100" s="65">
        <f t="shared" si="10"/>
        <v>10044</v>
      </c>
      <c r="AB100" s="9" t="s">
        <v>27</v>
      </c>
      <c r="AC100" s="19">
        <v>45444</v>
      </c>
      <c r="AD100" s="4">
        <f t="shared" si="13"/>
        <v>17190.45</v>
      </c>
      <c r="AE100" s="1"/>
    </row>
    <row r="101" spans="4:62" hidden="1" x14ac:dyDescent="0.25">
      <c r="D101" s="9" t="s">
        <v>28</v>
      </c>
      <c r="E101" s="86">
        <v>45445</v>
      </c>
      <c r="F101" s="87">
        <f t="shared" ref="F101:F129" si="15">N101</f>
        <v>4436.3999999999996</v>
      </c>
      <c r="G101" s="49">
        <v>4436.3999999999996</v>
      </c>
      <c r="N101" s="22">
        <f t="shared" si="9"/>
        <v>4436.3999999999996</v>
      </c>
      <c r="Q101" s="2">
        <v>45445</v>
      </c>
      <c r="R101" s="55">
        <f>AA101</f>
        <v>11196</v>
      </c>
      <c r="S101" s="59">
        <v>1538</v>
      </c>
      <c r="T101" s="68">
        <v>3560</v>
      </c>
      <c r="U101" s="68">
        <v>1468</v>
      </c>
      <c r="V101" s="68">
        <v>2804</v>
      </c>
      <c r="W101">
        <v>1826</v>
      </c>
      <c r="AA101" s="65">
        <f t="shared" si="10"/>
        <v>11196</v>
      </c>
      <c r="AB101" s="9" t="s">
        <v>28</v>
      </c>
      <c r="AC101" s="19">
        <v>45445</v>
      </c>
      <c r="AD101" s="4">
        <f t="shared" ref="AD101:AD116" si="16">F101+R101</f>
        <v>15632.4</v>
      </c>
      <c r="AE101" s="1"/>
    </row>
    <row r="102" spans="4:62" hidden="1" x14ac:dyDescent="0.25">
      <c r="D102" s="9" t="s">
        <v>29</v>
      </c>
      <c r="E102" s="86">
        <v>45446</v>
      </c>
      <c r="F102" s="87">
        <f t="shared" si="15"/>
        <v>3776.65</v>
      </c>
      <c r="G102" s="49">
        <v>3776.65</v>
      </c>
      <c r="N102" s="22">
        <f t="shared" si="9"/>
        <v>3776.65</v>
      </c>
      <c r="Q102" s="2">
        <v>45446</v>
      </c>
      <c r="R102" s="55">
        <f>AA102</f>
        <v>7331</v>
      </c>
      <c r="S102" s="59">
        <v>483</v>
      </c>
      <c r="T102" s="68">
        <v>168</v>
      </c>
      <c r="U102" s="68">
        <v>3282</v>
      </c>
      <c r="V102" s="68">
        <v>1860</v>
      </c>
      <c r="W102">
        <v>1538</v>
      </c>
      <c r="AA102" s="65">
        <f t="shared" si="10"/>
        <v>7331</v>
      </c>
      <c r="AB102" s="9" t="s">
        <v>29</v>
      </c>
      <c r="AC102" s="19">
        <v>45446</v>
      </c>
      <c r="AD102" s="4">
        <f t="shared" si="16"/>
        <v>11107.65</v>
      </c>
      <c r="AE102" s="1"/>
    </row>
    <row r="103" spans="4:62" hidden="1" x14ac:dyDescent="0.25">
      <c r="D103" s="9" t="s">
        <v>30</v>
      </c>
      <c r="E103" s="86">
        <v>45447</v>
      </c>
      <c r="F103" s="87">
        <f t="shared" si="15"/>
        <v>4619.45</v>
      </c>
      <c r="G103" s="49">
        <v>4619.45</v>
      </c>
      <c r="N103" s="22">
        <f t="shared" si="9"/>
        <v>4619.45</v>
      </c>
      <c r="Q103" s="2">
        <v>45447</v>
      </c>
      <c r="R103" s="55">
        <f t="shared" ref="R103:R129" si="17">AA103</f>
        <v>5490</v>
      </c>
      <c r="S103" s="59">
        <v>196</v>
      </c>
      <c r="T103" s="68">
        <v>426</v>
      </c>
      <c r="U103" s="68">
        <v>2148</v>
      </c>
      <c r="V103" s="68">
        <v>1738</v>
      </c>
      <c r="W103">
        <v>982</v>
      </c>
      <c r="AA103" s="65">
        <f t="shared" si="10"/>
        <v>5490</v>
      </c>
      <c r="AB103" s="9" t="s">
        <v>30</v>
      </c>
      <c r="AC103" s="19">
        <v>45447</v>
      </c>
      <c r="AD103" s="4">
        <f t="shared" si="16"/>
        <v>10109.450000000001</v>
      </c>
      <c r="AE103" s="1"/>
    </row>
    <row r="104" spans="4:62" hidden="1" x14ac:dyDescent="0.25">
      <c r="D104" s="9" t="s">
        <v>31</v>
      </c>
      <c r="E104" s="86">
        <v>45448</v>
      </c>
      <c r="F104" s="87">
        <f t="shared" si="15"/>
        <v>3268.6</v>
      </c>
      <c r="G104" s="49">
        <v>3268.6</v>
      </c>
      <c r="N104" s="22">
        <f t="shared" si="9"/>
        <v>3268.6</v>
      </c>
      <c r="Q104" s="2">
        <v>45448</v>
      </c>
      <c r="R104" s="55">
        <f t="shared" si="17"/>
        <v>7192</v>
      </c>
      <c r="S104" s="59">
        <v>3228</v>
      </c>
      <c r="T104" s="68">
        <v>620</v>
      </c>
      <c r="U104" s="68">
        <v>2028</v>
      </c>
      <c r="V104" s="68">
        <v>890</v>
      </c>
      <c r="W104">
        <v>426</v>
      </c>
      <c r="AA104" s="65">
        <f t="shared" si="10"/>
        <v>7192</v>
      </c>
      <c r="AB104" s="9" t="s">
        <v>31</v>
      </c>
      <c r="AC104" s="19">
        <v>45448</v>
      </c>
      <c r="AD104" s="4">
        <f t="shared" si="16"/>
        <v>10460.6</v>
      </c>
      <c r="AE104" s="1"/>
    </row>
    <row r="105" spans="4:62" hidden="1" x14ac:dyDescent="0.25">
      <c r="D105" s="9" t="s">
        <v>32</v>
      </c>
      <c r="E105" s="86">
        <v>45449</v>
      </c>
      <c r="F105" s="87">
        <f t="shared" si="15"/>
        <v>2756.85</v>
      </c>
      <c r="G105" s="49">
        <v>2756.85</v>
      </c>
      <c r="N105" s="22">
        <f t="shared" si="9"/>
        <v>2756.85</v>
      </c>
      <c r="Q105" s="2">
        <v>45449</v>
      </c>
      <c r="R105" s="55">
        <f t="shared" si="17"/>
        <v>9077</v>
      </c>
      <c r="S105" s="59">
        <v>2490</v>
      </c>
      <c r="T105" s="68">
        <v>788</v>
      </c>
      <c r="U105" s="68">
        <v>1879</v>
      </c>
      <c r="V105" s="68">
        <v>1578</v>
      </c>
      <c r="W105">
        <v>2342</v>
      </c>
      <c r="AA105" s="65">
        <f t="shared" si="10"/>
        <v>9077</v>
      </c>
      <c r="AB105" s="9" t="s">
        <v>32</v>
      </c>
      <c r="AC105" s="19">
        <v>45449</v>
      </c>
      <c r="AD105" s="4">
        <f t="shared" si="16"/>
        <v>11833.85</v>
      </c>
      <c r="AE105" s="1"/>
    </row>
    <row r="106" spans="4:62" hidden="1" x14ac:dyDescent="0.25">
      <c r="D106" s="9" t="s">
        <v>26</v>
      </c>
      <c r="E106" s="86">
        <v>45450</v>
      </c>
      <c r="F106" s="87">
        <f t="shared" si="15"/>
        <v>2863.7</v>
      </c>
      <c r="G106" s="49">
        <v>2863.7</v>
      </c>
      <c r="N106" s="22">
        <f t="shared" si="9"/>
        <v>2863.7</v>
      </c>
      <c r="Q106" s="2">
        <v>45450</v>
      </c>
      <c r="R106" s="55">
        <f t="shared" si="17"/>
        <v>10505</v>
      </c>
      <c r="S106" s="59">
        <v>2621</v>
      </c>
      <c r="T106" s="68">
        <v>756</v>
      </c>
      <c r="U106" s="68">
        <v>3062</v>
      </c>
      <c r="V106" s="68">
        <v>1910</v>
      </c>
      <c r="W106">
        <v>2156</v>
      </c>
      <c r="AA106" s="65">
        <f t="shared" si="10"/>
        <v>10505</v>
      </c>
      <c r="AB106" s="9" t="s">
        <v>26</v>
      </c>
      <c r="AC106" s="19">
        <v>45450</v>
      </c>
      <c r="AD106" s="4">
        <f t="shared" si="16"/>
        <v>13368.7</v>
      </c>
      <c r="AE106" s="1"/>
    </row>
    <row r="107" spans="4:62" hidden="1" x14ac:dyDescent="0.25">
      <c r="D107" s="9" t="s">
        <v>27</v>
      </c>
      <c r="E107" s="86">
        <v>45451</v>
      </c>
      <c r="F107" s="87">
        <f t="shared" si="15"/>
        <v>4476.1000000000004</v>
      </c>
      <c r="G107" s="49">
        <v>4476.1000000000004</v>
      </c>
      <c r="N107" s="22">
        <f t="shared" si="9"/>
        <v>4476.1000000000004</v>
      </c>
      <c r="Q107" s="2">
        <v>45451</v>
      </c>
      <c r="R107" s="55">
        <f t="shared" si="17"/>
        <v>8316</v>
      </c>
      <c r="S107" s="59">
        <v>1950</v>
      </c>
      <c r="T107" s="68">
        <v>594</v>
      </c>
      <c r="U107" s="68">
        <v>3042</v>
      </c>
      <c r="V107" s="68">
        <v>2264</v>
      </c>
      <c r="W107">
        <v>466</v>
      </c>
      <c r="AA107" s="65">
        <f t="shared" si="10"/>
        <v>8316</v>
      </c>
      <c r="AB107" s="9" t="s">
        <v>27</v>
      </c>
      <c r="AC107" s="19">
        <v>45451</v>
      </c>
      <c r="AD107" s="4">
        <f t="shared" si="16"/>
        <v>12792.1</v>
      </c>
      <c r="AE107" s="1"/>
    </row>
    <row r="108" spans="4:62" hidden="1" x14ac:dyDescent="0.25">
      <c r="D108" s="9" t="s">
        <v>28</v>
      </c>
      <c r="E108" s="86">
        <v>45452</v>
      </c>
      <c r="F108" s="87">
        <f t="shared" si="15"/>
        <v>5421.7</v>
      </c>
      <c r="G108" s="49">
        <v>5421.7</v>
      </c>
      <c r="N108" s="22">
        <f t="shared" si="9"/>
        <v>5421.7</v>
      </c>
      <c r="Q108" s="2">
        <v>45452</v>
      </c>
      <c r="R108" s="55">
        <f t="shared" si="17"/>
        <v>11590</v>
      </c>
      <c r="S108" s="59">
        <v>2654</v>
      </c>
      <c r="T108" s="68">
        <v>168</v>
      </c>
      <c r="U108" s="68">
        <v>5188</v>
      </c>
      <c r="V108" s="68">
        <v>940</v>
      </c>
      <c r="W108">
        <v>2640</v>
      </c>
      <c r="AA108" s="65">
        <f t="shared" si="10"/>
        <v>11590</v>
      </c>
      <c r="AB108" s="9" t="s">
        <v>28</v>
      </c>
      <c r="AC108" s="19">
        <v>45452</v>
      </c>
      <c r="AD108" s="4">
        <f t="shared" si="16"/>
        <v>17011.7</v>
      </c>
      <c r="AE108" s="1"/>
    </row>
    <row r="109" spans="4:62" hidden="1" x14ac:dyDescent="0.25">
      <c r="D109" s="9" t="s">
        <v>29</v>
      </c>
      <c r="E109" s="86">
        <v>45453</v>
      </c>
      <c r="F109" s="87">
        <f t="shared" si="15"/>
        <v>3583.55</v>
      </c>
      <c r="G109" s="49">
        <v>3583.55</v>
      </c>
      <c r="N109" s="22">
        <f t="shared" si="9"/>
        <v>3583.55</v>
      </c>
      <c r="Q109" s="2">
        <v>45453</v>
      </c>
      <c r="R109" s="55">
        <f t="shared" si="17"/>
        <v>7407</v>
      </c>
      <c r="S109" s="59">
        <v>1325</v>
      </c>
      <c r="T109" s="68">
        <v>0</v>
      </c>
      <c r="U109" s="68">
        <v>3416</v>
      </c>
      <c r="V109" s="68">
        <v>1546</v>
      </c>
      <c r="W109">
        <v>1120</v>
      </c>
      <c r="AA109" s="65">
        <f t="shared" si="10"/>
        <v>7407</v>
      </c>
      <c r="AB109" s="9" t="s">
        <v>29</v>
      </c>
      <c r="AC109" s="19">
        <v>45453</v>
      </c>
      <c r="AD109" s="4">
        <f t="shared" si="16"/>
        <v>10990.55</v>
      </c>
      <c r="AE109" s="1"/>
    </row>
    <row r="110" spans="4:62" hidden="1" x14ac:dyDescent="0.25">
      <c r="D110" s="9" t="s">
        <v>30</v>
      </c>
      <c r="E110" s="86">
        <v>45454</v>
      </c>
      <c r="F110" s="87">
        <f t="shared" si="15"/>
        <v>4578.75</v>
      </c>
      <c r="G110" s="49">
        <v>4578.75</v>
      </c>
      <c r="N110" s="22">
        <f t="shared" si="9"/>
        <v>4578.75</v>
      </c>
      <c r="Q110" s="2">
        <v>45454</v>
      </c>
      <c r="R110" s="55">
        <f t="shared" si="17"/>
        <v>9774</v>
      </c>
      <c r="S110" s="59">
        <v>5340</v>
      </c>
      <c r="T110" s="68">
        <v>594</v>
      </c>
      <c r="U110" s="68">
        <v>586</v>
      </c>
      <c r="V110" s="68">
        <v>2114</v>
      </c>
      <c r="W110">
        <v>1140</v>
      </c>
      <c r="AA110" s="65">
        <f t="shared" si="10"/>
        <v>9774</v>
      </c>
      <c r="AB110" s="9" t="s">
        <v>30</v>
      </c>
      <c r="AC110" s="19">
        <v>45454</v>
      </c>
      <c r="AD110" s="4">
        <f t="shared" si="16"/>
        <v>14352.75</v>
      </c>
      <c r="AE110" s="1"/>
    </row>
    <row r="111" spans="4:62" hidden="1" x14ac:dyDescent="0.25">
      <c r="D111" s="9" t="s">
        <v>31</v>
      </c>
      <c r="E111" s="86">
        <v>45455</v>
      </c>
      <c r="F111" s="87">
        <f t="shared" si="15"/>
        <v>3872.05</v>
      </c>
      <c r="G111" s="49">
        <v>3872.05</v>
      </c>
      <c r="N111" s="22">
        <f t="shared" si="9"/>
        <v>3872.05</v>
      </c>
      <c r="Q111" s="2">
        <v>45455</v>
      </c>
      <c r="R111" s="55">
        <f t="shared" si="17"/>
        <v>6393</v>
      </c>
      <c r="S111" s="59">
        <v>1817</v>
      </c>
      <c r="T111" s="68">
        <v>786</v>
      </c>
      <c r="U111" s="68">
        <v>1730</v>
      </c>
      <c r="V111" s="68">
        <v>1046</v>
      </c>
      <c r="W111">
        <v>1014</v>
      </c>
      <c r="AA111" s="65">
        <f t="shared" si="10"/>
        <v>6393</v>
      </c>
      <c r="AB111" s="9" t="s">
        <v>31</v>
      </c>
      <c r="AC111" s="19">
        <v>45455</v>
      </c>
      <c r="AD111" s="4">
        <f t="shared" si="16"/>
        <v>10265.049999999999</v>
      </c>
      <c r="AE111" s="1"/>
    </row>
    <row r="112" spans="4:62" hidden="1" x14ac:dyDescent="0.25">
      <c r="D112" s="9" t="s">
        <v>32</v>
      </c>
      <c r="E112" s="86">
        <v>45456</v>
      </c>
      <c r="F112" s="87">
        <f t="shared" si="15"/>
        <v>4066.85</v>
      </c>
      <c r="G112" s="49">
        <v>4066.85</v>
      </c>
      <c r="N112" s="22">
        <f t="shared" si="9"/>
        <v>4066.85</v>
      </c>
      <c r="Q112" s="2">
        <v>45456</v>
      </c>
      <c r="R112" s="55">
        <f t="shared" si="17"/>
        <v>5788</v>
      </c>
      <c r="S112" s="59">
        <v>590</v>
      </c>
      <c r="T112" s="68">
        <v>564</v>
      </c>
      <c r="U112" s="68">
        <v>1870</v>
      </c>
      <c r="V112" s="68">
        <v>1742</v>
      </c>
      <c r="W112">
        <v>1022</v>
      </c>
      <c r="AA112" s="65">
        <f t="shared" si="10"/>
        <v>5788</v>
      </c>
      <c r="AB112" s="9" t="s">
        <v>32</v>
      </c>
      <c r="AC112" s="19">
        <v>45456</v>
      </c>
      <c r="AD112" s="4">
        <f t="shared" si="16"/>
        <v>9854.85</v>
      </c>
      <c r="AE112" s="1"/>
    </row>
    <row r="113" spans="4:31" hidden="1" x14ac:dyDescent="0.25">
      <c r="D113" s="9" t="s">
        <v>26</v>
      </c>
      <c r="E113" s="86">
        <v>45457</v>
      </c>
      <c r="F113" s="87">
        <f t="shared" si="15"/>
        <v>2951</v>
      </c>
      <c r="G113" s="49">
        <v>2951</v>
      </c>
      <c r="N113" s="22">
        <f t="shared" si="9"/>
        <v>2951</v>
      </c>
      <c r="Q113" s="2">
        <v>45457</v>
      </c>
      <c r="R113" s="55">
        <f t="shared" si="17"/>
        <v>11553</v>
      </c>
      <c r="S113" s="59">
        <v>3536</v>
      </c>
      <c r="T113" s="68">
        <v>0</v>
      </c>
      <c r="U113" s="68">
        <v>1736</v>
      </c>
      <c r="V113" s="68">
        <v>3471</v>
      </c>
      <c r="W113">
        <v>2810</v>
      </c>
      <c r="AA113" s="65">
        <f t="shared" si="10"/>
        <v>11553</v>
      </c>
      <c r="AB113" s="9" t="s">
        <v>26</v>
      </c>
      <c r="AC113" s="19">
        <v>45457</v>
      </c>
      <c r="AD113" s="4">
        <f t="shared" si="16"/>
        <v>14504</v>
      </c>
      <c r="AE113" s="1"/>
    </row>
    <row r="114" spans="4:31" hidden="1" x14ac:dyDescent="0.25">
      <c r="D114" s="9" t="s">
        <v>27</v>
      </c>
      <c r="E114" s="86">
        <v>45458</v>
      </c>
      <c r="F114" s="87">
        <f t="shared" si="15"/>
        <v>4484.3500000000004</v>
      </c>
      <c r="G114" s="49">
        <v>4484.3500000000004</v>
      </c>
      <c r="N114" s="22">
        <f t="shared" si="9"/>
        <v>4484.3500000000004</v>
      </c>
      <c r="Q114" s="2">
        <v>45458</v>
      </c>
      <c r="R114" s="55">
        <f t="shared" si="17"/>
        <v>8344</v>
      </c>
      <c r="S114" s="59">
        <v>2888</v>
      </c>
      <c r="T114" s="68">
        <v>560</v>
      </c>
      <c r="U114" s="68">
        <v>2288</v>
      </c>
      <c r="V114" s="68">
        <v>1220</v>
      </c>
      <c r="W114">
        <v>1388</v>
      </c>
      <c r="AA114" s="65">
        <f t="shared" si="10"/>
        <v>8344</v>
      </c>
      <c r="AB114" s="9" t="s">
        <v>27</v>
      </c>
      <c r="AC114" s="19">
        <v>45458</v>
      </c>
      <c r="AD114" s="4">
        <f t="shared" si="16"/>
        <v>12828.35</v>
      </c>
      <c r="AE114" s="1"/>
    </row>
    <row r="115" spans="4:31" hidden="1" x14ac:dyDescent="0.25">
      <c r="D115" s="9" t="s">
        <v>28</v>
      </c>
      <c r="E115" s="86">
        <v>45459</v>
      </c>
      <c r="F115" s="87">
        <f t="shared" si="15"/>
        <v>5427.6</v>
      </c>
      <c r="G115" s="49">
        <v>5427.6</v>
      </c>
      <c r="N115" s="22">
        <f t="shared" si="9"/>
        <v>5427.6</v>
      </c>
      <c r="Q115" s="2">
        <v>45459</v>
      </c>
      <c r="R115" s="55">
        <f t="shared" si="17"/>
        <v>11070</v>
      </c>
      <c r="S115" s="59">
        <v>4590</v>
      </c>
      <c r="T115" s="68">
        <v>590</v>
      </c>
      <c r="U115" s="68">
        <v>3541</v>
      </c>
      <c r="V115" s="68">
        <v>1246</v>
      </c>
      <c r="W115">
        <v>1103</v>
      </c>
      <c r="AA115" s="65">
        <f t="shared" si="10"/>
        <v>11070</v>
      </c>
      <c r="AB115" s="9" t="s">
        <v>28</v>
      </c>
      <c r="AC115" s="19">
        <v>45459</v>
      </c>
      <c r="AD115" s="4">
        <f t="shared" si="16"/>
        <v>16497.599999999999</v>
      </c>
      <c r="AE115" s="1"/>
    </row>
    <row r="116" spans="4:31" hidden="1" x14ac:dyDescent="0.25">
      <c r="D116" s="9" t="s">
        <v>29</v>
      </c>
      <c r="E116" s="86">
        <v>45460</v>
      </c>
      <c r="F116" s="87">
        <f t="shared" si="15"/>
        <v>4851.2</v>
      </c>
      <c r="G116" s="49">
        <v>4851.2</v>
      </c>
      <c r="N116" s="22">
        <f t="shared" si="9"/>
        <v>4851.2</v>
      </c>
      <c r="Q116" s="2">
        <v>45460</v>
      </c>
      <c r="R116" s="55">
        <f t="shared" si="17"/>
        <v>6601</v>
      </c>
      <c r="S116" s="59">
        <v>1199</v>
      </c>
      <c r="T116" s="68">
        <v>0</v>
      </c>
      <c r="U116" s="68">
        <v>1632</v>
      </c>
      <c r="V116" s="68">
        <v>3274</v>
      </c>
      <c r="W116">
        <v>496</v>
      </c>
      <c r="AA116" s="65">
        <f t="shared" si="10"/>
        <v>6601</v>
      </c>
      <c r="AB116" s="9" t="s">
        <v>29</v>
      </c>
      <c r="AC116" s="19">
        <v>45460</v>
      </c>
      <c r="AD116" s="4">
        <f t="shared" si="16"/>
        <v>11452.2</v>
      </c>
      <c r="AE116" s="1"/>
    </row>
    <row r="117" spans="4:31" hidden="1" x14ac:dyDescent="0.25">
      <c r="D117" s="9" t="s">
        <v>30</v>
      </c>
      <c r="E117" s="86">
        <v>45461</v>
      </c>
      <c r="F117" s="87">
        <f t="shared" si="15"/>
        <v>4741.3999999999996</v>
      </c>
      <c r="G117" s="49">
        <v>4741.3999999999996</v>
      </c>
      <c r="N117" s="22">
        <f t="shared" si="9"/>
        <v>4741.3999999999996</v>
      </c>
      <c r="Q117" s="2">
        <v>45461</v>
      </c>
      <c r="R117" s="55">
        <f t="shared" si="17"/>
        <v>5475</v>
      </c>
      <c r="S117" s="59">
        <v>1616</v>
      </c>
      <c r="T117" s="68">
        <v>592</v>
      </c>
      <c r="U117" s="68">
        <v>1621</v>
      </c>
      <c r="V117" s="68">
        <v>930</v>
      </c>
      <c r="W117">
        <v>716</v>
      </c>
      <c r="AA117" s="65">
        <f t="shared" si="10"/>
        <v>5475</v>
      </c>
      <c r="AB117" s="9" t="s">
        <v>30</v>
      </c>
      <c r="AC117" s="19">
        <v>45461</v>
      </c>
      <c r="AD117" s="4">
        <f>F117+R117</f>
        <v>10216.4</v>
      </c>
      <c r="AE117" s="1"/>
    </row>
    <row r="118" spans="4:31" hidden="1" x14ac:dyDescent="0.25">
      <c r="D118" s="9" t="s">
        <v>31</v>
      </c>
      <c r="E118" s="86">
        <v>45462</v>
      </c>
      <c r="F118" s="87">
        <f t="shared" si="15"/>
        <v>3269.55</v>
      </c>
      <c r="G118" s="49">
        <v>3269.55</v>
      </c>
      <c r="N118" s="22">
        <f t="shared" si="9"/>
        <v>3269.55</v>
      </c>
      <c r="Q118" s="2">
        <v>45462</v>
      </c>
      <c r="R118" s="55">
        <f t="shared" si="17"/>
        <v>5426</v>
      </c>
      <c r="S118" s="59">
        <v>1342</v>
      </c>
      <c r="T118" s="68">
        <v>228</v>
      </c>
      <c r="U118" s="68">
        <v>1326</v>
      </c>
      <c r="V118" s="68">
        <v>954</v>
      </c>
      <c r="W118">
        <v>1576</v>
      </c>
      <c r="AA118" s="65">
        <f t="shared" si="10"/>
        <v>5426</v>
      </c>
      <c r="AB118" s="9" t="s">
        <v>31</v>
      </c>
      <c r="AC118" s="19">
        <v>45462</v>
      </c>
      <c r="AD118" s="4">
        <f>F118+R118</f>
        <v>8695.5499999999993</v>
      </c>
      <c r="AE118" s="1"/>
    </row>
    <row r="119" spans="4:31" hidden="1" x14ac:dyDescent="0.25">
      <c r="D119" s="9" t="s">
        <v>32</v>
      </c>
      <c r="E119" s="86">
        <v>45463</v>
      </c>
      <c r="F119" s="87">
        <f t="shared" si="15"/>
        <v>3867.1</v>
      </c>
      <c r="G119" s="49">
        <v>3867.1</v>
      </c>
      <c r="N119" s="22">
        <f t="shared" si="9"/>
        <v>3867.1</v>
      </c>
      <c r="Q119" s="2">
        <v>45463</v>
      </c>
      <c r="R119" s="55">
        <f t="shared" si="17"/>
        <v>11516</v>
      </c>
      <c r="S119" s="59">
        <v>3292</v>
      </c>
      <c r="T119" s="68">
        <v>560</v>
      </c>
      <c r="U119" s="68">
        <v>4398</v>
      </c>
      <c r="V119" s="68">
        <v>1876</v>
      </c>
      <c r="W119">
        <v>1390</v>
      </c>
      <c r="AA119" s="65">
        <f t="shared" si="10"/>
        <v>11516</v>
      </c>
      <c r="AB119" s="9" t="s">
        <v>32</v>
      </c>
      <c r="AC119" s="19">
        <v>45463</v>
      </c>
      <c r="AD119" s="4">
        <f>F119+R119</f>
        <v>15383.1</v>
      </c>
      <c r="AE119" s="1"/>
    </row>
    <row r="120" spans="4:31" hidden="1" x14ac:dyDescent="0.25">
      <c r="D120" s="9" t="s">
        <v>26</v>
      </c>
      <c r="E120" s="86">
        <v>45464</v>
      </c>
      <c r="F120" s="87">
        <f t="shared" si="15"/>
        <v>3103.45</v>
      </c>
      <c r="G120" s="49">
        <v>3103.45</v>
      </c>
      <c r="N120" s="22">
        <f t="shared" si="9"/>
        <v>3103.45</v>
      </c>
      <c r="Q120" s="2">
        <v>45464</v>
      </c>
      <c r="R120" s="55">
        <f t="shared" si="17"/>
        <v>10528</v>
      </c>
      <c r="S120" s="59">
        <v>2594</v>
      </c>
      <c r="T120" s="68">
        <v>0</v>
      </c>
      <c r="U120" s="68">
        <v>3458</v>
      </c>
      <c r="V120" s="68">
        <v>3096</v>
      </c>
      <c r="W120">
        <v>1380</v>
      </c>
      <c r="AA120" s="65">
        <f t="shared" si="10"/>
        <v>10528</v>
      </c>
      <c r="AB120" s="9" t="s">
        <v>26</v>
      </c>
      <c r="AC120" s="19">
        <v>45464</v>
      </c>
      <c r="AD120" s="4">
        <f>F120+R120</f>
        <v>13631.45</v>
      </c>
      <c r="AE120" s="1"/>
    </row>
    <row r="121" spans="4:31" hidden="1" x14ac:dyDescent="0.25">
      <c r="D121" s="9" t="s">
        <v>27</v>
      </c>
      <c r="E121" s="86">
        <v>45465</v>
      </c>
      <c r="F121" s="87">
        <f t="shared" si="15"/>
        <v>3978.95</v>
      </c>
      <c r="G121" s="49">
        <v>3978.95</v>
      </c>
      <c r="N121" s="22">
        <f t="shared" ref="N121:N184" si="18">SUM(G121:M121)</f>
        <v>3978.95</v>
      </c>
      <c r="Q121" s="2">
        <v>45465</v>
      </c>
      <c r="R121" s="55">
        <f t="shared" si="17"/>
        <v>8645</v>
      </c>
      <c r="S121" s="59">
        <v>1297</v>
      </c>
      <c r="T121" s="68">
        <v>1346</v>
      </c>
      <c r="U121" s="68">
        <v>892</v>
      </c>
      <c r="V121" s="68">
        <v>2948</v>
      </c>
      <c r="W121">
        <v>2162</v>
      </c>
      <c r="AA121" s="65">
        <f t="shared" ref="AA121:AA184" si="19">SUM(S121:Z121)</f>
        <v>8645</v>
      </c>
      <c r="AB121" s="9" t="s">
        <v>27</v>
      </c>
      <c r="AC121" s="19">
        <v>45465</v>
      </c>
      <c r="AD121" s="4">
        <f t="shared" ref="AD121:AD122" si="20">F121+R121</f>
        <v>12623.95</v>
      </c>
      <c r="AE121" s="1"/>
    </row>
    <row r="122" spans="4:31" hidden="1" x14ac:dyDescent="0.25">
      <c r="D122" s="9" t="s">
        <v>28</v>
      </c>
      <c r="E122" s="86">
        <v>45466</v>
      </c>
      <c r="F122" s="87">
        <f t="shared" si="15"/>
        <v>4422.3999999999996</v>
      </c>
      <c r="G122" s="49">
        <v>4422.3999999999996</v>
      </c>
      <c r="N122" s="22">
        <f t="shared" si="18"/>
        <v>4422.3999999999996</v>
      </c>
      <c r="Q122" s="2">
        <v>45466</v>
      </c>
      <c r="R122" s="55">
        <f t="shared" si="17"/>
        <v>7548</v>
      </c>
      <c r="S122" s="59">
        <v>2856</v>
      </c>
      <c r="T122" s="68">
        <v>682</v>
      </c>
      <c r="U122" s="68">
        <v>2088</v>
      </c>
      <c r="V122" s="68">
        <v>690</v>
      </c>
      <c r="W122">
        <v>1232</v>
      </c>
      <c r="AA122" s="65">
        <f t="shared" si="19"/>
        <v>7548</v>
      </c>
      <c r="AB122" s="9" t="s">
        <v>28</v>
      </c>
      <c r="AC122" s="19">
        <v>45466</v>
      </c>
      <c r="AD122" s="4">
        <f t="shared" si="20"/>
        <v>11970.4</v>
      </c>
      <c r="AE122" s="1"/>
    </row>
    <row r="123" spans="4:31" hidden="1" x14ac:dyDescent="0.25">
      <c r="D123" s="9" t="s">
        <v>29</v>
      </c>
      <c r="E123" s="86">
        <v>45467</v>
      </c>
      <c r="F123" s="87">
        <f t="shared" si="15"/>
        <v>3753.5</v>
      </c>
      <c r="G123" s="49">
        <v>3753.5</v>
      </c>
      <c r="N123" s="22">
        <f t="shared" si="18"/>
        <v>3753.5</v>
      </c>
      <c r="Q123" s="2">
        <v>45467</v>
      </c>
      <c r="R123" s="55">
        <f t="shared" si="17"/>
        <v>6318</v>
      </c>
      <c r="S123" s="59">
        <v>0</v>
      </c>
      <c r="T123" s="68">
        <v>238</v>
      </c>
      <c r="U123" s="68">
        <v>3356</v>
      </c>
      <c r="V123" s="68">
        <v>1284</v>
      </c>
      <c r="W123">
        <v>1440</v>
      </c>
      <c r="AA123" s="65">
        <f t="shared" si="19"/>
        <v>6318</v>
      </c>
      <c r="AB123" s="9" t="s">
        <v>29</v>
      </c>
      <c r="AC123" s="19">
        <v>45467</v>
      </c>
      <c r="AD123" s="4">
        <f t="shared" ref="AD123:AD132" si="21">F123+R123</f>
        <v>10071.5</v>
      </c>
      <c r="AE123" s="1"/>
    </row>
    <row r="124" spans="4:31" hidden="1" x14ac:dyDescent="0.25">
      <c r="D124" s="9" t="s">
        <v>30</v>
      </c>
      <c r="E124" s="86">
        <v>45468</v>
      </c>
      <c r="F124" s="87">
        <f t="shared" si="15"/>
        <v>3356.25</v>
      </c>
      <c r="G124" s="49">
        <v>3356.25</v>
      </c>
      <c r="N124" s="22">
        <f t="shared" si="18"/>
        <v>3356.25</v>
      </c>
      <c r="Q124" s="2">
        <v>45468</v>
      </c>
      <c r="R124" s="55">
        <f t="shared" si="17"/>
        <v>8496</v>
      </c>
      <c r="S124" s="59">
        <v>1204</v>
      </c>
      <c r="T124" s="68">
        <v>806</v>
      </c>
      <c r="U124" s="68">
        <v>2748</v>
      </c>
      <c r="V124" s="68">
        <v>1376</v>
      </c>
      <c r="W124">
        <v>2362</v>
      </c>
      <c r="AA124" s="65">
        <f t="shared" si="19"/>
        <v>8496</v>
      </c>
      <c r="AB124" s="9" t="s">
        <v>30</v>
      </c>
      <c r="AC124" s="19">
        <v>45468</v>
      </c>
      <c r="AD124" s="4">
        <f t="shared" si="21"/>
        <v>11852.25</v>
      </c>
      <c r="AE124" s="1"/>
    </row>
    <row r="125" spans="4:31" hidden="1" x14ac:dyDescent="0.25">
      <c r="D125" s="9" t="s">
        <v>31</v>
      </c>
      <c r="E125" s="86">
        <v>45469</v>
      </c>
      <c r="F125" s="87">
        <f t="shared" si="15"/>
        <v>2955.05</v>
      </c>
      <c r="G125" s="49">
        <v>2955.05</v>
      </c>
      <c r="N125" s="22">
        <f t="shared" si="18"/>
        <v>2955.05</v>
      </c>
      <c r="Q125" s="2">
        <v>45469</v>
      </c>
      <c r="R125" s="55">
        <f t="shared" si="17"/>
        <v>6706</v>
      </c>
      <c r="S125" s="59">
        <v>1112</v>
      </c>
      <c r="T125" s="68">
        <v>0</v>
      </c>
      <c r="U125" s="68">
        <v>2354</v>
      </c>
      <c r="V125" s="68">
        <v>2040</v>
      </c>
      <c r="W125">
        <v>1200</v>
      </c>
      <c r="AA125" s="65">
        <f t="shared" si="19"/>
        <v>6706</v>
      </c>
      <c r="AB125" s="9" t="s">
        <v>31</v>
      </c>
      <c r="AC125" s="19">
        <v>45469</v>
      </c>
      <c r="AD125" s="4">
        <f t="shared" si="21"/>
        <v>9661.0499999999993</v>
      </c>
      <c r="AE125" s="1"/>
    </row>
    <row r="126" spans="4:31" hidden="1" x14ac:dyDescent="0.25">
      <c r="D126" s="9" t="s">
        <v>32</v>
      </c>
      <c r="E126" s="86">
        <v>45470</v>
      </c>
      <c r="F126" s="87">
        <f t="shared" si="15"/>
        <v>2564.25</v>
      </c>
      <c r="G126" s="49">
        <v>2564.25</v>
      </c>
      <c r="N126" s="22">
        <f t="shared" si="18"/>
        <v>2564.25</v>
      </c>
      <c r="Q126" s="2">
        <v>45470</v>
      </c>
      <c r="R126" s="55">
        <f t="shared" si="17"/>
        <v>5790</v>
      </c>
      <c r="S126" s="59">
        <v>1523</v>
      </c>
      <c r="T126" s="68">
        <v>196</v>
      </c>
      <c r="U126" s="68">
        <v>2069</v>
      </c>
      <c r="V126" s="68">
        <v>552</v>
      </c>
      <c r="W126">
        <v>1450</v>
      </c>
      <c r="AA126" s="65">
        <f t="shared" si="19"/>
        <v>5790</v>
      </c>
      <c r="AB126" s="9" t="s">
        <v>32</v>
      </c>
      <c r="AC126" s="19">
        <v>45470</v>
      </c>
      <c r="AD126" s="4">
        <f t="shared" si="21"/>
        <v>8354.25</v>
      </c>
      <c r="AE126" s="1"/>
    </row>
    <row r="127" spans="4:31" hidden="1" x14ac:dyDescent="0.25">
      <c r="D127" s="9" t="s">
        <v>26</v>
      </c>
      <c r="E127" s="86">
        <v>45471</v>
      </c>
      <c r="F127" s="87">
        <f t="shared" si="15"/>
        <v>3976.05</v>
      </c>
      <c r="G127" s="49">
        <v>3976.05</v>
      </c>
      <c r="N127" s="22">
        <f t="shared" si="18"/>
        <v>3976.05</v>
      </c>
      <c r="Q127" s="2">
        <v>45471</v>
      </c>
      <c r="R127" s="55">
        <f t="shared" si="17"/>
        <v>7635</v>
      </c>
      <c r="S127" s="59">
        <v>2757</v>
      </c>
      <c r="T127" s="68">
        <v>0</v>
      </c>
      <c r="U127" s="68">
        <v>2852</v>
      </c>
      <c r="V127" s="68">
        <v>298</v>
      </c>
      <c r="W127">
        <v>1728</v>
      </c>
      <c r="AA127" s="65">
        <f t="shared" si="19"/>
        <v>7635</v>
      </c>
      <c r="AB127" s="9" t="s">
        <v>26</v>
      </c>
      <c r="AC127" s="19">
        <v>45471</v>
      </c>
      <c r="AD127" s="4">
        <f t="shared" si="21"/>
        <v>11611.05</v>
      </c>
      <c r="AE127" s="1"/>
    </row>
    <row r="128" spans="4:31" hidden="1" x14ac:dyDescent="0.25">
      <c r="D128" s="9" t="s">
        <v>27</v>
      </c>
      <c r="E128" s="86">
        <v>45472</v>
      </c>
      <c r="F128" s="87">
        <f t="shared" si="15"/>
        <v>3972.3</v>
      </c>
      <c r="G128" s="49">
        <v>3972.3</v>
      </c>
      <c r="N128" s="22">
        <f t="shared" si="18"/>
        <v>3972.3</v>
      </c>
      <c r="Q128" s="2">
        <v>45472</v>
      </c>
      <c r="R128" s="55">
        <f t="shared" si="17"/>
        <v>10973</v>
      </c>
      <c r="S128" s="59">
        <v>1450</v>
      </c>
      <c r="T128" s="68">
        <v>1014</v>
      </c>
      <c r="U128" s="68">
        <v>3497</v>
      </c>
      <c r="V128" s="68">
        <v>2766</v>
      </c>
      <c r="W128">
        <v>2246</v>
      </c>
      <c r="AA128" s="65">
        <f t="shared" si="19"/>
        <v>10973</v>
      </c>
      <c r="AB128" s="9" t="s">
        <v>27</v>
      </c>
      <c r="AC128" s="19">
        <v>45472</v>
      </c>
      <c r="AD128" s="4">
        <f t="shared" si="21"/>
        <v>14945.3</v>
      </c>
      <c r="AE128" s="1"/>
    </row>
    <row r="129" spans="4:62" s="13" customFormat="1" hidden="1" x14ac:dyDescent="0.25">
      <c r="D129" s="13" t="s">
        <v>28</v>
      </c>
      <c r="E129" s="88">
        <v>45473</v>
      </c>
      <c r="F129" s="69">
        <f t="shared" si="15"/>
        <v>6129</v>
      </c>
      <c r="G129" s="50">
        <v>6129</v>
      </c>
      <c r="N129" s="30">
        <f t="shared" si="18"/>
        <v>6129</v>
      </c>
      <c r="Q129" s="10">
        <v>45473</v>
      </c>
      <c r="R129" s="57">
        <f t="shared" si="17"/>
        <v>11442</v>
      </c>
      <c r="S129" s="60">
        <v>3182</v>
      </c>
      <c r="T129" s="70">
        <v>590</v>
      </c>
      <c r="U129" s="70">
        <v>3300</v>
      </c>
      <c r="V129" s="70">
        <v>1462</v>
      </c>
      <c r="W129" s="13">
        <v>2908</v>
      </c>
      <c r="Y129" s="16"/>
      <c r="Z129" s="16"/>
      <c r="AA129" s="71">
        <f t="shared" si="19"/>
        <v>11442</v>
      </c>
      <c r="AB129" s="9" t="s">
        <v>28</v>
      </c>
      <c r="AC129" s="20">
        <v>45473</v>
      </c>
      <c r="AD129" s="11">
        <f t="shared" si="21"/>
        <v>17571</v>
      </c>
      <c r="AE129" s="16"/>
      <c r="BJ129" s="16"/>
    </row>
    <row r="130" spans="4:62" hidden="1" x14ac:dyDescent="0.25">
      <c r="D130" s="9" t="s">
        <v>29</v>
      </c>
      <c r="E130" s="86">
        <v>45474</v>
      </c>
      <c r="F130" s="87">
        <f>N130</f>
        <v>3366.65</v>
      </c>
      <c r="G130" s="49">
        <v>3366.65</v>
      </c>
      <c r="N130" s="22">
        <f t="shared" si="18"/>
        <v>3366.65</v>
      </c>
      <c r="Q130" s="2">
        <v>45474</v>
      </c>
      <c r="R130" s="55">
        <f>AA130</f>
        <v>9354</v>
      </c>
      <c r="S130" s="59">
        <v>2626</v>
      </c>
      <c r="T130" s="68">
        <v>248</v>
      </c>
      <c r="U130" s="68">
        <v>2306</v>
      </c>
      <c r="V130" s="68">
        <v>2124</v>
      </c>
      <c r="W130">
        <v>1016</v>
      </c>
      <c r="X130">
        <v>1034</v>
      </c>
      <c r="AA130" s="65">
        <f t="shared" si="19"/>
        <v>9354</v>
      </c>
      <c r="AB130" s="9" t="s">
        <v>29</v>
      </c>
      <c r="AC130" s="19">
        <v>45474</v>
      </c>
      <c r="AD130" s="4">
        <f t="shared" si="21"/>
        <v>12720.65</v>
      </c>
      <c r="AE130" s="1"/>
    </row>
    <row r="131" spans="4:62" hidden="1" x14ac:dyDescent="0.25">
      <c r="D131" s="9" t="s">
        <v>30</v>
      </c>
      <c r="E131" s="86">
        <v>45475</v>
      </c>
      <c r="F131" s="87">
        <f t="shared" ref="F131:F194" si="22">N131</f>
        <v>3003.4</v>
      </c>
      <c r="G131" s="49">
        <v>3003.4</v>
      </c>
      <c r="N131" s="22">
        <f t="shared" si="18"/>
        <v>3003.4</v>
      </c>
      <c r="Q131" s="2">
        <v>45475</v>
      </c>
      <c r="R131" s="55">
        <f t="shared" ref="R131:R187" si="23">AA131</f>
        <v>6144</v>
      </c>
      <c r="S131" s="59">
        <v>2188</v>
      </c>
      <c r="T131" s="68">
        <v>196</v>
      </c>
      <c r="U131" s="68">
        <v>826</v>
      </c>
      <c r="V131" s="68">
        <v>396</v>
      </c>
      <c r="W131">
        <v>2112</v>
      </c>
      <c r="X131">
        <v>426</v>
      </c>
      <c r="AA131" s="65">
        <f t="shared" si="19"/>
        <v>6144</v>
      </c>
      <c r="AB131" s="9" t="s">
        <v>30</v>
      </c>
      <c r="AC131" s="19">
        <v>45475</v>
      </c>
      <c r="AD131" s="4">
        <f t="shared" si="21"/>
        <v>9147.4</v>
      </c>
      <c r="AE131" s="1"/>
    </row>
    <row r="132" spans="4:62" hidden="1" x14ac:dyDescent="0.25">
      <c r="D132" s="9" t="s">
        <v>31</v>
      </c>
      <c r="E132" s="86">
        <v>45476</v>
      </c>
      <c r="F132" s="87">
        <f t="shared" si="22"/>
        <v>3496.65</v>
      </c>
      <c r="G132" s="49">
        <v>3496.65</v>
      </c>
      <c r="N132" s="22">
        <f t="shared" si="18"/>
        <v>3496.65</v>
      </c>
      <c r="Q132" s="2">
        <v>45476</v>
      </c>
      <c r="R132" s="55">
        <f t="shared" si="23"/>
        <v>7727</v>
      </c>
      <c r="S132" s="59">
        <v>2232</v>
      </c>
      <c r="T132" s="68">
        <v>394</v>
      </c>
      <c r="U132" s="68">
        <v>1182</v>
      </c>
      <c r="V132" s="68">
        <v>1741</v>
      </c>
      <c r="W132">
        <v>1254</v>
      </c>
      <c r="X132">
        <v>924</v>
      </c>
      <c r="AA132" s="65">
        <f t="shared" si="19"/>
        <v>7727</v>
      </c>
      <c r="AB132" s="9" t="s">
        <v>31</v>
      </c>
      <c r="AC132" s="19">
        <v>45476</v>
      </c>
      <c r="AD132" s="4">
        <f t="shared" si="21"/>
        <v>11223.65</v>
      </c>
      <c r="AE132" s="1"/>
    </row>
    <row r="133" spans="4:62" hidden="1" x14ac:dyDescent="0.25">
      <c r="D133" s="9" t="s">
        <v>32</v>
      </c>
      <c r="E133" s="86">
        <v>45477</v>
      </c>
      <c r="F133" s="87">
        <f t="shared" si="22"/>
        <v>2902.9</v>
      </c>
      <c r="G133" s="49">
        <v>2902.9</v>
      </c>
      <c r="N133" s="22">
        <f t="shared" si="18"/>
        <v>2902.9</v>
      </c>
      <c r="Q133" s="2">
        <v>45477</v>
      </c>
      <c r="R133" s="55">
        <f t="shared" si="23"/>
        <v>6249</v>
      </c>
      <c r="S133" s="59">
        <v>1087</v>
      </c>
      <c r="T133" s="68">
        <v>642</v>
      </c>
      <c r="U133" s="68">
        <v>804</v>
      </c>
      <c r="V133" s="68">
        <v>1078</v>
      </c>
      <c r="W133">
        <v>1538</v>
      </c>
      <c r="X133">
        <v>1100</v>
      </c>
      <c r="AA133" s="65">
        <f t="shared" si="19"/>
        <v>6249</v>
      </c>
      <c r="AC133" s="19">
        <v>45477</v>
      </c>
      <c r="AD133" s="4">
        <f t="shared" ref="AD133:AD136" si="24">F133+R133</f>
        <v>9151.9</v>
      </c>
      <c r="AE133" s="1"/>
    </row>
    <row r="134" spans="4:62" hidden="1" x14ac:dyDescent="0.25">
      <c r="D134" s="9" t="s">
        <v>26</v>
      </c>
      <c r="E134" s="86">
        <v>45478</v>
      </c>
      <c r="F134" s="87">
        <f t="shared" si="22"/>
        <v>2996.95</v>
      </c>
      <c r="G134" s="49">
        <v>2996.95</v>
      </c>
      <c r="N134" s="22">
        <f t="shared" si="18"/>
        <v>2996.95</v>
      </c>
      <c r="Q134" s="2">
        <v>45478</v>
      </c>
      <c r="R134" s="55">
        <f t="shared" si="23"/>
        <v>7506</v>
      </c>
      <c r="S134" s="59">
        <v>2792</v>
      </c>
      <c r="T134" s="68">
        <v>588</v>
      </c>
      <c r="U134" s="68">
        <v>734</v>
      </c>
      <c r="V134" s="68">
        <v>228</v>
      </c>
      <c r="W134">
        <v>1240</v>
      </c>
      <c r="X134">
        <v>1924</v>
      </c>
      <c r="AA134" s="65">
        <f t="shared" si="19"/>
        <v>7506</v>
      </c>
      <c r="AC134" s="19">
        <v>45478</v>
      </c>
      <c r="AD134" s="4">
        <f t="shared" si="24"/>
        <v>10502.95</v>
      </c>
      <c r="AE134" s="1"/>
    </row>
    <row r="135" spans="4:62" hidden="1" x14ac:dyDescent="0.25">
      <c r="D135" s="9" t="s">
        <v>27</v>
      </c>
      <c r="E135" s="86">
        <v>45479</v>
      </c>
      <c r="F135" s="87">
        <f t="shared" si="22"/>
        <v>3152</v>
      </c>
      <c r="G135" s="49">
        <v>3152</v>
      </c>
      <c r="N135" s="22">
        <f t="shared" si="18"/>
        <v>3152</v>
      </c>
      <c r="Q135" s="2">
        <v>45479</v>
      </c>
      <c r="R135" s="55">
        <f t="shared" si="23"/>
        <v>10271</v>
      </c>
      <c r="S135" s="59">
        <v>2911</v>
      </c>
      <c r="T135" s="68">
        <v>196</v>
      </c>
      <c r="U135" s="68">
        <v>2824</v>
      </c>
      <c r="V135" s="68">
        <v>1226</v>
      </c>
      <c r="W135">
        <v>1848</v>
      </c>
      <c r="X135">
        <v>1266</v>
      </c>
      <c r="AA135" s="65">
        <f t="shared" si="19"/>
        <v>10271</v>
      </c>
      <c r="AC135" s="19">
        <v>45479</v>
      </c>
      <c r="AD135" s="4">
        <f t="shared" si="24"/>
        <v>13423</v>
      </c>
      <c r="AE135" s="1"/>
    </row>
    <row r="136" spans="4:62" hidden="1" x14ac:dyDescent="0.25">
      <c r="D136" s="9" t="s">
        <v>28</v>
      </c>
      <c r="E136" s="86">
        <v>45480</v>
      </c>
      <c r="F136" s="87">
        <f t="shared" si="22"/>
        <v>5611.05</v>
      </c>
      <c r="G136" s="49">
        <v>5611.05</v>
      </c>
      <c r="N136" s="22">
        <f t="shared" si="18"/>
        <v>5611.05</v>
      </c>
      <c r="Q136" s="2">
        <v>45480</v>
      </c>
      <c r="R136" s="55">
        <f t="shared" si="23"/>
        <v>12099</v>
      </c>
      <c r="S136" s="59">
        <v>2663</v>
      </c>
      <c r="T136" s="68">
        <v>1246</v>
      </c>
      <c r="U136" s="68">
        <v>3660</v>
      </c>
      <c r="V136" s="68">
        <v>1566</v>
      </c>
      <c r="W136">
        <v>1508</v>
      </c>
      <c r="X136">
        <v>1456</v>
      </c>
      <c r="AA136" s="65">
        <f t="shared" si="19"/>
        <v>12099</v>
      </c>
      <c r="AC136" s="19">
        <v>45480</v>
      </c>
      <c r="AD136" s="4">
        <f t="shared" si="24"/>
        <v>17710.05</v>
      </c>
      <c r="AE136" s="1"/>
    </row>
    <row r="137" spans="4:62" hidden="1" x14ac:dyDescent="0.25">
      <c r="D137" s="9" t="s">
        <v>29</v>
      </c>
      <c r="E137" s="86">
        <v>45481</v>
      </c>
      <c r="F137" s="87">
        <f t="shared" si="22"/>
        <v>2867.45</v>
      </c>
      <c r="G137" s="49">
        <v>2867.45</v>
      </c>
      <c r="N137" s="22">
        <f t="shared" si="18"/>
        <v>2867.45</v>
      </c>
      <c r="Q137" s="2">
        <v>45481</v>
      </c>
      <c r="R137" s="55">
        <f t="shared" si="23"/>
        <v>8333</v>
      </c>
      <c r="S137" s="59">
        <v>455</v>
      </c>
      <c r="T137" s="68">
        <v>196</v>
      </c>
      <c r="U137" s="68">
        <v>1176</v>
      </c>
      <c r="V137" s="68">
        <v>2770</v>
      </c>
      <c r="W137">
        <v>1778</v>
      </c>
      <c r="X137">
        <v>1958</v>
      </c>
      <c r="AA137" s="65">
        <f t="shared" si="19"/>
        <v>8333</v>
      </c>
      <c r="AC137" s="19">
        <v>45481</v>
      </c>
      <c r="AD137" s="4">
        <f t="shared" ref="AD137:AD168" si="25">F137+R137</f>
        <v>11200.45</v>
      </c>
      <c r="AE137" s="1"/>
    </row>
    <row r="138" spans="4:62" hidden="1" x14ac:dyDescent="0.25">
      <c r="D138" s="9" t="s">
        <v>30</v>
      </c>
      <c r="E138" s="86">
        <v>45482</v>
      </c>
      <c r="F138" s="87">
        <f t="shared" si="22"/>
        <v>4054.5</v>
      </c>
      <c r="G138" s="49">
        <v>4054.5</v>
      </c>
      <c r="N138" s="22">
        <f t="shared" si="18"/>
        <v>4054.5</v>
      </c>
      <c r="Q138" s="2">
        <v>45482</v>
      </c>
      <c r="R138" s="55">
        <f t="shared" si="23"/>
        <v>5026</v>
      </c>
      <c r="S138" s="59">
        <v>1861</v>
      </c>
      <c r="T138" s="68">
        <v>740</v>
      </c>
      <c r="U138" s="68">
        <v>1637</v>
      </c>
      <c r="V138" s="68">
        <v>196</v>
      </c>
      <c r="W138">
        <v>396</v>
      </c>
      <c r="X138">
        <v>196</v>
      </c>
      <c r="AA138" s="65">
        <f t="shared" si="19"/>
        <v>5026</v>
      </c>
      <c r="AC138" s="19">
        <v>45482</v>
      </c>
      <c r="AD138" s="4">
        <f t="shared" si="25"/>
        <v>9080.5</v>
      </c>
      <c r="AE138" s="1"/>
    </row>
    <row r="139" spans="4:62" hidden="1" x14ac:dyDescent="0.25">
      <c r="D139" s="9" t="s">
        <v>31</v>
      </c>
      <c r="E139" s="86">
        <v>45483</v>
      </c>
      <c r="F139" s="87">
        <f t="shared" si="22"/>
        <v>4252.8</v>
      </c>
      <c r="G139" s="49">
        <v>4252.8</v>
      </c>
      <c r="N139" s="22">
        <f t="shared" si="18"/>
        <v>4252.8</v>
      </c>
      <c r="Q139" s="2">
        <v>45483</v>
      </c>
      <c r="R139" s="55">
        <f t="shared" si="23"/>
        <v>10796</v>
      </c>
      <c r="S139" s="59">
        <v>2703</v>
      </c>
      <c r="T139" s="68">
        <v>1898</v>
      </c>
      <c r="U139" s="68">
        <v>2554</v>
      </c>
      <c r="V139" s="68">
        <v>1889</v>
      </c>
      <c r="W139">
        <v>794</v>
      </c>
      <c r="X139">
        <v>958</v>
      </c>
      <c r="AA139" s="65">
        <f t="shared" si="19"/>
        <v>10796</v>
      </c>
      <c r="AC139" s="19">
        <v>45483</v>
      </c>
      <c r="AD139" s="4">
        <f t="shared" si="25"/>
        <v>15048.8</v>
      </c>
      <c r="AE139" s="1"/>
    </row>
    <row r="140" spans="4:62" hidden="1" x14ac:dyDescent="0.25">
      <c r="D140" s="9" t="s">
        <v>32</v>
      </c>
      <c r="E140" s="86">
        <v>45484</v>
      </c>
      <c r="F140" s="87">
        <f t="shared" si="22"/>
        <v>3731.4</v>
      </c>
      <c r="G140" s="49">
        <v>3731.4</v>
      </c>
      <c r="N140" s="22">
        <f t="shared" si="18"/>
        <v>3731.4</v>
      </c>
      <c r="Q140" s="2">
        <v>45484</v>
      </c>
      <c r="R140" s="55">
        <f t="shared" si="23"/>
        <v>8991</v>
      </c>
      <c r="S140" s="59">
        <v>2095</v>
      </c>
      <c r="T140" s="68">
        <v>592</v>
      </c>
      <c r="U140" s="68">
        <v>3384</v>
      </c>
      <c r="V140" s="68">
        <v>1928</v>
      </c>
      <c r="W140">
        <v>794</v>
      </c>
      <c r="X140">
        <v>198</v>
      </c>
      <c r="AA140" s="65">
        <f t="shared" si="19"/>
        <v>8991</v>
      </c>
      <c r="AC140" s="19">
        <v>45484</v>
      </c>
      <c r="AD140" s="4">
        <f t="shared" si="25"/>
        <v>12722.4</v>
      </c>
      <c r="AE140" s="1"/>
    </row>
    <row r="141" spans="4:62" hidden="1" x14ac:dyDescent="0.25">
      <c r="D141" s="9" t="s">
        <v>26</v>
      </c>
      <c r="E141" s="86">
        <v>45485</v>
      </c>
      <c r="F141" s="87">
        <f t="shared" si="22"/>
        <v>4579</v>
      </c>
      <c r="G141" s="49">
        <v>4579</v>
      </c>
      <c r="N141" s="22">
        <f t="shared" si="18"/>
        <v>4579</v>
      </c>
      <c r="Q141" s="2">
        <v>45485</v>
      </c>
      <c r="R141" s="55">
        <f t="shared" si="23"/>
        <v>10089</v>
      </c>
      <c r="S141" s="59">
        <v>4139</v>
      </c>
      <c r="T141" s="68">
        <v>1416</v>
      </c>
      <c r="U141" s="68">
        <v>894</v>
      </c>
      <c r="V141" s="68">
        <v>1806</v>
      </c>
      <c r="W141">
        <v>426</v>
      </c>
      <c r="X141">
        <v>1408</v>
      </c>
      <c r="AA141" s="65">
        <f t="shared" si="19"/>
        <v>10089</v>
      </c>
      <c r="AC141" s="19">
        <v>45485</v>
      </c>
      <c r="AD141" s="4">
        <f t="shared" si="25"/>
        <v>14668</v>
      </c>
      <c r="AE141" s="1"/>
    </row>
    <row r="142" spans="4:62" hidden="1" x14ac:dyDescent="0.25">
      <c r="D142" s="9" t="s">
        <v>27</v>
      </c>
      <c r="E142" s="86">
        <v>45486</v>
      </c>
      <c r="F142" s="87">
        <f t="shared" si="22"/>
        <v>4047.85</v>
      </c>
      <c r="G142" s="49">
        <v>4047.85</v>
      </c>
      <c r="N142" s="22">
        <f t="shared" si="18"/>
        <v>4047.85</v>
      </c>
      <c r="Q142" s="2">
        <v>45486</v>
      </c>
      <c r="R142" s="55">
        <f t="shared" si="23"/>
        <v>10468</v>
      </c>
      <c r="S142" s="59">
        <v>3677</v>
      </c>
      <c r="T142" s="68">
        <v>0</v>
      </c>
      <c r="U142" s="68">
        <v>1730</v>
      </c>
      <c r="V142" s="68">
        <v>4833</v>
      </c>
      <c r="W142">
        <v>0</v>
      </c>
      <c r="X142">
        <v>228</v>
      </c>
      <c r="AA142" s="65">
        <f t="shared" si="19"/>
        <v>10468</v>
      </c>
      <c r="AC142" s="19">
        <v>45486</v>
      </c>
      <c r="AD142" s="4">
        <f t="shared" si="25"/>
        <v>14515.85</v>
      </c>
      <c r="AE142" s="1"/>
    </row>
    <row r="143" spans="4:62" hidden="1" x14ac:dyDescent="0.25">
      <c r="D143" s="9" t="s">
        <v>28</v>
      </c>
      <c r="E143" s="86">
        <v>45487</v>
      </c>
      <c r="F143" s="87">
        <f t="shared" si="22"/>
        <v>3775.3</v>
      </c>
      <c r="G143" s="49">
        <v>3775.3</v>
      </c>
      <c r="N143" s="22">
        <f t="shared" si="18"/>
        <v>3775.3</v>
      </c>
      <c r="Q143" s="2">
        <v>45487</v>
      </c>
      <c r="R143" s="55">
        <f t="shared" si="23"/>
        <v>7623</v>
      </c>
      <c r="S143" s="59">
        <v>1074</v>
      </c>
      <c r="T143" s="68">
        <v>610</v>
      </c>
      <c r="U143" s="68">
        <v>1790</v>
      </c>
      <c r="V143" s="68">
        <v>855</v>
      </c>
      <c r="W143">
        <v>1876</v>
      </c>
      <c r="X143">
        <v>1418</v>
      </c>
      <c r="AA143" s="65">
        <f t="shared" si="19"/>
        <v>7623</v>
      </c>
      <c r="AC143" s="19">
        <v>45487</v>
      </c>
      <c r="AD143" s="4">
        <f t="shared" si="25"/>
        <v>11398.3</v>
      </c>
      <c r="AE143" s="1"/>
    </row>
    <row r="144" spans="4:62" hidden="1" x14ac:dyDescent="0.25">
      <c r="D144" s="9" t="s">
        <v>29</v>
      </c>
      <c r="E144" s="86">
        <v>45488</v>
      </c>
      <c r="F144" s="87">
        <f t="shared" si="22"/>
        <v>4578.3</v>
      </c>
      <c r="G144" s="49">
        <v>4578.3</v>
      </c>
      <c r="N144" s="22">
        <f t="shared" si="18"/>
        <v>4578.3</v>
      </c>
      <c r="Q144" s="2">
        <v>45488</v>
      </c>
      <c r="R144" s="55">
        <f t="shared" si="23"/>
        <v>5741</v>
      </c>
      <c r="S144" s="59">
        <v>1521</v>
      </c>
      <c r="T144" s="68">
        <v>198</v>
      </c>
      <c r="U144" s="68">
        <v>1834</v>
      </c>
      <c r="V144" s="68">
        <v>1246</v>
      </c>
      <c r="W144">
        <v>228</v>
      </c>
      <c r="X144">
        <v>714</v>
      </c>
      <c r="AA144" s="65">
        <f t="shared" si="19"/>
        <v>5741</v>
      </c>
      <c r="AC144" s="19">
        <v>45488</v>
      </c>
      <c r="AD144" s="4">
        <f t="shared" si="25"/>
        <v>10319.299999999999</v>
      </c>
      <c r="AE144" s="1"/>
    </row>
    <row r="145" spans="4:62" hidden="1" x14ac:dyDescent="0.25">
      <c r="D145" s="9" t="s">
        <v>30</v>
      </c>
      <c r="E145" s="86">
        <v>45489</v>
      </c>
      <c r="F145" s="87">
        <f t="shared" si="22"/>
        <v>4294.75</v>
      </c>
      <c r="G145" s="49">
        <v>4294.75</v>
      </c>
      <c r="N145" s="22">
        <f t="shared" si="18"/>
        <v>4294.75</v>
      </c>
      <c r="Q145" s="2">
        <v>45489</v>
      </c>
      <c r="R145" s="55">
        <f t="shared" si="23"/>
        <v>5262</v>
      </c>
      <c r="S145" s="59">
        <v>1438</v>
      </c>
      <c r="T145" s="68">
        <v>1156</v>
      </c>
      <c r="U145" s="68">
        <v>1408</v>
      </c>
      <c r="V145" s="68">
        <v>198</v>
      </c>
      <c r="W145">
        <v>388</v>
      </c>
      <c r="X145">
        <v>674</v>
      </c>
      <c r="AA145" s="65">
        <f t="shared" si="19"/>
        <v>5262</v>
      </c>
      <c r="AC145" s="19">
        <v>45489</v>
      </c>
      <c r="AD145" s="4">
        <f t="shared" si="25"/>
        <v>9556.75</v>
      </c>
      <c r="AE145" s="1"/>
    </row>
    <row r="146" spans="4:62" hidden="1" x14ac:dyDescent="0.25">
      <c r="D146" s="9" t="s">
        <v>31</v>
      </c>
      <c r="E146" s="86">
        <v>45490</v>
      </c>
      <c r="F146" s="87">
        <f t="shared" si="22"/>
        <v>3332.65</v>
      </c>
      <c r="G146" s="49">
        <v>3332.65</v>
      </c>
      <c r="N146" s="22">
        <f t="shared" si="18"/>
        <v>3332.65</v>
      </c>
      <c r="Q146" s="2">
        <v>45490</v>
      </c>
      <c r="R146" s="55">
        <f t="shared" si="23"/>
        <v>10118</v>
      </c>
      <c r="S146" s="59">
        <v>3220</v>
      </c>
      <c r="T146" s="68">
        <v>0</v>
      </c>
      <c r="U146" s="68">
        <v>2106</v>
      </c>
      <c r="V146" s="68">
        <v>636</v>
      </c>
      <c r="W146">
        <v>1542</v>
      </c>
      <c r="X146">
        <v>2614</v>
      </c>
      <c r="AA146" s="65">
        <f t="shared" si="19"/>
        <v>10118</v>
      </c>
      <c r="AC146" s="19">
        <v>45490</v>
      </c>
      <c r="AD146" s="4">
        <f t="shared" si="25"/>
        <v>13450.65</v>
      </c>
      <c r="AE146" s="1"/>
    </row>
    <row r="147" spans="4:62" hidden="1" x14ac:dyDescent="0.25">
      <c r="D147" s="9" t="s">
        <v>32</v>
      </c>
      <c r="E147" s="86">
        <v>45491</v>
      </c>
      <c r="F147" s="87">
        <f t="shared" si="22"/>
        <v>3465.2</v>
      </c>
      <c r="G147" s="49">
        <v>3465.2</v>
      </c>
      <c r="N147" s="22">
        <f t="shared" si="18"/>
        <v>3465.2</v>
      </c>
      <c r="Q147" s="2">
        <v>45491</v>
      </c>
      <c r="R147" s="55">
        <f t="shared" si="23"/>
        <v>7356</v>
      </c>
      <c r="S147" s="59">
        <v>1722</v>
      </c>
      <c r="T147" s="68">
        <v>198</v>
      </c>
      <c r="U147" s="68">
        <v>1610</v>
      </c>
      <c r="V147" s="68">
        <v>3370</v>
      </c>
      <c r="W147">
        <v>358</v>
      </c>
      <c r="X147">
        <v>98</v>
      </c>
      <c r="AA147" s="65">
        <f t="shared" si="19"/>
        <v>7356</v>
      </c>
      <c r="AC147" s="19">
        <v>45491</v>
      </c>
      <c r="AD147" s="4">
        <f t="shared" si="25"/>
        <v>10821.2</v>
      </c>
      <c r="AE147" s="1"/>
    </row>
    <row r="148" spans="4:62" hidden="1" x14ac:dyDescent="0.25">
      <c r="D148" s="9" t="s">
        <v>26</v>
      </c>
      <c r="E148" s="86">
        <v>45492</v>
      </c>
      <c r="F148" s="87">
        <f t="shared" si="22"/>
        <v>4747.3999999999996</v>
      </c>
      <c r="G148" s="49">
        <v>4747.3999999999996</v>
      </c>
      <c r="N148" s="22">
        <f t="shared" si="18"/>
        <v>4747.3999999999996</v>
      </c>
      <c r="Q148" s="2">
        <v>45492</v>
      </c>
      <c r="R148" s="55">
        <f t="shared" si="23"/>
        <v>6000</v>
      </c>
      <c r="S148" s="59">
        <v>1178</v>
      </c>
      <c r="T148" s="68">
        <v>196</v>
      </c>
      <c r="U148" s="68">
        <v>992</v>
      </c>
      <c r="V148" s="68">
        <v>734</v>
      </c>
      <c r="W148">
        <v>1500</v>
      </c>
      <c r="X148">
        <v>1400</v>
      </c>
      <c r="AA148" s="65">
        <f t="shared" si="19"/>
        <v>6000</v>
      </c>
      <c r="AC148" s="19">
        <v>45492</v>
      </c>
      <c r="AD148" s="4">
        <f t="shared" si="25"/>
        <v>10747.4</v>
      </c>
      <c r="AE148" s="1"/>
    </row>
    <row r="149" spans="4:62" hidden="1" x14ac:dyDescent="0.25">
      <c r="D149" s="9" t="s">
        <v>27</v>
      </c>
      <c r="E149" s="86">
        <v>45493</v>
      </c>
      <c r="F149" s="87">
        <f t="shared" si="22"/>
        <v>4814.95</v>
      </c>
      <c r="G149" s="49">
        <v>4814.95</v>
      </c>
      <c r="N149" s="22">
        <f t="shared" si="18"/>
        <v>4814.95</v>
      </c>
      <c r="Q149" s="2">
        <v>45493</v>
      </c>
      <c r="R149" s="55">
        <f t="shared" si="23"/>
        <v>6318</v>
      </c>
      <c r="S149" s="59">
        <v>1175</v>
      </c>
      <c r="T149" s="68">
        <v>394</v>
      </c>
      <c r="U149" s="68">
        <v>1998</v>
      </c>
      <c r="V149" s="68">
        <v>288</v>
      </c>
      <c r="W149">
        <v>1012</v>
      </c>
      <c r="X149">
        <v>1451</v>
      </c>
      <c r="AA149" s="65">
        <f t="shared" si="19"/>
        <v>6318</v>
      </c>
      <c r="AC149" s="19">
        <v>45493</v>
      </c>
      <c r="AD149" s="4">
        <f t="shared" si="25"/>
        <v>11132.95</v>
      </c>
      <c r="AE149" s="1"/>
    </row>
    <row r="150" spans="4:62" hidden="1" x14ac:dyDescent="0.25">
      <c r="D150" s="9" t="s">
        <v>28</v>
      </c>
      <c r="E150" s="86">
        <v>45494</v>
      </c>
      <c r="F150" s="87">
        <f t="shared" si="22"/>
        <v>4374.95</v>
      </c>
      <c r="G150" s="49">
        <v>4374.95</v>
      </c>
      <c r="N150" s="22">
        <f t="shared" si="18"/>
        <v>4374.95</v>
      </c>
      <c r="Q150" s="2">
        <v>45494</v>
      </c>
      <c r="R150" s="55">
        <f t="shared" si="23"/>
        <v>11392</v>
      </c>
      <c r="S150" s="59">
        <v>4053</v>
      </c>
      <c r="T150" s="68">
        <v>1344</v>
      </c>
      <c r="U150" s="68">
        <v>1272</v>
      </c>
      <c r="V150" s="68">
        <v>1142</v>
      </c>
      <c r="W150">
        <v>2642</v>
      </c>
      <c r="X150">
        <v>939</v>
      </c>
      <c r="AA150" s="65">
        <f t="shared" si="19"/>
        <v>11392</v>
      </c>
      <c r="AC150" s="19">
        <v>45494</v>
      </c>
      <c r="AD150" s="4">
        <f t="shared" si="25"/>
        <v>15766.95</v>
      </c>
      <c r="AE150" s="1"/>
    </row>
    <row r="151" spans="4:62" hidden="1" x14ac:dyDescent="0.25">
      <c r="D151" s="9" t="s">
        <v>29</v>
      </c>
      <c r="E151" s="86">
        <v>45495</v>
      </c>
      <c r="F151" s="87">
        <f t="shared" si="22"/>
        <v>5638.45</v>
      </c>
      <c r="G151" s="49">
        <v>5638.45</v>
      </c>
      <c r="N151" s="22">
        <f t="shared" si="18"/>
        <v>5638.45</v>
      </c>
      <c r="Q151" s="2">
        <v>45495</v>
      </c>
      <c r="R151" s="55">
        <f t="shared" si="23"/>
        <v>6626</v>
      </c>
      <c r="S151" s="59">
        <v>1239</v>
      </c>
      <c r="T151" s="68">
        <v>546</v>
      </c>
      <c r="U151" s="68">
        <v>1421</v>
      </c>
      <c r="V151" s="68">
        <v>2070</v>
      </c>
      <c r="W151">
        <v>764</v>
      </c>
      <c r="X151">
        <v>586</v>
      </c>
      <c r="AA151" s="65">
        <f t="shared" si="19"/>
        <v>6626</v>
      </c>
      <c r="AC151" s="19">
        <v>45495</v>
      </c>
      <c r="AD151" s="4">
        <f t="shared" si="25"/>
        <v>12264.45</v>
      </c>
      <c r="AE151" s="1"/>
    </row>
    <row r="152" spans="4:62" hidden="1" x14ac:dyDescent="0.25">
      <c r="D152" s="9" t="s">
        <v>30</v>
      </c>
      <c r="E152" s="86">
        <v>45496</v>
      </c>
      <c r="F152" s="87">
        <f t="shared" si="22"/>
        <v>5436.2</v>
      </c>
      <c r="G152" s="49">
        <v>5436.2</v>
      </c>
      <c r="N152" s="22">
        <f t="shared" si="18"/>
        <v>5436.2</v>
      </c>
      <c r="Q152" s="2">
        <v>45496</v>
      </c>
      <c r="R152" s="55">
        <f t="shared" si="23"/>
        <v>4789</v>
      </c>
      <c r="S152" s="59">
        <v>990</v>
      </c>
      <c r="T152" s="68">
        <v>196</v>
      </c>
      <c r="U152" s="68">
        <v>1302</v>
      </c>
      <c r="V152" s="68">
        <v>1089</v>
      </c>
      <c r="W152">
        <v>984</v>
      </c>
      <c r="X152">
        <v>228</v>
      </c>
      <c r="AA152" s="65">
        <f t="shared" si="19"/>
        <v>4789</v>
      </c>
      <c r="AC152" s="19">
        <v>45496</v>
      </c>
      <c r="AD152" s="4">
        <f t="shared" si="25"/>
        <v>10225.200000000001</v>
      </c>
      <c r="AE152" s="1"/>
    </row>
    <row r="153" spans="4:62" hidden="1" x14ac:dyDescent="0.25">
      <c r="D153" s="9" t="s">
        <v>31</v>
      </c>
      <c r="E153" s="86">
        <v>45497</v>
      </c>
      <c r="F153" s="87">
        <f t="shared" si="22"/>
        <v>2828.15</v>
      </c>
      <c r="G153" s="49">
        <v>2828.15</v>
      </c>
      <c r="N153" s="22">
        <f t="shared" si="18"/>
        <v>2828.15</v>
      </c>
      <c r="Q153" s="2">
        <v>45497</v>
      </c>
      <c r="R153" s="55">
        <f t="shared" si="23"/>
        <v>8042</v>
      </c>
      <c r="S153" s="59">
        <v>2360</v>
      </c>
      <c r="T153" s="68">
        <v>0</v>
      </c>
      <c r="U153" s="68">
        <v>1900</v>
      </c>
      <c r="V153" s="68">
        <v>1180</v>
      </c>
      <c r="W153">
        <v>1460</v>
      </c>
      <c r="X153">
        <v>1142</v>
      </c>
      <c r="AA153" s="65">
        <f t="shared" si="19"/>
        <v>8042</v>
      </c>
      <c r="AC153" s="19">
        <v>45497</v>
      </c>
      <c r="AD153" s="4">
        <f t="shared" si="25"/>
        <v>10870.15</v>
      </c>
      <c r="AE153" s="1"/>
    </row>
    <row r="154" spans="4:62" hidden="1" x14ac:dyDescent="0.25">
      <c r="D154" s="9" t="s">
        <v>32</v>
      </c>
      <c r="E154" s="86">
        <v>45498</v>
      </c>
      <c r="F154" s="87">
        <f t="shared" si="22"/>
        <v>4125.2</v>
      </c>
      <c r="G154" s="49">
        <v>4125.2</v>
      </c>
      <c r="N154" s="22">
        <f t="shared" si="18"/>
        <v>4125.2</v>
      </c>
      <c r="Q154" s="2">
        <v>45498</v>
      </c>
      <c r="R154" s="55">
        <f t="shared" si="23"/>
        <v>6998</v>
      </c>
      <c r="S154" s="59">
        <v>1562</v>
      </c>
      <c r="T154" s="68">
        <v>238</v>
      </c>
      <c r="U154" s="68">
        <v>1990</v>
      </c>
      <c r="V154" s="68">
        <v>1878</v>
      </c>
      <c r="W154">
        <v>706</v>
      </c>
      <c r="X154">
        <v>624</v>
      </c>
      <c r="AA154" s="65">
        <f t="shared" si="19"/>
        <v>6998</v>
      </c>
      <c r="AC154" s="19">
        <v>45498</v>
      </c>
      <c r="AD154" s="4">
        <f t="shared" si="25"/>
        <v>11123.2</v>
      </c>
      <c r="AE154" s="1"/>
    </row>
    <row r="155" spans="4:62" hidden="1" x14ac:dyDescent="0.25">
      <c r="D155" s="9" t="s">
        <v>26</v>
      </c>
      <c r="E155" s="86">
        <v>45499</v>
      </c>
      <c r="F155" s="87">
        <f t="shared" si="22"/>
        <v>4923.7</v>
      </c>
      <c r="G155" s="49">
        <v>4923.7</v>
      </c>
      <c r="N155" s="22">
        <f t="shared" si="18"/>
        <v>4923.7</v>
      </c>
      <c r="Q155" s="2">
        <v>45499</v>
      </c>
      <c r="R155" s="55">
        <f t="shared" si="23"/>
        <v>10389</v>
      </c>
      <c r="S155" s="59">
        <v>4212</v>
      </c>
      <c r="T155" s="68">
        <v>810</v>
      </c>
      <c r="U155" s="68">
        <v>2757</v>
      </c>
      <c r="V155" s="68">
        <v>1152</v>
      </c>
      <c r="W155">
        <v>348</v>
      </c>
      <c r="X155">
        <v>1110</v>
      </c>
      <c r="AA155" s="65">
        <f t="shared" si="19"/>
        <v>10389</v>
      </c>
      <c r="AC155" s="19">
        <v>45499</v>
      </c>
      <c r="AD155" s="4">
        <f t="shared" si="25"/>
        <v>15312.7</v>
      </c>
      <c r="AE155" s="1"/>
    </row>
    <row r="156" spans="4:62" hidden="1" x14ac:dyDescent="0.25">
      <c r="D156" s="9" t="s">
        <v>27</v>
      </c>
      <c r="E156" s="86">
        <v>45500</v>
      </c>
      <c r="F156" s="87">
        <f t="shared" si="22"/>
        <v>3371.1</v>
      </c>
      <c r="G156" s="49">
        <v>3371.1</v>
      </c>
      <c r="N156" s="22">
        <f t="shared" si="18"/>
        <v>3371.1</v>
      </c>
      <c r="Q156" s="2">
        <v>45500</v>
      </c>
      <c r="R156" s="55">
        <f t="shared" si="23"/>
        <v>8672</v>
      </c>
      <c r="S156" s="59">
        <v>2064</v>
      </c>
      <c r="T156" s="68">
        <v>1346</v>
      </c>
      <c r="U156" s="68">
        <v>1748</v>
      </c>
      <c r="V156" s="68">
        <v>774</v>
      </c>
      <c r="W156">
        <v>2174</v>
      </c>
      <c r="X156">
        <v>566</v>
      </c>
      <c r="AA156" s="65">
        <f t="shared" si="19"/>
        <v>8672</v>
      </c>
      <c r="AC156" s="19">
        <v>45500</v>
      </c>
      <c r="AD156" s="4">
        <f t="shared" si="25"/>
        <v>12043.1</v>
      </c>
      <c r="AE156" s="1"/>
    </row>
    <row r="157" spans="4:62" hidden="1" x14ac:dyDescent="0.25">
      <c r="D157" s="9" t="s">
        <v>28</v>
      </c>
      <c r="E157" s="86">
        <v>45501</v>
      </c>
      <c r="F157" s="87">
        <f t="shared" si="22"/>
        <v>4480.75</v>
      </c>
      <c r="G157" s="49">
        <v>4480.75</v>
      </c>
      <c r="N157" s="22">
        <f t="shared" si="18"/>
        <v>4480.75</v>
      </c>
      <c r="Q157" s="2">
        <v>45501</v>
      </c>
      <c r="R157" s="55">
        <f t="shared" si="23"/>
        <v>11295</v>
      </c>
      <c r="S157" s="59">
        <v>3456</v>
      </c>
      <c r="T157" s="68">
        <v>516</v>
      </c>
      <c r="U157" s="68">
        <v>3532</v>
      </c>
      <c r="V157" s="68">
        <v>2255</v>
      </c>
      <c r="W157">
        <v>624</v>
      </c>
      <c r="X157">
        <v>912</v>
      </c>
      <c r="AA157" s="65">
        <f t="shared" si="19"/>
        <v>11295</v>
      </c>
      <c r="AC157" s="19">
        <v>45501</v>
      </c>
      <c r="AD157" s="4">
        <f t="shared" si="25"/>
        <v>15775.75</v>
      </c>
      <c r="AE157" s="1"/>
    </row>
    <row r="158" spans="4:62" hidden="1" x14ac:dyDescent="0.25">
      <c r="D158" s="9" t="s">
        <v>29</v>
      </c>
      <c r="E158" s="86">
        <v>45502</v>
      </c>
      <c r="F158" s="87">
        <f t="shared" si="22"/>
        <v>4192.5</v>
      </c>
      <c r="G158" s="49">
        <v>4192.5</v>
      </c>
      <c r="N158" s="22">
        <f t="shared" si="18"/>
        <v>4192.5</v>
      </c>
      <c r="Q158" s="2">
        <v>45502</v>
      </c>
      <c r="R158" s="55">
        <f t="shared" si="23"/>
        <v>5240</v>
      </c>
      <c r="S158" s="59">
        <v>721</v>
      </c>
      <c r="T158" s="68">
        <v>392</v>
      </c>
      <c r="U158" s="68">
        <v>563</v>
      </c>
      <c r="V158" s="68">
        <v>962</v>
      </c>
      <c r="W158">
        <v>1966</v>
      </c>
      <c r="X158">
        <v>636</v>
      </c>
      <c r="AA158" s="65">
        <f t="shared" si="19"/>
        <v>5240</v>
      </c>
      <c r="AC158" s="19">
        <v>45502</v>
      </c>
      <c r="AD158" s="4">
        <f t="shared" si="25"/>
        <v>9432.5</v>
      </c>
      <c r="AE158" s="1"/>
    </row>
    <row r="159" spans="4:62" hidden="1" x14ac:dyDescent="0.25">
      <c r="D159" s="9" t="s">
        <v>30</v>
      </c>
      <c r="E159" s="86">
        <v>45503</v>
      </c>
      <c r="F159" s="87">
        <f t="shared" si="22"/>
        <v>4265.2</v>
      </c>
      <c r="G159" s="49">
        <v>4265.2</v>
      </c>
      <c r="N159" s="22">
        <f t="shared" si="18"/>
        <v>4265.2</v>
      </c>
      <c r="Q159" s="2">
        <v>45503</v>
      </c>
      <c r="R159" s="55">
        <f t="shared" si="23"/>
        <v>7800</v>
      </c>
      <c r="S159" s="59">
        <v>3682</v>
      </c>
      <c r="T159" s="68">
        <v>644</v>
      </c>
      <c r="U159" s="68">
        <v>1888</v>
      </c>
      <c r="V159" s="68">
        <v>536</v>
      </c>
      <c r="W159">
        <v>426</v>
      </c>
      <c r="X159">
        <v>624</v>
      </c>
      <c r="AA159" s="65">
        <f t="shared" si="19"/>
        <v>7800</v>
      </c>
      <c r="AC159" s="19">
        <v>45503</v>
      </c>
      <c r="AD159" s="4">
        <f t="shared" si="25"/>
        <v>12065.2</v>
      </c>
      <c r="AE159" s="1"/>
    </row>
    <row r="160" spans="4:62" s="13" customFormat="1" hidden="1" x14ac:dyDescent="0.25">
      <c r="D160" s="13" t="s">
        <v>31</v>
      </c>
      <c r="E160" s="88">
        <v>45504</v>
      </c>
      <c r="F160" s="89">
        <f t="shared" si="22"/>
        <v>3530.25</v>
      </c>
      <c r="G160" s="50">
        <v>3530.25</v>
      </c>
      <c r="N160" s="30">
        <f t="shared" si="18"/>
        <v>3530.25</v>
      </c>
      <c r="Q160" s="10">
        <v>45504</v>
      </c>
      <c r="R160" s="58">
        <f t="shared" si="23"/>
        <v>9389</v>
      </c>
      <c r="S160" s="60">
        <v>2467</v>
      </c>
      <c r="T160" s="70">
        <v>0</v>
      </c>
      <c r="U160" s="70">
        <v>2930</v>
      </c>
      <c r="V160" s="70">
        <v>1134</v>
      </c>
      <c r="W160" s="13">
        <v>874</v>
      </c>
      <c r="X160" s="13">
        <v>1984</v>
      </c>
      <c r="Y160" s="16"/>
      <c r="Z160" s="16"/>
      <c r="AA160" s="71">
        <f t="shared" si="19"/>
        <v>9389</v>
      </c>
      <c r="AC160" s="20">
        <v>45504</v>
      </c>
      <c r="AD160" s="11">
        <f t="shared" si="25"/>
        <v>12919.25</v>
      </c>
      <c r="AE160" s="16"/>
      <c r="BJ160" s="16"/>
    </row>
    <row r="161" spans="4:31" hidden="1" x14ac:dyDescent="0.25">
      <c r="D161" s="9" t="s">
        <v>32</v>
      </c>
      <c r="E161" s="86">
        <v>45505</v>
      </c>
      <c r="F161" s="87">
        <f t="shared" si="22"/>
        <v>3838.8</v>
      </c>
      <c r="G161" s="49">
        <v>3838.8</v>
      </c>
      <c r="N161" s="22">
        <f>SUM(G161:M161)</f>
        <v>3838.8</v>
      </c>
      <c r="Q161" s="2">
        <v>45505</v>
      </c>
      <c r="R161" s="55">
        <f t="shared" si="23"/>
        <v>8688</v>
      </c>
      <c r="S161" s="59">
        <v>2027</v>
      </c>
      <c r="T161" s="68">
        <v>218</v>
      </c>
      <c r="U161" s="68">
        <v>2290</v>
      </c>
      <c r="V161" s="68">
        <v>2467</v>
      </c>
      <c r="W161">
        <v>624</v>
      </c>
      <c r="X161">
        <v>1062</v>
      </c>
      <c r="AA161" s="65">
        <f t="shared" si="19"/>
        <v>8688</v>
      </c>
      <c r="AC161" s="19">
        <v>45505</v>
      </c>
      <c r="AD161" s="4">
        <f t="shared" si="25"/>
        <v>12526.8</v>
      </c>
      <c r="AE161" s="1"/>
    </row>
    <row r="162" spans="4:31" hidden="1" x14ac:dyDescent="0.25">
      <c r="D162" s="9" t="s">
        <v>26</v>
      </c>
      <c r="E162" s="86">
        <v>45506</v>
      </c>
      <c r="F162" s="87">
        <f t="shared" si="22"/>
        <v>2470.0500000000002</v>
      </c>
      <c r="G162" s="49">
        <v>2470.0500000000002</v>
      </c>
      <c r="N162" s="22">
        <f t="shared" si="18"/>
        <v>2470.0500000000002</v>
      </c>
      <c r="Q162" s="2">
        <v>45506</v>
      </c>
      <c r="R162" s="55">
        <f t="shared" si="23"/>
        <v>7908</v>
      </c>
      <c r="S162" s="59">
        <v>2054</v>
      </c>
      <c r="T162" s="68">
        <v>750</v>
      </c>
      <c r="U162" s="68">
        <v>1182</v>
      </c>
      <c r="V162" s="68">
        <v>2382</v>
      </c>
      <c r="W162">
        <v>1312</v>
      </c>
      <c r="X162">
        <v>228</v>
      </c>
      <c r="AA162" s="65">
        <f t="shared" si="19"/>
        <v>7908</v>
      </c>
      <c r="AC162" s="19">
        <v>45506</v>
      </c>
      <c r="AD162" s="4">
        <f t="shared" si="25"/>
        <v>10378.049999999999</v>
      </c>
      <c r="AE162" s="1"/>
    </row>
    <row r="163" spans="4:31" hidden="1" x14ac:dyDescent="0.25">
      <c r="D163" s="9" t="s">
        <v>27</v>
      </c>
      <c r="E163" s="86">
        <v>45507</v>
      </c>
      <c r="F163" s="87">
        <f t="shared" si="22"/>
        <v>4990.75</v>
      </c>
      <c r="G163" s="49">
        <v>4990.75</v>
      </c>
      <c r="N163" s="22">
        <f t="shared" si="18"/>
        <v>4990.75</v>
      </c>
      <c r="Q163" s="2">
        <v>45507</v>
      </c>
      <c r="R163" s="55">
        <f t="shared" si="23"/>
        <v>5835</v>
      </c>
      <c r="S163" s="59">
        <v>2065</v>
      </c>
      <c r="T163" s="68">
        <v>0</v>
      </c>
      <c r="U163" s="68">
        <v>514</v>
      </c>
      <c r="V163" s="68">
        <v>1984</v>
      </c>
      <c r="W163">
        <v>726</v>
      </c>
      <c r="X163">
        <v>546</v>
      </c>
      <c r="AA163" s="65">
        <f t="shared" si="19"/>
        <v>5835</v>
      </c>
      <c r="AC163" s="19">
        <v>45507</v>
      </c>
      <c r="AD163" s="4">
        <f t="shared" si="25"/>
        <v>10825.75</v>
      </c>
      <c r="AE163" s="1"/>
    </row>
    <row r="164" spans="4:31" hidden="1" x14ac:dyDescent="0.25">
      <c r="D164" s="9" t="s">
        <v>28</v>
      </c>
      <c r="E164" s="86">
        <v>45508</v>
      </c>
      <c r="F164" s="87">
        <f t="shared" si="22"/>
        <v>3816.85</v>
      </c>
      <c r="G164" s="49">
        <v>3816.85</v>
      </c>
      <c r="N164" s="22">
        <f t="shared" si="18"/>
        <v>3816.85</v>
      </c>
      <c r="Q164" s="2">
        <v>45508</v>
      </c>
      <c r="R164" s="55">
        <f t="shared" si="23"/>
        <v>9516</v>
      </c>
      <c r="S164" s="59">
        <v>1036</v>
      </c>
      <c r="T164" s="68">
        <v>954</v>
      </c>
      <c r="U164" s="68">
        <v>3750</v>
      </c>
      <c r="V164" s="68">
        <v>1406</v>
      </c>
      <c r="W164">
        <v>1844</v>
      </c>
      <c r="X164">
        <v>526</v>
      </c>
      <c r="AA164" s="65">
        <f t="shared" si="19"/>
        <v>9516</v>
      </c>
      <c r="AC164" s="19">
        <v>45508</v>
      </c>
      <c r="AD164" s="4">
        <f t="shared" si="25"/>
        <v>13332.85</v>
      </c>
      <c r="AE164" s="1"/>
    </row>
    <row r="165" spans="4:31" hidden="1" x14ac:dyDescent="0.25">
      <c r="D165" s="9" t="s">
        <v>29</v>
      </c>
      <c r="E165" s="86">
        <v>45509</v>
      </c>
      <c r="F165" s="87">
        <f t="shared" si="22"/>
        <v>3981.3</v>
      </c>
      <c r="G165" s="49">
        <v>3981.3</v>
      </c>
      <c r="N165" s="22">
        <f t="shared" si="18"/>
        <v>3981.3</v>
      </c>
      <c r="Q165" s="2">
        <v>45509</v>
      </c>
      <c r="R165" s="55">
        <f t="shared" si="23"/>
        <v>5123</v>
      </c>
      <c r="S165" s="59">
        <v>709</v>
      </c>
      <c r="T165" s="68">
        <v>392</v>
      </c>
      <c r="U165" s="68">
        <v>1006</v>
      </c>
      <c r="V165" s="68">
        <v>1560</v>
      </c>
      <c r="W165">
        <v>832</v>
      </c>
      <c r="X165">
        <v>624</v>
      </c>
      <c r="AA165" s="65">
        <f t="shared" si="19"/>
        <v>5123</v>
      </c>
      <c r="AC165" s="19">
        <v>45509</v>
      </c>
      <c r="AD165" s="4">
        <f t="shared" si="25"/>
        <v>9104.2999999999993</v>
      </c>
      <c r="AE165" s="1"/>
    </row>
    <row r="166" spans="4:31" hidden="1" x14ac:dyDescent="0.25">
      <c r="D166" s="9" t="s">
        <v>30</v>
      </c>
      <c r="E166" s="86">
        <v>45510</v>
      </c>
      <c r="F166" s="87">
        <f t="shared" si="22"/>
        <v>4703.45</v>
      </c>
      <c r="G166" s="49">
        <v>4703.45</v>
      </c>
      <c r="N166" s="22">
        <f t="shared" si="18"/>
        <v>4703.45</v>
      </c>
      <c r="Q166" s="2">
        <v>45510</v>
      </c>
      <c r="R166" s="55">
        <f t="shared" si="23"/>
        <v>6995</v>
      </c>
      <c r="S166" s="59">
        <v>1071</v>
      </c>
      <c r="T166" s="68">
        <v>820</v>
      </c>
      <c r="U166" s="68">
        <v>1872</v>
      </c>
      <c r="V166" s="68">
        <v>1628</v>
      </c>
      <c r="W166">
        <v>486</v>
      </c>
      <c r="X166">
        <v>1118</v>
      </c>
      <c r="AA166" s="65">
        <f t="shared" si="19"/>
        <v>6995</v>
      </c>
      <c r="AC166" s="19">
        <v>45510</v>
      </c>
      <c r="AD166" s="4">
        <f t="shared" si="25"/>
        <v>11698.45</v>
      </c>
      <c r="AE166" s="1"/>
    </row>
    <row r="167" spans="4:31" hidden="1" x14ac:dyDescent="0.25">
      <c r="D167" s="9" t="s">
        <v>31</v>
      </c>
      <c r="E167" s="86">
        <v>45511</v>
      </c>
      <c r="F167" s="87">
        <f t="shared" si="22"/>
        <v>3011.6</v>
      </c>
      <c r="G167" s="49">
        <v>3011.6</v>
      </c>
      <c r="N167" s="22">
        <f t="shared" si="18"/>
        <v>3011.6</v>
      </c>
      <c r="Q167" s="2">
        <v>45511</v>
      </c>
      <c r="R167" s="55">
        <f t="shared" si="23"/>
        <v>3701</v>
      </c>
      <c r="S167" s="59">
        <v>685</v>
      </c>
      <c r="T167" s="68">
        <v>0</v>
      </c>
      <c r="U167" s="68">
        <v>228</v>
      </c>
      <c r="V167" s="68">
        <v>2272</v>
      </c>
      <c r="W167">
        <v>198</v>
      </c>
      <c r="X167">
        <v>318</v>
      </c>
      <c r="AA167" s="65">
        <f t="shared" si="19"/>
        <v>3701</v>
      </c>
      <c r="AC167" s="19">
        <v>45511</v>
      </c>
      <c r="AD167" s="4">
        <f t="shared" si="25"/>
        <v>6712.6</v>
      </c>
      <c r="AE167" s="1"/>
    </row>
    <row r="168" spans="4:31" hidden="1" x14ac:dyDescent="0.25">
      <c r="D168" s="9" t="s">
        <v>32</v>
      </c>
      <c r="E168" s="86">
        <v>45512</v>
      </c>
      <c r="F168" s="87">
        <f t="shared" si="22"/>
        <v>4680.05</v>
      </c>
      <c r="G168" s="49">
        <v>4680.05</v>
      </c>
      <c r="N168" s="22">
        <f t="shared" si="18"/>
        <v>4680.05</v>
      </c>
      <c r="Q168" s="2">
        <v>45512</v>
      </c>
      <c r="R168" s="55">
        <f t="shared" si="23"/>
        <v>5234</v>
      </c>
      <c r="S168" s="59">
        <v>1930</v>
      </c>
      <c r="T168" s="68">
        <v>0</v>
      </c>
      <c r="U168" s="68">
        <v>258</v>
      </c>
      <c r="V168" s="68">
        <v>1706</v>
      </c>
      <c r="W168">
        <v>1112</v>
      </c>
      <c r="X168">
        <v>228</v>
      </c>
      <c r="AA168" s="65">
        <f t="shared" si="19"/>
        <v>5234</v>
      </c>
      <c r="AC168" s="19">
        <v>45512</v>
      </c>
      <c r="AD168" s="4">
        <f t="shared" si="25"/>
        <v>9914.0499999999993</v>
      </c>
      <c r="AE168" s="1"/>
    </row>
    <row r="169" spans="4:31" hidden="1" x14ac:dyDescent="0.25">
      <c r="D169" s="9" t="s">
        <v>26</v>
      </c>
      <c r="E169" s="86">
        <v>45513</v>
      </c>
      <c r="F169" s="87">
        <f t="shared" si="22"/>
        <v>3162.35</v>
      </c>
      <c r="G169" s="49">
        <v>3162.35</v>
      </c>
      <c r="N169" s="22">
        <f t="shared" si="18"/>
        <v>3162.35</v>
      </c>
      <c r="Q169" s="2">
        <v>45513</v>
      </c>
      <c r="R169" s="55">
        <f t="shared" si="23"/>
        <v>11403</v>
      </c>
      <c r="S169" s="59">
        <v>2762</v>
      </c>
      <c r="T169" s="68">
        <v>976</v>
      </c>
      <c r="U169" s="68">
        <v>2810</v>
      </c>
      <c r="V169" s="68">
        <v>1576</v>
      </c>
      <c r="W169">
        <v>1641</v>
      </c>
      <c r="X169">
        <v>1638</v>
      </c>
      <c r="AA169" s="65">
        <f t="shared" si="19"/>
        <v>11403</v>
      </c>
      <c r="AC169" s="19">
        <v>45513</v>
      </c>
      <c r="AD169" s="4">
        <f t="shared" ref="AD169:AD200" si="26">F169+R169</f>
        <v>14565.35</v>
      </c>
      <c r="AE169" s="1"/>
    </row>
    <row r="170" spans="4:31" hidden="1" x14ac:dyDescent="0.25">
      <c r="D170" s="9" t="s">
        <v>27</v>
      </c>
      <c r="E170" s="86">
        <v>45514</v>
      </c>
      <c r="F170" s="87">
        <f t="shared" si="22"/>
        <v>4180.1499999999996</v>
      </c>
      <c r="G170" s="49">
        <v>4180.1499999999996</v>
      </c>
      <c r="N170" s="22">
        <f t="shared" si="18"/>
        <v>4180.1499999999996</v>
      </c>
      <c r="Q170" s="2">
        <v>45514</v>
      </c>
      <c r="R170" s="55">
        <f t="shared" si="23"/>
        <v>12520</v>
      </c>
      <c r="S170" s="59">
        <v>3474</v>
      </c>
      <c r="T170" s="68">
        <v>984</v>
      </c>
      <c r="U170" s="68">
        <v>3430</v>
      </c>
      <c r="V170" s="68">
        <v>1898</v>
      </c>
      <c r="W170">
        <v>2078</v>
      </c>
      <c r="X170">
        <v>656</v>
      </c>
      <c r="AA170" s="65">
        <f t="shared" si="19"/>
        <v>12520</v>
      </c>
      <c r="AC170" s="19">
        <v>45514</v>
      </c>
      <c r="AD170" s="4">
        <f t="shared" si="26"/>
        <v>16700.150000000001</v>
      </c>
      <c r="AE170" s="1"/>
    </row>
    <row r="171" spans="4:31" hidden="1" x14ac:dyDescent="0.25">
      <c r="D171" s="9" t="s">
        <v>28</v>
      </c>
      <c r="E171" s="86">
        <v>45515</v>
      </c>
      <c r="F171" s="87">
        <f t="shared" si="22"/>
        <v>4006.95</v>
      </c>
      <c r="G171" s="49">
        <v>4006.95</v>
      </c>
      <c r="N171" s="22">
        <f t="shared" si="18"/>
        <v>4006.95</v>
      </c>
      <c r="Q171" s="2">
        <v>45515</v>
      </c>
      <c r="R171" s="55">
        <f t="shared" si="23"/>
        <v>12903</v>
      </c>
      <c r="S171" s="59">
        <v>2095</v>
      </c>
      <c r="T171" s="68">
        <v>812</v>
      </c>
      <c r="U171" s="68">
        <v>3924</v>
      </c>
      <c r="V171" s="68">
        <v>4414</v>
      </c>
      <c r="W171">
        <v>1232</v>
      </c>
      <c r="X171">
        <v>426</v>
      </c>
      <c r="AA171" s="65">
        <f t="shared" si="19"/>
        <v>12903</v>
      </c>
      <c r="AC171" s="19">
        <v>45515</v>
      </c>
      <c r="AD171" s="4">
        <f t="shared" si="26"/>
        <v>16909.95</v>
      </c>
      <c r="AE171" s="1"/>
    </row>
    <row r="172" spans="4:31" hidden="1" x14ac:dyDescent="0.25">
      <c r="D172" s="9" t="s">
        <v>29</v>
      </c>
      <c r="E172" s="86">
        <v>45516</v>
      </c>
      <c r="F172" s="87">
        <f t="shared" si="22"/>
        <v>4177</v>
      </c>
      <c r="G172" s="49">
        <v>4177</v>
      </c>
      <c r="N172" s="22">
        <f t="shared" si="18"/>
        <v>4177</v>
      </c>
      <c r="Q172" s="2">
        <v>45516</v>
      </c>
      <c r="R172" s="55">
        <f t="shared" si="23"/>
        <v>4646</v>
      </c>
      <c r="S172" s="59">
        <v>2018</v>
      </c>
      <c r="T172" s="68">
        <v>0</v>
      </c>
      <c r="U172" s="68">
        <v>1032</v>
      </c>
      <c r="V172" s="68">
        <v>694</v>
      </c>
      <c r="W172">
        <v>228</v>
      </c>
      <c r="X172">
        <v>674</v>
      </c>
      <c r="AA172" s="65">
        <f t="shared" si="19"/>
        <v>4646</v>
      </c>
      <c r="AC172" s="19">
        <v>45516</v>
      </c>
      <c r="AD172" s="4">
        <f t="shared" si="26"/>
        <v>8823</v>
      </c>
      <c r="AE172" s="1"/>
    </row>
    <row r="173" spans="4:31" hidden="1" x14ac:dyDescent="0.25">
      <c r="D173" s="9" t="s">
        <v>30</v>
      </c>
      <c r="E173" s="86">
        <v>45517</v>
      </c>
      <c r="F173" s="87">
        <f t="shared" si="22"/>
        <v>4118.1000000000004</v>
      </c>
      <c r="G173" s="49">
        <v>4118.1000000000004</v>
      </c>
      <c r="N173" s="22">
        <f t="shared" si="18"/>
        <v>4118.1000000000004</v>
      </c>
      <c r="Q173" s="2">
        <v>45517</v>
      </c>
      <c r="R173" s="55">
        <f t="shared" si="23"/>
        <v>6886</v>
      </c>
      <c r="S173" s="59">
        <v>2956</v>
      </c>
      <c r="T173" s="68">
        <v>788</v>
      </c>
      <c r="U173" s="68">
        <v>834</v>
      </c>
      <c r="V173" s="68">
        <v>438</v>
      </c>
      <c r="W173">
        <v>1642</v>
      </c>
      <c r="X173">
        <v>228</v>
      </c>
      <c r="AA173" s="65">
        <f t="shared" si="19"/>
        <v>6886</v>
      </c>
      <c r="AC173" s="19">
        <v>45517</v>
      </c>
      <c r="AD173" s="4">
        <f t="shared" si="26"/>
        <v>11004.1</v>
      </c>
      <c r="AE173" s="1"/>
    </row>
    <row r="174" spans="4:31" hidden="1" x14ac:dyDescent="0.25">
      <c r="D174" s="9" t="s">
        <v>31</v>
      </c>
      <c r="E174" s="86">
        <v>45518</v>
      </c>
      <c r="F174" s="87">
        <f t="shared" si="22"/>
        <v>4820.8999999999996</v>
      </c>
      <c r="G174" s="49">
        <v>4820.8999999999996</v>
      </c>
      <c r="N174" s="22">
        <f t="shared" si="18"/>
        <v>4820.8999999999996</v>
      </c>
      <c r="Q174" s="2">
        <v>45518</v>
      </c>
      <c r="R174" s="55">
        <f t="shared" si="23"/>
        <v>4548</v>
      </c>
      <c r="S174" s="59">
        <v>196</v>
      </c>
      <c r="T174" s="68">
        <v>364</v>
      </c>
      <c r="U174" s="68">
        <v>884</v>
      </c>
      <c r="V174" s="68">
        <v>1802</v>
      </c>
      <c r="W174">
        <v>1302</v>
      </c>
      <c r="X174">
        <v>0</v>
      </c>
      <c r="AA174" s="65">
        <f t="shared" si="19"/>
        <v>4548</v>
      </c>
      <c r="AC174" s="19">
        <v>45518</v>
      </c>
      <c r="AD174" s="4">
        <f t="shared" si="26"/>
        <v>9368.9</v>
      </c>
      <c r="AE174" s="1"/>
    </row>
    <row r="175" spans="4:31" hidden="1" x14ac:dyDescent="0.25">
      <c r="D175" s="9" t="s">
        <v>32</v>
      </c>
      <c r="E175" s="86">
        <v>45519</v>
      </c>
      <c r="F175" s="87">
        <f t="shared" si="22"/>
        <v>3070.35</v>
      </c>
      <c r="G175" s="49">
        <v>3070.35</v>
      </c>
      <c r="N175" s="22">
        <f t="shared" si="18"/>
        <v>3070.35</v>
      </c>
      <c r="Q175" s="2">
        <v>45519</v>
      </c>
      <c r="R175" s="55">
        <f t="shared" si="23"/>
        <v>5195</v>
      </c>
      <c r="S175" s="59">
        <v>89</v>
      </c>
      <c r="T175" s="68">
        <v>198</v>
      </c>
      <c r="U175" s="68">
        <v>2628</v>
      </c>
      <c r="V175" s="68">
        <v>1922</v>
      </c>
      <c r="W175">
        <v>358</v>
      </c>
      <c r="X175">
        <v>0</v>
      </c>
      <c r="AA175" s="65">
        <f t="shared" si="19"/>
        <v>5195</v>
      </c>
      <c r="AC175" s="19">
        <v>45519</v>
      </c>
      <c r="AD175" s="4">
        <f t="shared" si="26"/>
        <v>8265.35</v>
      </c>
      <c r="AE175" s="1"/>
    </row>
    <row r="176" spans="4:31" hidden="1" x14ac:dyDescent="0.25">
      <c r="D176" s="9" t="s">
        <v>26</v>
      </c>
      <c r="E176" s="86">
        <v>45520</v>
      </c>
      <c r="F176" s="87">
        <f t="shared" si="22"/>
        <v>4544.55</v>
      </c>
      <c r="G176" s="49">
        <v>4544.55</v>
      </c>
      <c r="N176" s="22">
        <f t="shared" si="18"/>
        <v>4544.55</v>
      </c>
      <c r="Q176" s="2">
        <v>45520</v>
      </c>
      <c r="R176" s="55">
        <f t="shared" si="23"/>
        <v>8901</v>
      </c>
      <c r="S176" s="59">
        <v>1875</v>
      </c>
      <c r="T176" s="68">
        <v>196</v>
      </c>
      <c r="U176" s="68">
        <v>2218</v>
      </c>
      <c r="V176" s="68">
        <v>4612</v>
      </c>
      <c r="AA176" s="65">
        <f t="shared" si="19"/>
        <v>8901</v>
      </c>
      <c r="AC176" s="19">
        <v>45520</v>
      </c>
      <c r="AD176" s="4">
        <f t="shared" si="26"/>
        <v>13445.55</v>
      </c>
      <c r="AE176" s="1"/>
    </row>
    <row r="177" spans="4:62" hidden="1" x14ac:dyDescent="0.25">
      <c r="D177" s="9" t="s">
        <v>27</v>
      </c>
      <c r="E177" s="86">
        <v>45521</v>
      </c>
      <c r="F177" s="87">
        <f t="shared" si="22"/>
        <v>3050.3</v>
      </c>
      <c r="G177" s="49">
        <v>3050.3</v>
      </c>
      <c r="N177" s="22">
        <f t="shared" si="18"/>
        <v>3050.3</v>
      </c>
      <c r="Q177" s="2">
        <v>45521</v>
      </c>
      <c r="R177" s="55">
        <f t="shared" si="23"/>
        <v>3168</v>
      </c>
      <c r="S177" s="59">
        <v>962</v>
      </c>
      <c r="T177" s="68">
        <v>0</v>
      </c>
      <c r="U177" s="68">
        <v>984</v>
      </c>
      <c r="V177" s="68">
        <v>1222</v>
      </c>
      <c r="AA177" s="65">
        <f t="shared" si="19"/>
        <v>3168</v>
      </c>
      <c r="AC177" s="19">
        <v>45521</v>
      </c>
      <c r="AD177" s="4">
        <f t="shared" si="26"/>
        <v>6218.3</v>
      </c>
      <c r="AE177" s="1"/>
    </row>
    <row r="178" spans="4:62" hidden="1" x14ac:dyDescent="0.25">
      <c r="D178" s="9" t="s">
        <v>28</v>
      </c>
      <c r="E178" s="86">
        <v>45522</v>
      </c>
      <c r="F178" s="87">
        <f t="shared" si="22"/>
        <v>4467.3999999999996</v>
      </c>
      <c r="G178" s="49">
        <v>4467.3999999999996</v>
      </c>
      <c r="N178" s="22">
        <f t="shared" si="18"/>
        <v>4467.3999999999996</v>
      </c>
      <c r="Q178" s="2">
        <v>45522</v>
      </c>
      <c r="R178" s="55">
        <f t="shared" si="23"/>
        <v>4929</v>
      </c>
      <c r="S178" s="59">
        <v>2223</v>
      </c>
      <c r="T178" s="68">
        <v>392</v>
      </c>
      <c r="U178" s="68">
        <v>1102</v>
      </c>
      <c r="V178" s="68">
        <v>1212</v>
      </c>
      <c r="AA178" s="65">
        <f t="shared" si="19"/>
        <v>4929</v>
      </c>
      <c r="AC178" s="19">
        <v>45522</v>
      </c>
      <c r="AD178" s="4">
        <f t="shared" si="26"/>
        <v>9396.4</v>
      </c>
      <c r="AE178" s="1"/>
    </row>
    <row r="179" spans="4:62" hidden="1" x14ac:dyDescent="0.25">
      <c r="D179" s="9" t="s">
        <v>29</v>
      </c>
      <c r="E179" s="86">
        <v>45523</v>
      </c>
      <c r="F179" s="87">
        <f t="shared" si="22"/>
        <v>4109.8999999999996</v>
      </c>
      <c r="G179" s="49">
        <v>4109.8999999999996</v>
      </c>
      <c r="N179" s="22">
        <f t="shared" si="18"/>
        <v>4109.8999999999996</v>
      </c>
      <c r="Q179" s="2">
        <v>45523</v>
      </c>
      <c r="R179" s="55">
        <f t="shared" si="23"/>
        <v>2796</v>
      </c>
      <c r="S179" s="59">
        <v>1516</v>
      </c>
      <c r="T179" s="68">
        <v>0</v>
      </c>
      <c r="U179" s="68">
        <v>1032</v>
      </c>
      <c r="V179" s="68">
        <v>248</v>
      </c>
      <c r="AA179" s="65">
        <f t="shared" si="19"/>
        <v>2796</v>
      </c>
      <c r="AC179" s="19">
        <v>45523</v>
      </c>
      <c r="AD179" s="4">
        <f t="shared" si="26"/>
        <v>6905.9</v>
      </c>
      <c r="AE179" s="1"/>
    </row>
    <row r="180" spans="4:62" hidden="1" x14ac:dyDescent="0.25">
      <c r="D180" s="9" t="s">
        <v>30</v>
      </c>
      <c r="E180" s="86">
        <v>45524</v>
      </c>
      <c r="F180" s="87">
        <f t="shared" si="22"/>
        <v>4821.6499999999996</v>
      </c>
      <c r="G180" s="49">
        <v>4821.6499999999996</v>
      </c>
      <c r="N180" s="22">
        <f t="shared" si="18"/>
        <v>4821.6499999999996</v>
      </c>
      <c r="Q180" s="2">
        <v>45524</v>
      </c>
      <c r="R180" s="55">
        <f t="shared" si="23"/>
        <v>7277</v>
      </c>
      <c r="S180" s="59">
        <v>3059</v>
      </c>
      <c r="T180" s="68">
        <v>318</v>
      </c>
      <c r="U180" s="68">
        <v>3702</v>
      </c>
      <c r="V180" s="68">
        <v>198</v>
      </c>
      <c r="AA180" s="65">
        <f t="shared" si="19"/>
        <v>7277</v>
      </c>
      <c r="AC180" s="19">
        <v>45524</v>
      </c>
      <c r="AD180" s="4">
        <f t="shared" si="26"/>
        <v>12098.65</v>
      </c>
      <c r="AE180" s="1"/>
    </row>
    <row r="181" spans="4:62" hidden="1" x14ac:dyDescent="0.25">
      <c r="D181" s="9" t="s">
        <v>31</v>
      </c>
      <c r="E181" s="86">
        <v>45525</v>
      </c>
      <c r="F181" s="87">
        <f t="shared" si="22"/>
        <v>3361.8</v>
      </c>
      <c r="G181" s="49">
        <v>3361.8</v>
      </c>
      <c r="N181" s="22">
        <f t="shared" si="18"/>
        <v>3361.8</v>
      </c>
      <c r="Q181" s="2">
        <v>45525</v>
      </c>
      <c r="R181" s="55">
        <f t="shared" si="23"/>
        <v>5304</v>
      </c>
      <c r="S181" s="59">
        <v>2660</v>
      </c>
      <c r="T181" s="68">
        <v>0</v>
      </c>
      <c r="U181" s="68">
        <v>2148</v>
      </c>
      <c r="V181" s="68">
        <v>496</v>
      </c>
      <c r="AA181" s="65">
        <f t="shared" si="19"/>
        <v>5304</v>
      </c>
      <c r="AC181" s="19">
        <v>45525</v>
      </c>
      <c r="AD181" s="4">
        <f t="shared" si="26"/>
        <v>8665.7999999999993</v>
      </c>
      <c r="AE181" s="1"/>
    </row>
    <row r="182" spans="4:62" hidden="1" x14ac:dyDescent="0.25">
      <c r="D182" s="9" t="s">
        <v>32</v>
      </c>
      <c r="E182" s="86">
        <v>45526</v>
      </c>
      <c r="F182" s="87">
        <f t="shared" si="22"/>
        <v>3809.3</v>
      </c>
      <c r="G182" s="49">
        <v>3809.3</v>
      </c>
      <c r="N182" s="22">
        <f t="shared" si="18"/>
        <v>3809.3</v>
      </c>
      <c r="Q182" s="2">
        <v>45526</v>
      </c>
      <c r="R182" s="55">
        <f t="shared" si="23"/>
        <v>5408</v>
      </c>
      <c r="S182" s="59">
        <v>1284</v>
      </c>
      <c r="T182" s="68">
        <v>196</v>
      </c>
      <c r="U182" s="68">
        <v>1730</v>
      </c>
      <c r="V182" s="68">
        <v>2198</v>
      </c>
      <c r="AA182" s="65">
        <f t="shared" si="19"/>
        <v>5408</v>
      </c>
      <c r="AC182" s="19">
        <v>45526</v>
      </c>
      <c r="AD182" s="4">
        <f t="shared" si="26"/>
        <v>9217.2999999999993</v>
      </c>
      <c r="AE182" s="1"/>
    </row>
    <row r="183" spans="4:62" hidden="1" x14ac:dyDescent="0.25">
      <c r="D183" s="9" t="s">
        <v>26</v>
      </c>
      <c r="E183" s="86">
        <v>45527</v>
      </c>
      <c r="F183" s="87">
        <f t="shared" si="22"/>
        <v>3616.75</v>
      </c>
      <c r="G183" s="49">
        <v>3616.75</v>
      </c>
      <c r="N183" s="22">
        <f t="shared" si="18"/>
        <v>3616.75</v>
      </c>
      <c r="Q183" s="2">
        <v>45527</v>
      </c>
      <c r="R183" s="55">
        <f t="shared" si="23"/>
        <v>3276</v>
      </c>
      <c r="S183" s="59">
        <v>1588</v>
      </c>
      <c r="T183" s="68">
        <v>416</v>
      </c>
      <c r="U183" s="68">
        <v>754</v>
      </c>
      <c r="V183" s="68">
        <v>518</v>
      </c>
      <c r="AA183" s="65">
        <f t="shared" si="19"/>
        <v>3276</v>
      </c>
      <c r="AC183" s="19">
        <v>45527</v>
      </c>
      <c r="AD183" s="4">
        <f t="shared" si="26"/>
        <v>6892.75</v>
      </c>
      <c r="AE183" s="1"/>
    </row>
    <row r="184" spans="4:62" hidden="1" x14ac:dyDescent="0.25">
      <c r="D184" s="9" t="s">
        <v>27</v>
      </c>
      <c r="E184" s="86">
        <v>45528</v>
      </c>
      <c r="F184" s="87">
        <f t="shared" si="22"/>
        <v>4797.5</v>
      </c>
      <c r="G184" s="49">
        <v>4797.5</v>
      </c>
      <c r="N184" s="22">
        <f t="shared" si="18"/>
        <v>4797.5</v>
      </c>
      <c r="Q184" s="2">
        <v>45528</v>
      </c>
      <c r="R184" s="55">
        <f t="shared" si="23"/>
        <v>8432</v>
      </c>
      <c r="S184" s="59">
        <v>3912</v>
      </c>
      <c r="T184" s="68">
        <v>820</v>
      </c>
      <c r="U184" s="68">
        <v>1730</v>
      </c>
      <c r="V184" s="68">
        <v>1970</v>
      </c>
      <c r="AA184" s="65">
        <f t="shared" si="19"/>
        <v>8432</v>
      </c>
      <c r="AC184" s="19">
        <v>45528</v>
      </c>
      <c r="AD184" s="4">
        <f t="shared" si="26"/>
        <v>13229.5</v>
      </c>
      <c r="AE184" s="1"/>
    </row>
    <row r="185" spans="4:62" hidden="1" x14ac:dyDescent="0.25">
      <c r="D185" s="9" t="s">
        <v>28</v>
      </c>
      <c r="E185" s="86">
        <v>45529</v>
      </c>
      <c r="F185" s="87">
        <f t="shared" si="22"/>
        <v>3534.75</v>
      </c>
      <c r="G185" s="49">
        <v>3534.75</v>
      </c>
      <c r="N185" s="22">
        <f t="shared" ref="N185:N220" si="27">SUM(G185:M185)</f>
        <v>3534.75</v>
      </c>
      <c r="Q185" s="2">
        <v>45529</v>
      </c>
      <c r="R185" s="55">
        <f t="shared" si="23"/>
        <v>9098</v>
      </c>
      <c r="S185" s="59">
        <v>994</v>
      </c>
      <c r="T185" s="68">
        <v>444</v>
      </c>
      <c r="U185" s="68">
        <v>3450</v>
      </c>
      <c r="V185" s="68">
        <v>4210</v>
      </c>
      <c r="AA185" s="65">
        <f t="shared" ref="AA185:AA220" si="28">SUM(S185:Z185)</f>
        <v>9098</v>
      </c>
      <c r="AC185" s="19">
        <v>45529</v>
      </c>
      <c r="AD185" s="4">
        <f t="shared" si="26"/>
        <v>12632.75</v>
      </c>
      <c r="AE185" s="1"/>
    </row>
    <row r="186" spans="4:62" hidden="1" x14ac:dyDescent="0.25">
      <c r="D186" s="9" t="s">
        <v>29</v>
      </c>
      <c r="E186" s="86">
        <v>45530</v>
      </c>
      <c r="F186" s="87">
        <f t="shared" si="22"/>
        <v>5643.85</v>
      </c>
      <c r="G186" s="49">
        <v>5643.85</v>
      </c>
      <c r="N186" s="22">
        <f t="shared" si="27"/>
        <v>5643.85</v>
      </c>
      <c r="Q186" s="2">
        <v>45530</v>
      </c>
      <c r="R186" s="55">
        <f t="shared" si="23"/>
        <v>7252</v>
      </c>
      <c r="S186" s="59">
        <v>3170</v>
      </c>
      <c r="T186" s="68">
        <v>1404</v>
      </c>
      <c r="U186" s="68">
        <v>1202</v>
      </c>
      <c r="V186" s="68">
        <v>1476</v>
      </c>
      <c r="AA186" s="65">
        <f t="shared" si="28"/>
        <v>7252</v>
      </c>
      <c r="AC186" s="19">
        <v>45530</v>
      </c>
      <c r="AD186" s="4">
        <f t="shared" si="26"/>
        <v>12895.85</v>
      </c>
      <c r="AE186" s="1"/>
    </row>
    <row r="187" spans="4:62" hidden="1" x14ac:dyDescent="0.25">
      <c r="D187" s="9" t="s">
        <v>30</v>
      </c>
      <c r="E187" s="86">
        <v>45531</v>
      </c>
      <c r="F187" s="87">
        <f t="shared" si="22"/>
        <v>2721.65</v>
      </c>
      <c r="G187" s="49">
        <v>2721.65</v>
      </c>
      <c r="N187" s="22">
        <f t="shared" si="27"/>
        <v>2721.65</v>
      </c>
      <c r="Q187" s="2">
        <v>45531</v>
      </c>
      <c r="R187" s="55">
        <f t="shared" si="23"/>
        <v>8332</v>
      </c>
      <c r="S187" s="59">
        <v>2433</v>
      </c>
      <c r="T187" s="68">
        <v>196</v>
      </c>
      <c r="U187" s="68">
        <v>2489</v>
      </c>
      <c r="V187" s="68">
        <v>3214</v>
      </c>
      <c r="AA187" s="65">
        <f t="shared" si="28"/>
        <v>8332</v>
      </c>
      <c r="AC187" s="19">
        <v>45531</v>
      </c>
      <c r="AD187" s="4">
        <f t="shared" si="26"/>
        <v>11053.65</v>
      </c>
      <c r="AE187" s="1"/>
    </row>
    <row r="188" spans="4:62" hidden="1" x14ac:dyDescent="0.25">
      <c r="D188" s="9" t="s">
        <v>31</v>
      </c>
      <c r="E188" s="86">
        <v>45532</v>
      </c>
      <c r="F188" s="87">
        <f t="shared" si="22"/>
        <v>3704.7</v>
      </c>
      <c r="G188" s="49">
        <v>3704.7</v>
      </c>
      <c r="N188" s="22">
        <f t="shared" si="27"/>
        <v>3704.7</v>
      </c>
      <c r="Q188" s="2">
        <v>45532</v>
      </c>
      <c r="R188" s="55">
        <v>8000</v>
      </c>
      <c r="S188" s="59">
        <v>1436</v>
      </c>
      <c r="T188" s="68">
        <v>1024</v>
      </c>
      <c r="U188" s="68">
        <v>1282</v>
      </c>
      <c r="V188" s="68">
        <v>444</v>
      </c>
      <c r="AA188" s="65">
        <f t="shared" si="28"/>
        <v>4186</v>
      </c>
      <c r="AC188" s="19">
        <v>45532</v>
      </c>
      <c r="AD188" s="4">
        <f t="shared" si="26"/>
        <v>11704.7</v>
      </c>
      <c r="AE188" s="1"/>
    </row>
    <row r="189" spans="4:62" hidden="1" x14ac:dyDescent="0.25">
      <c r="D189" s="9" t="s">
        <v>32</v>
      </c>
      <c r="E189" s="86">
        <v>45533</v>
      </c>
      <c r="F189" s="87">
        <f t="shared" si="22"/>
        <v>3049.6</v>
      </c>
      <c r="G189" s="49">
        <v>3049.6</v>
      </c>
      <c r="N189" s="22">
        <f t="shared" si="27"/>
        <v>3049.6</v>
      </c>
      <c r="Q189" s="2">
        <v>45533</v>
      </c>
      <c r="R189" s="55">
        <v>8000</v>
      </c>
      <c r="S189" s="59">
        <v>1742</v>
      </c>
      <c r="T189" s="68">
        <v>0</v>
      </c>
      <c r="U189" s="68">
        <v>1302</v>
      </c>
      <c r="V189" s="68">
        <v>644</v>
      </c>
      <c r="AA189" s="65">
        <f t="shared" si="28"/>
        <v>3688</v>
      </c>
      <c r="AC189" s="19">
        <v>45533</v>
      </c>
      <c r="AD189" s="4">
        <f t="shared" si="26"/>
        <v>11049.6</v>
      </c>
      <c r="AE189" s="1"/>
    </row>
    <row r="190" spans="4:62" hidden="1" x14ac:dyDescent="0.25">
      <c r="D190" s="9" t="s">
        <v>26</v>
      </c>
      <c r="E190" s="86">
        <v>45534</v>
      </c>
      <c r="F190" s="87">
        <f t="shared" si="22"/>
        <v>3585</v>
      </c>
      <c r="G190" s="49">
        <v>3585</v>
      </c>
      <c r="N190" s="22">
        <f t="shared" si="27"/>
        <v>3585</v>
      </c>
      <c r="Q190" s="2">
        <v>45534</v>
      </c>
      <c r="R190" s="55">
        <v>8000</v>
      </c>
      <c r="S190" s="59">
        <v>1887</v>
      </c>
      <c r="T190" s="68">
        <v>760</v>
      </c>
      <c r="U190" s="68">
        <v>1512</v>
      </c>
      <c r="V190" s="68">
        <v>2000</v>
      </c>
      <c r="AA190" s="65">
        <f t="shared" si="28"/>
        <v>6159</v>
      </c>
      <c r="AC190" s="19">
        <v>45534</v>
      </c>
      <c r="AD190" s="4">
        <f t="shared" si="26"/>
        <v>11585</v>
      </c>
      <c r="AE190" s="1"/>
    </row>
    <row r="191" spans="4:62" s="13" customFormat="1" hidden="1" x14ac:dyDescent="0.25">
      <c r="D191" s="13" t="s">
        <v>27</v>
      </c>
      <c r="E191" s="88">
        <v>45535</v>
      </c>
      <c r="F191" s="69">
        <f t="shared" si="22"/>
        <v>6990.6</v>
      </c>
      <c r="G191" s="50">
        <v>6990.6</v>
      </c>
      <c r="N191" s="30">
        <f t="shared" si="27"/>
        <v>6990.6</v>
      </c>
      <c r="Q191" s="10">
        <v>45535</v>
      </c>
      <c r="R191" s="57">
        <v>8000</v>
      </c>
      <c r="S191" s="60">
        <v>5265</v>
      </c>
      <c r="T191" s="70">
        <v>630</v>
      </c>
      <c r="U191" s="70">
        <v>1740</v>
      </c>
      <c r="V191" s="70">
        <v>3374</v>
      </c>
      <c r="Y191" s="16"/>
      <c r="Z191" s="16"/>
      <c r="AA191" s="71">
        <f t="shared" si="28"/>
        <v>11009</v>
      </c>
      <c r="AC191" s="20">
        <v>45535</v>
      </c>
      <c r="AD191" s="11">
        <f t="shared" si="26"/>
        <v>14990.6</v>
      </c>
      <c r="AE191" s="16"/>
      <c r="BJ191" s="16"/>
    </row>
    <row r="192" spans="4:62" hidden="1" x14ac:dyDescent="0.25">
      <c r="D192" s="9" t="s">
        <v>28</v>
      </c>
      <c r="E192" s="86">
        <v>45536</v>
      </c>
      <c r="F192" s="87">
        <f t="shared" si="22"/>
        <v>5658.15</v>
      </c>
      <c r="G192" s="49">
        <v>5658.15</v>
      </c>
      <c r="N192" s="22">
        <f t="shared" si="27"/>
        <v>5658.15</v>
      </c>
      <c r="Q192" s="2">
        <v>45536</v>
      </c>
      <c r="R192" s="55">
        <v>8000</v>
      </c>
      <c r="S192" s="59">
        <v>1954.6</v>
      </c>
      <c r="T192" s="68">
        <v>2750</v>
      </c>
      <c r="U192" s="68">
        <v>2774</v>
      </c>
      <c r="V192" s="68">
        <v>1214</v>
      </c>
      <c r="AA192" s="65">
        <f t="shared" si="28"/>
        <v>8692.6</v>
      </c>
      <c r="AC192" s="19">
        <v>45536</v>
      </c>
      <c r="AD192" s="4">
        <f t="shared" si="26"/>
        <v>13658.15</v>
      </c>
      <c r="AE192" s="1"/>
    </row>
    <row r="193" spans="4:31" hidden="1" x14ac:dyDescent="0.25">
      <c r="D193" s="9" t="s">
        <v>29</v>
      </c>
      <c r="E193" s="86">
        <v>45537</v>
      </c>
      <c r="F193" s="87">
        <f t="shared" si="22"/>
        <v>4086.25</v>
      </c>
      <c r="G193" s="49">
        <v>4086.25</v>
      </c>
      <c r="N193" s="22">
        <f t="shared" si="27"/>
        <v>4086.25</v>
      </c>
      <c r="Q193" s="2">
        <v>45537</v>
      </c>
      <c r="R193" s="55">
        <v>8000</v>
      </c>
      <c r="S193" s="59">
        <v>3356</v>
      </c>
      <c r="T193" s="68">
        <v>1304</v>
      </c>
      <c r="U193" s="68">
        <v>1650</v>
      </c>
      <c r="V193" s="68">
        <v>1402</v>
      </c>
      <c r="AA193" s="65">
        <f t="shared" si="28"/>
        <v>7712</v>
      </c>
      <c r="AC193" s="19">
        <v>45537</v>
      </c>
      <c r="AD193" s="4">
        <f t="shared" si="26"/>
        <v>12086.25</v>
      </c>
      <c r="AE193" s="1"/>
    </row>
    <row r="194" spans="4:31" hidden="1" x14ac:dyDescent="0.25">
      <c r="D194" s="9" t="s">
        <v>30</v>
      </c>
      <c r="E194" s="86">
        <v>45538</v>
      </c>
      <c r="F194" s="87">
        <f t="shared" si="22"/>
        <v>3918.5</v>
      </c>
      <c r="G194" s="49">
        <v>3918.5</v>
      </c>
      <c r="N194" s="22">
        <f t="shared" si="27"/>
        <v>3918.5</v>
      </c>
      <c r="Q194" s="2">
        <v>45538</v>
      </c>
      <c r="R194" s="55">
        <v>8000</v>
      </c>
      <c r="S194" s="59">
        <v>4193</v>
      </c>
      <c r="T194" s="68">
        <v>394</v>
      </c>
      <c r="U194" s="68">
        <v>1292</v>
      </c>
      <c r="V194" s="68">
        <v>2530</v>
      </c>
      <c r="AA194" s="65">
        <f t="shared" si="28"/>
        <v>8409</v>
      </c>
      <c r="AC194" s="19">
        <v>45538</v>
      </c>
      <c r="AD194" s="4">
        <f t="shared" si="26"/>
        <v>11918.5</v>
      </c>
      <c r="AE194" s="1"/>
    </row>
    <row r="195" spans="4:31" hidden="1" x14ac:dyDescent="0.25">
      <c r="D195" s="9" t="s">
        <v>31</v>
      </c>
      <c r="E195" s="86">
        <v>45539</v>
      </c>
      <c r="F195" s="87">
        <f t="shared" ref="F195:F220" si="29">N195</f>
        <v>2705.8</v>
      </c>
      <c r="G195" s="49">
        <v>2705.8</v>
      </c>
      <c r="N195" s="22">
        <f t="shared" si="27"/>
        <v>2705.8</v>
      </c>
      <c r="Q195" s="2">
        <v>45539</v>
      </c>
      <c r="R195" s="55">
        <v>8000</v>
      </c>
      <c r="S195" s="59">
        <v>2117</v>
      </c>
      <c r="T195" s="68">
        <v>0</v>
      </c>
      <c r="U195" s="68">
        <v>892</v>
      </c>
      <c r="V195" s="68">
        <v>546</v>
      </c>
      <c r="AA195" s="65">
        <f t="shared" si="28"/>
        <v>3555</v>
      </c>
      <c r="AC195" s="19">
        <v>45539</v>
      </c>
      <c r="AD195" s="4">
        <f t="shared" si="26"/>
        <v>10705.8</v>
      </c>
      <c r="AE195" s="1"/>
    </row>
    <row r="196" spans="4:31" hidden="1" x14ac:dyDescent="0.25">
      <c r="D196" s="9" t="s">
        <v>32</v>
      </c>
      <c r="E196" s="86">
        <v>45540</v>
      </c>
      <c r="F196" s="87">
        <f t="shared" si="29"/>
        <v>4347.3</v>
      </c>
      <c r="G196" s="49">
        <v>4347.3</v>
      </c>
      <c r="N196" s="22">
        <f t="shared" si="27"/>
        <v>4347.3</v>
      </c>
      <c r="Q196" s="2">
        <v>45540</v>
      </c>
      <c r="R196" s="55">
        <v>8000</v>
      </c>
      <c r="S196" s="59">
        <v>2682</v>
      </c>
      <c r="T196" s="68">
        <v>392</v>
      </c>
      <c r="U196" s="68">
        <v>1682</v>
      </c>
      <c r="V196" s="68">
        <v>1994</v>
      </c>
      <c r="AA196" s="65">
        <f t="shared" si="28"/>
        <v>6750</v>
      </c>
      <c r="AC196" s="19">
        <v>45540</v>
      </c>
      <c r="AD196" s="4">
        <f t="shared" si="26"/>
        <v>12347.3</v>
      </c>
      <c r="AE196" s="1"/>
    </row>
    <row r="197" spans="4:31" hidden="1" x14ac:dyDescent="0.25">
      <c r="D197" s="9" t="s">
        <v>26</v>
      </c>
      <c r="E197" s="86">
        <v>45541</v>
      </c>
      <c r="F197" s="87">
        <f t="shared" si="29"/>
        <v>4589.8999999999996</v>
      </c>
      <c r="G197" s="49">
        <v>4589.8999999999996</v>
      </c>
      <c r="N197" s="22">
        <f t="shared" si="27"/>
        <v>4589.8999999999996</v>
      </c>
      <c r="Q197" s="2">
        <v>45541</v>
      </c>
      <c r="R197" s="55">
        <v>8000</v>
      </c>
      <c r="S197" s="59">
        <v>1243</v>
      </c>
      <c r="T197" s="68">
        <v>494</v>
      </c>
      <c r="U197" s="68">
        <v>2014</v>
      </c>
      <c r="V197" s="68">
        <v>1992</v>
      </c>
      <c r="AA197" s="65">
        <f t="shared" si="28"/>
        <v>5743</v>
      </c>
      <c r="AC197" s="19">
        <v>45541</v>
      </c>
      <c r="AD197" s="4">
        <f t="shared" si="26"/>
        <v>12589.9</v>
      </c>
      <c r="AE197" s="1"/>
    </row>
    <row r="198" spans="4:31" hidden="1" x14ac:dyDescent="0.25">
      <c r="D198" s="9" t="s">
        <v>27</v>
      </c>
      <c r="E198" s="86">
        <v>45542</v>
      </c>
      <c r="F198" s="87">
        <f t="shared" si="29"/>
        <v>4638.6499999999996</v>
      </c>
      <c r="G198" s="49">
        <v>4638.6499999999996</v>
      </c>
      <c r="N198" s="22">
        <f t="shared" si="27"/>
        <v>4638.6499999999996</v>
      </c>
      <c r="Q198" s="2">
        <v>45542</v>
      </c>
      <c r="R198" s="55">
        <v>8000</v>
      </c>
      <c r="S198" s="59">
        <v>1508</v>
      </c>
      <c r="T198" s="68">
        <v>394</v>
      </c>
      <c r="U198" s="68">
        <v>1202</v>
      </c>
      <c r="V198" s="68">
        <v>3104</v>
      </c>
      <c r="AA198" s="65">
        <f t="shared" si="28"/>
        <v>6208</v>
      </c>
      <c r="AC198" s="19">
        <v>45542</v>
      </c>
      <c r="AD198" s="4">
        <f t="shared" si="26"/>
        <v>12638.65</v>
      </c>
      <c r="AE198" s="1"/>
    </row>
    <row r="199" spans="4:31" hidden="1" x14ac:dyDescent="0.25">
      <c r="D199" s="9" t="s">
        <v>28</v>
      </c>
      <c r="E199" s="86">
        <v>45543</v>
      </c>
      <c r="F199" s="87">
        <f t="shared" si="29"/>
        <v>4378</v>
      </c>
      <c r="G199" s="49">
        <v>4378</v>
      </c>
      <c r="N199" s="22">
        <f t="shared" si="27"/>
        <v>4378</v>
      </c>
      <c r="Q199" s="2">
        <v>45543</v>
      </c>
      <c r="R199" s="55">
        <v>8000</v>
      </c>
      <c r="S199" s="59">
        <v>2309</v>
      </c>
      <c r="T199" s="68">
        <v>218</v>
      </c>
      <c r="U199" s="68">
        <v>1490</v>
      </c>
      <c r="V199" s="68">
        <v>2472</v>
      </c>
      <c r="AA199" s="65">
        <f t="shared" si="28"/>
        <v>6489</v>
      </c>
      <c r="AC199" s="19">
        <v>45543</v>
      </c>
      <c r="AD199" s="4">
        <f t="shared" si="26"/>
        <v>12378</v>
      </c>
      <c r="AE199" s="1"/>
    </row>
    <row r="200" spans="4:31" hidden="1" x14ac:dyDescent="0.25">
      <c r="D200" s="9" t="s">
        <v>29</v>
      </c>
      <c r="E200" s="86">
        <v>45544</v>
      </c>
      <c r="F200" s="87">
        <f t="shared" si="29"/>
        <v>3363.3</v>
      </c>
      <c r="G200" s="49">
        <v>3363.3</v>
      </c>
      <c r="N200" s="22">
        <f t="shared" si="27"/>
        <v>3363.3</v>
      </c>
      <c r="Q200" s="2">
        <v>45544</v>
      </c>
      <c r="R200" s="55">
        <v>8000</v>
      </c>
      <c r="S200" s="59">
        <v>2129</v>
      </c>
      <c r="T200" s="68">
        <v>228</v>
      </c>
      <c r="U200" s="68">
        <v>1260</v>
      </c>
      <c r="V200" s="68">
        <v>2176</v>
      </c>
      <c r="AA200" s="65">
        <f t="shared" si="28"/>
        <v>5793</v>
      </c>
      <c r="AC200" s="19">
        <v>45544</v>
      </c>
      <c r="AD200" s="4">
        <f t="shared" si="26"/>
        <v>11363.3</v>
      </c>
      <c r="AE200" s="1"/>
    </row>
    <row r="201" spans="4:31" hidden="1" x14ac:dyDescent="0.25">
      <c r="D201" s="9" t="s">
        <v>30</v>
      </c>
      <c r="E201" s="86">
        <v>45545</v>
      </c>
      <c r="F201" s="87">
        <f t="shared" si="29"/>
        <v>3910.35</v>
      </c>
      <c r="G201" s="49">
        <v>3910.35</v>
      </c>
      <c r="N201" s="22">
        <f t="shared" si="27"/>
        <v>3910.35</v>
      </c>
      <c r="Q201" s="2">
        <v>45545</v>
      </c>
      <c r="R201" s="55">
        <v>8000</v>
      </c>
      <c r="S201" s="59">
        <v>1618</v>
      </c>
      <c r="T201" s="68">
        <v>228</v>
      </c>
      <c r="U201" s="68">
        <v>1242</v>
      </c>
      <c r="V201" s="68">
        <v>0</v>
      </c>
      <c r="AA201" s="65">
        <f t="shared" si="28"/>
        <v>3088</v>
      </c>
      <c r="AC201" s="19">
        <v>45545</v>
      </c>
      <c r="AD201" s="4">
        <f t="shared" ref="AD201:AD220" si="30">F201+R201</f>
        <v>11910.35</v>
      </c>
      <c r="AE201" s="1"/>
    </row>
    <row r="202" spans="4:31" hidden="1" x14ac:dyDescent="0.25">
      <c r="D202" s="9" t="s">
        <v>31</v>
      </c>
      <c r="E202" s="86">
        <v>45546</v>
      </c>
      <c r="F202" s="87">
        <f t="shared" si="29"/>
        <v>4562.1499999999996</v>
      </c>
      <c r="G202" s="49">
        <v>4562.1499999999996</v>
      </c>
      <c r="N202" s="22">
        <f t="shared" si="27"/>
        <v>4562.1499999999996</v>
      </c>
      <c r="Q202" s="2">
        <v>45546</v>
      </c>
      <c r="R202" s="55">
        <v>8000</v>
      </c>
      <c r="S202" s="59">
        <v>1496.6</v>
      </c>
      <c r="T202" s="68">
        <v>196</v>
      </c>
      <c r="U202" s="68">
        <v>4430</v>
      </c>
      <c r="V202" s="68">
        <v>1018</v>
      </c>
      <c r="AA202" s="65">
        <f t="shared" si="28"/>
        <v>7140.6</v>
      </c>
      <c r="AC202" s="19">
        <v>45546</v>
      </c>
      <c r="AD202" s="4">
        <f t="shared" si="30"/>
        <v>12562.15</v>
      </c>
      <c r="AE202" s="1"/>
    </row>
    <row r="203" spans="4:31" hidden="1" x14ac:dyDescent="0.25">
      <c r="D203" s="9" t="s">
        <v>32</v>
      </c>
      <c r="E203" s="86">
        <v>45547</v>
      </c>
      <c r="F203" s="87">
        <f t="shared" si="29"/>
        <v>3294</v>
      </c>
      <c r="G203" s="49">
        <v>3294</v>
      </c>
      <c r="N203" s="22">
        <f t="shared" si="27"/>
        <v>3294</v>
      </c>
      <c r="Q203" s="2">
        <v>45547</v>
      </c>
      <c r="R203" s="55">
        <v>8000</v>
      </c>
      <c r="S203" s="59"/>
      <c r="T203" s="68">
        <v>318</v>
      </c>
      <c r="U203" s="68">
        <v>1134</v>
      </c>
      <c r="V203" s="68">
        <v>854</v>
      </c>
      <c r="AA203" s="65">
        <f t="shared" si="28"/>
        <v>2306</v>
      </c>
      <c r="AC203" s="19">
        <v>45547</v>
      </c>
      <c r="AD203" s="4">
        <f t="shared" si="30"/>
        <v>11294</v>
      </c>
      <c r="AE203" s="1"/>
    </row>
    <row r="204" spans="4:31" hidden="1" x14ac:dyDescent="0.25">
      <c r="D204" s="9" t="s">
        <v>26</v>
      </c>
      <c r="E204" s="86">
        <v>45548</v>
      </c>
      <c r="F204" s="87">
        <f t="shared" si="29"/>
        <v>4903.8</v>
      </c>
      <c r="G204" s="49">
        <v>4903.8</v>
      </c>
      <c r="N204" s="22">
        <f t="shared" si="27"/>
        <v>4903.8</v>
      </c>
      <c r="Q204" s="2">
        <v>45548</v>
      </c>
      <c r="R204" s="55">
        <v>8000</v>
      </c>
      <c r="S204" s="59">
        <v>2036</v>
      </c>
      <c r="T204" s="68">
        <v>0</v>
      </c>
      <c r="U204" s="68">
        <v>536</v>
      </c>
      <c r="V204" s="68">
        <v>1012</v>
      </c>
      <c r="AA204" s="65">
        <f t="shared" si="28"/>
        <v>3584</v>
      </c>
      <c r="AC204" s="19">
        <v>45548</v>
      </c>
      <c r="AD204" s="4">
        <f t="shared" si="30"/>
        <v>12903.8</v>
      </c>
      <c r="AE204" s="1"/>
    </row>
    <row r="205" spans="4:31" hidden="1" x14ac:dyDescent="0.25">
      <c r="D205" s="9" t="s">
        <v>27</v>
      </c>
      <c r="E205" s="86">
        <v>45549</v>
      </c>
      <c r="F205" s="87">
        <f t="shared" si="29"/>
        <v>4011.2</v>
      </c>
      <c r="G205" s="49">
        <v>4011.2</v>
      </c>
      <c r="N205" s="22">
        <f t="shared" si="27"/>
        <v>4011.2</v>
      </c>
      <c r="Q205" s="2">
        <v>45549</v>
      </c>
      <c r="R205" s="55">
        <v>8000</v>
      </c>
      <c r="S205" s="59">
        <v>590</v>
      </c>
      <c r="T205" s="68">
        <v>0</v>
      </c>
      <c r="U205" s="68">
        <v>1352</v>
      </c>
      <c r="V205" s="68">
        <v>1406</v>
      </c>
      <c r="AA205" s="65">
        <f t="shared" si="28"/>
        <v>3348</v>
      </c>
      <c r="AC205" s="19">
        <v>45549</v>
      </c>
      <c r="AD205" s="4">
        <f t="shared" si="30"/>
        <v>12011.2</v>
      </c>
      <c r="AE205" s="1"/>
    </row>
    <row r="206" spans="4:31" hidden="1" x14ac:dyDescent="0.25">
      <c r="D206" s="9" t="s">
        <v>28</v>
      </c>
      <c r="E206" s="86">
        <v>45550</v>
      </c>
      <c r="F206" s="87">
        <f t="shared" si="29"/>
        <v>4000.75</v>
      </c>
      <c r="G206" s="49">
        <v>4000.75</v>
      </c>
      <c r="N206" s="22">
        <f t="shared" si="27"/>
        <v>4000.75</v>
      </c>
      <c r="Q206" s="2">
        <v>45550</v>
      </c>
      <c r="R206" s="55">
        <v>8000</v>
      </c>
      <c r="S206" s="59">
        <v>4688</v>
      </c>
      <c r="T206" s="68">
        <v>1022</v>
      </c>
      <c r="U206" s="68">
        <v>2324</v>
      </c>
      <c r="V206" s="68">
        <v>1436</v>
      </c>
      <c r="AA206" s="65">
        <f t="shared" si="28"/>
        <v>9470</v>
      </c>
      <c r="AC206" s="19">
        <v>45550</v>
      </c>
      <c r="AD206" s="4">
        <f t="shared" si="30"/>
        <v>12000.75</v>
      </c>
      <c r="AE206" s="1"/>
    </row>
    <row r="207" spans="4:31" hidden="1" x14ac:dyDescent="0.25">
      <c r="D207" s="9" t="s">
        <v>29</v>
      </c>
      <c r="E207" s="86">
        <v>45551</v>
      </c>
      <c r="F207" s="87">
        <f t="shared" si="29"/>
        <v>6903.6</v>
      </c>
      <c r="G207" s="49">
        <v>6903.6</v>
      </c>
      <c r="N207" s="22">
        <f t="shared" si="27"/>
        <v>6903.6</v>
      </c>
      <c r="Q207" s="2">
        <v>45551</v>
      </c>
      <c r="R207" s="55">
        <v>8000</v>
      </c>
      <c r="S207" s="59">
        <v>3518</v>
      </c>
      <c r="T207" s="68">
        <v>592</v>
      </c>
      <c r="U207" s="68">
        <v>1708</v>
      </c>
      <c r="V207" s="68">
        <v>932</v>
      </c>
      <c r="AA207" s="65">
        <f t="shared" si="28"/>
        <v>6750</v>
      </c>
      <c r="AC207" s="19">
        <v>45551</v>
      </c>
      <c r="AD207" s="4">
        <f t="shared" si="30"/>
        <v>14903.6</v>
      </c>
      <c r="AE207" s="1"/>
    </row>
    <row r="208" spans="4:31" hidden="1" x14ac:dyDescent="0.25">
      <c r="D208" s="9" t="s">
        <v>30</v>
      </c>
      <c r="E208" s="86">
        <v>45552</v>
      </c>
      <c r="F208" s="87">
        <f t="shared" si="29"/>
        <v>5212</v>
      </c>
      <c r="G208" s="49">
        <v>5212</v>
      </c>
      <c r="N208" s="22">
        <f t="shared" si="27"/>
        <v>5212</v>
      </c>
      <c r="Q208" s="2">
        <v>45552</v>
      </c>
      <c r="R208" s="55">
        <v>8000</v>
      </c>
      <c r="S208" s="59">
        <v>1965</v>
      </c>
      <c r="T208" s="68">
        <v>786</v>
      </c>
      <c r="U208" s="68">
        <v>1448</v>
      </c>
      <c r="V208" s="68">
        <v>466</v>
      </c>
      <c r="AA208" s="65">
        <f t="shared" si="28"/>
        <v>4665</v>
      </c>
      <c r="AC208" s="19">
        <v>45552</v>
      </c>
      <c r="AD208" s="4">
        <f t="shared" si="30"/>
        <v>13212</v>
      </c>
      <c r="AE208" s="1"/>
    </row>
    <row r="209" spans="4:62" hidden="1" x14ac:dyDescent="0.25">
      <c r="D209" s="9" t="s">
        <v>31</v>
      </c>
      <c r="E209" s="86">
        <v>45553</v>
      </c>
      <c r="F209" s="87">
        <f t="shared" si="29"/>
        <v>4077.4</v>
      </c>
      <c r="G209" s="49">
        <v>4077.4</v>
      </c>
      <c r="N209" s="22">
        <f t="shared" si="27"/>
        <v>4077.4</v>
      </c>
      <c r="Q209" s="2">
        <v>45553</v>
      </c>
      <c r="R209" s="55">
        <v>8000</v>
      </c>
      <c r="S209" s="59">
        <v>3556</v>
      </c>
      <c r="T209" s="68"/>
      <c r="U209" s="68">
        <v>1004</v>
      </c>
      <c r="V209" s="68">
        <v>590</v>
      </c>
      <c r="AA209" s="65">
        <f t="shared" si="28"/>
        <v>5150</v>
      </c>
      <c r="AC209" s="19">
        <v>45553</v>
      </c>
      <c r="AD209" s="4">
        <f t="shared" si="30"/>
        <v>12077.4</v>
      </c>
      <c r="AE209" s="1"/>
    </row>
    <row r="210" spans="4:62" hidden="1" x14ac:dyDescent="0.25">
      <c r="D210" s="9" t="s">
        <v>32</v>
      </c>
      <c r="E210" s="86">
        <v>45554</v>
      </c>
      <c r="F210" s="87">
        <f t="shared" si="29"/>
        <v>3203.15</v>
      </c>
      <c r="G210" s="49">
        <v>3203.15</v>
      </c>
      <c r="N210" s="22">
        <f t="shared" si="27"/>
        <v>3203.15</v>
      </c>
      <c r="Q210" s="2">
        <v>45554</v>
      </c>
      <c r="R210" s="55">
        <v>8000</v>
      </c>
      <c r="S210" s="59">
        <v>3124</v>
      </c>
      <c r="T210" s="68">
        <v>788</v>
      </c>
      <c r="U210" s="68">
        <v>1928</v>
      </c>
      <c r="V210" s="68">
        <v>0</v>
      </c>
      <c r="AA210" s="65">
        <f t="shared" si="28"/>
        <v>5840</v>
      </c>
      <c r="AC210" s="19">
        <v>45554</v>
      </c>
      <c r="AD210" s="4">
        <f t="shared" si="30"/>
        <v>11203.15</v>
      </c>
      <c r="AE210" s="1"/>
    </row>
    <row r="211" spans="4:62" hidden="1" x14ac:dyDescent="0.25">
      <c r="D211" s="9" t="s">
        <v>26</v>
      </c>
      <c r="E211" s="86">
        <v>45555</v>
      </c>
      <c r="F211" s="87">
        <f t="shared" si="29"/>
        <v>6282</v>
      </c>
      <c r="G211" s="49">
        <v>6282</v>
      </c>
      <c r="N211" s="22">
        <f t="shared" si="27"/>
        <v>6282</v>
      </c>
      <c r="Q211" s="2">
        <v>45555</v>
      </c>
      <c r="R211" s="55">
        <v>8000</v>
      </c>
      <c r="S211" s="59">
        <v>1722</v>
      </c>
      <c r="T211" s="68">
        <v>0</v>
      </c>
      <c r="U211" s="68">
        <v>912</v>
      </c>
      <c r="V211" s="68">
        <v>684</v>
      </c>
      <c r="AA211" s="65">
        <f t="shared" si="28"/>
        <v>3318</v>
      </c>
      <c r="AC211" s="19">
        <v>45555</v>
      </c>
      <c r="AD211" s="4">
        <f t="shared" si="30"/>
        <v>14282</v>
      </c>
      <c r="AE211" s="1"/>
    </row>
    <row r="212" spans="4:62" hidden="1" x14ac:dyDescent="0.25">
      <c r="D212" s="9" t="s">
        <v>27</v>
      </c>
      <c r="E212" s="86">
        <v>45556</v>
      </c>
      <c r="F212" s="87">
        <f t="shared" si="29"/>
        <v>5007.1499999999996</v>
      </c>
      <c r="G212" s="49">
        <v>5007.1499999999996</v>
      </c>
      <c r="N212" s="22">
        <f t="shared" si="27"/>
        <v>5007.1499999999996</v>
      </c>
      <c r="Q212" s="2">
        <v>45556</v>
      </c>
      <c r="R212" s="55">
        <v>8000</v>
      </c>
      <c r="S212" s="59"/>
      <c r="T212" s="68"/>
      <c r="U212" s="68"/>
      <c r="V212" s="68"/>
      <c r="AA212" s="65">
        <f t="shared" si="28"/>
        <v>0</v>
      </c>
      <c r="AC212" s="19">
        <v>45556</v>
      </c>
      <c r="AD212" s="4">
        <f t="shared" si="30"/>
        <v>13007.15</v>
      </c>
      <c r="AE212" s="1"/>
    </row>
    <row r="213" spans="4:62" hidden="1" x14ac:dyDescent="0.25">
      <c r="D213" s="9" t="s">
        <v>28</v>
      </c>
      <c r="E213" s="86">
        <v>45557</v>
      </c>
      <c r="F213" s="87">
        <f t="shared" si="29"/>
        <v>6830.1</v>
      </c>
      <c r="G213" s="49">
        <v>6830.1</v>
      </c>
      <c r="N213" s="22">
        <f t="shared" si="27"/>
        <v>6830.1</v>
      </c>
      <c r="Q213" s="2">
        <v>45557</v>
      </c>
      <c r="R213" s="55">
        <v>8000</v>
      </c>
      <c r="S213" s="59"/>
      <c r="T213" s="68"/>
      <c r="U213" s="68"/>
      <c r="V213" s="68"/>
      <c r="AA213" s="65">
        <f t="shared" si="28"/>
        <v>0</v>
      </c>
      <c r="AC213" s="19">
        <v>45557</v>
      </c>
      <c r="AD213" s="4">
        <f t="shared" si="30"/>
        <v>14830.1</v>
      </c>
      <c r="AE213" s="1"/>
    </row>
    <row r="214" spans="4:62" hidden="1" x14ac:dyDescent="0.25">
      <c r="D214" s="9" t="s">
        <v>29</v>
      </c>
      <c r="E214" s="86">
        <v>45558</v>
      </c>
      <c r="F214" s="87">
        <f t="shared" si="29"/>
        <v>4194.8500000000004</v>
      </c>
      <c r="G214" s="49">
        <v>4194.8500000000004</v>
      </c>
      <c r="N214" s="22">
        <f t="shared" si="27"/>
        <v>4194.8500000000004</v>
      </c>
      <c r="Q214" s="2">
        <v>45558</v>
      </c>
      <c r="R214" s="55">
        <v>8000</v>
      </c>
      <c r="S214" s="59"/>
      <c r="T214" s="68"/>
      <c r="U214" s="68"/>
      <c r="V214" s="68"/>
      <c r="AA214" s="65">
        <f t="shared" si="28"/>
        <v>0</v>
      </c>
      <c r="AC214" s="19">
        <v>45558</v>
      </c>
      <c r="AD214" s="4">
        <f t="shared" si="30"/>
        <v>12194.85</v>
      </c>
      <c r="AE214" s="1"/>
    </row>
    <row r="215" spans="4:62" hidden="1" x14ac:dyDescent="0.25">
      <c r="D215" s="9" t="s">
        <v>30</v>
      </c>
      <c r="E215" s="86">
        <v>45559</v>
      </c>
      <c r="F215" s="87">
        <f t="shared" si="29"/>
        <v>3654.15</v>
      </c>
      <c r="G215" s="49">
        <v>3654.15</v>
      </c>
      <c r="N215" s="22">
        <f t="shared" si="27"/>
        <v>3654.15</v>
      </c>
      <c r="Q215" s="2">
        <v>45559</v>
      </c>
      <c r="R215" s="55">
        <v>8000</v>
      </c>
      <c r="S215" s="59"/>
      <c r="T215" s="68"/>
      <c r="U215" s="68"/>
      <c r="V215" s="68"/>
      <c r="AA215" s="65">
        <f t="shared" si="28"/>
        <v>0</v>
      </c>
      <c r="AC215" s="19">
        <v>45559</v>
      </c>
      <c r="AD215" s="4">
        <f t="shared" si="30"/>
        <v>11654.15</v>
      </c>
      <c r="AE215" s="1"/>
    </row>
    <row r="216" spans="4:62" hidden="1" x14ac:dyDescent="0.25">
      <c r="D216" s="9" t="s">
        <v>31</v>
      </c>
      <c r="E216" s="86">
        <v>45560</v>
      </c>
      <c r="F216" s="87">
        <f t="shared" si="29"/>
        <v>4575.6499999999996</v>
      </c>
      <c r="G216" s="49">
        <v>4575.6499999999996</v>
      </c>
      <c r="N216" s="22">
        <f t="shared" si="27"/>
        <v>4575.6499999999996</v>
      </c>
      <c r="Q216" s="2">
        <v>45560</v>
      </c>
      <c r="R216" s="55">
        <v>8000</v>
      </c>
      <c r="S216" s="59">
        <v>2000</v>
      </c>
      <c r="T216" s="68">
        <v>1100</v>
      </c>
      <c r="U216" s="68">
        <v>100</v>
      </c>
      <c r="V216" s="68"/>
      <c r="AA216" s="65">
        <f t="shared" si="28"/>
        <v>3200</v>
      </c>
      <c r="AC216" s="19">
        <v>45560</v>
      </c>
      <c r="AD216" s="4">
        <f t="shared" si="30"/>
        <v>12575.65</v>
      </c>
      <c r="AE216" s="1"/>
    </row>
    <row r="217" spans="4:62" hidden="1" x14ac:dyDescent="0.25">
      <c r="D217" s="9" t="s">
        <v>32</v>
      </c>
      <c r="E217" s="86">
        <v>45561</v>
      </c>
      <c r="F217" s="87">
        <f t="shared" si="29"/>
        <v>4703.45</v>
      </c>
      <c r="G217" s="49">
        <v>4703.45</v>
      </c>
      <c r="N217" s="22">
        <f t="shared" si="27"/>
        <v>4703.45</v>
      </c>
      <c r="Q217" s="2">
        <v>45561</v>
      </c>
      <c r="R217" s="55">
        <v>8000</v>
      </c>
      <c r="S217" s="59"/>
      <c r="T217" s="68"/>
      <c r="U217" s="68"/>
      <c r="V217" s="68"/>
      <c r="AA217" s="65">
        <f t="shared" si="28"/>
        <v>0</v>
      </c>
      <c r="AC217" s="19">
        <v>45561</v>
      </c>
      <c r="AD217" s="4">
        <f t="shared" si="30"/>
        <v>12703.45</v>
      </c>
      <c r="AE217" s="1"/>
    </row>
    <row r="218" spans="4:62" hidden="1" x14ac:dyDescent="0.25">
      <c r="D218" s="9" t="s">
        <v>26</v>
      </c>
      <c r="E218" s="86">
        <v>45562</v>
      </c>
      <c r="F218" s="87">
        <f t="shared" si="29"/>
        <v>5307.1</v>
      </c>
      <c r="G218" s="49">
        <v>5307.1</v>
      </c>
      <c r="N218" s="22">
        <f t="shared" si="27"/>
        <v>5307.1</v>
      </c>
      <c r="Q218" s="2">
        <v>45562</v>
      </c>
      <c r="R218" s="55">
        <v>8000</v>
      </c>
      <c r="S218" s="59"/>
      <c r="T218" s="68"/>
      <c r="U218" s="68"/>
      <c r="V218" s="68"/>
      <c r="AA218" s="65">
        <f t="shared" si="28"/>
        <v>0</v>
      </c>
      <c r="AC218" s="19">
        <v>45562</v>
      </c>
      <c r="AD218" s="4">
        <f t="shared" si="30"/>
        <v>13307.1</v>
      </c>
      <c r="AE218" s="1"/>
    </row>
    <row r="219" spans="4:62" hidden="1" x14ac:dyDescent="0.25">
      <c r="D219" s="9" t="s">
        <v>27</v>
      </c>
      <c r="E219" s="86">
        <v>45563</v>
      </c>
      <c r="F219" s="87">
        <f t="shared" si="29"/>
        <v>5046.55</v>
      </c>
      <c r="G219" s="49">
        <v>5046.55</v>
      </c>
      <c r="N219" s="22">
        <f>SUM(G219:M219)</f>
        <v>5046.55</v>
      </c>
      <c r="Q219" s="2">
        <v>45563</v>
      </c>
      <c r="R219" s="55">
        <v>8000</v>
      </c>
      <c r="S219" s="59"/>
      <c r="T219" s="68"/>
      <c r="U219" s="68"/>
      <c r="V219" s="68"/>
      <c r="AA219" s="65">
        <f t="shared" si="28"/>
        <v>0</v>
      </c>
      <c r="AC219" s="19">
        <v>45563</v>
      </c>
      <c r="AD219" s="4">
        <f t="shared" si="30"/>
        <v>13046.55</v>
      </c>
      <c r="AE219" s="1"/>
    </row>
    <row r="220" spans="4:62" hidden="1" x14ac:dyDescent="0.25">
      <c r="D220" s="9" t="s">
        <v>28</v>
      </c>
      <c r="E220" s="86">
        <v>45564</v>
      </c>
      <c r="F220" s="87">
        <f t="shared" si="29"/>
        <v>4315.5</v>
      </c>
      <c r="G220" s="49">
        <v>4315.5</v>
      </c>
      <c r="N220" s="22">
        <f t="shared" si="27"/>
        <v>4315.5</v>
      </c>
      <c r="Q220" s="2">
        <v>45564</v>
      </c>
      <c r="R220" s="55">
        <v>8000</v>
      </c>
      <c r="S220" s="59"/>
      <c r="T220" s="68"/>
      <c r="U220" s="68"/>
      <c r="V220" s="68"/>
      <c r="AA220" s="65">
        <f t="shared" si="28"/>
        <v>0</v>
      </c>
      <c r="AC220" s="19">
        <v>45564</v>
      </c>
      <c r="AD220" s="4">
        <f t="shared" si="30"/>
        <v>12315.5</v>
      </c>
      <c r="AE220" s="1"/>
    </row>
    <row r="221" spans="4:62" s="13" customFormat="1" hidden="1" x14ac:dyDescent="0.25">
      <c r="E221" s="88"/>
      <c r="F221" s="69"/>
      <c r="G221" s="50"/>
      <c r="N221" s="30"/>
      <c r="Q221" s="10"/>
      <c r="R221" s="57"/>
      <c r="S221" s="60"/>
      <c r="T221" s="70"/>
      <c r="U221" s="70"/>
      <c r="V221" s="70"/>
      <c r="Y221" s="16"/>
      <c r="Z221" s="16"/>
      <c r="AA221" s="71"/>
      <c r="AC221" s="20"/>
      <c r="AD221" s="11"/>
      <c r="AE221" s="16"/>
      <c r="BJ221" s="16"/>
    </row>
    <row r="222" spans="4:62" x14ac:dyDescent="0.25">
      <c r="D222" s="9" t="s">
        <v>30</v>
      </c>
      <c r="E222" s="90">
        <v>45566</v>
      </c>
      <c r="F222" s="87">
        <v>3500</v>
      </c>
      <c r="G222" s="84"/>
      <c r="N222" s="22"/>
      <c r="Q222" s="2">
        <v>45566</v>
      </c>
      <c r="R222" s="55">
        <f>AA222</f>
        <v>0</v>
      </c>
      <c r="S222" s="59">
        <v>3094</v>
      </c>
      <c r="T222" s="68">
        <v>622</v>
      </c>
      <c r="U222" s="68">
        <v>1928</v>
      </c>
      <c r="V222" s="68">
        <v>198</v>
      </c>
      <c r="AA222" s="65"/>
      <c r="AC222" s="19">
        <v>45566</v>
      </c>
      <c r="AD222" s="4">
        <f t="shared" ref="AD222:AD253" si="31">F222+R222</f>
        <v>3500</v>
      </c>
      <c r="AE222" s="1"/>
    </row>
    <row r="223" spans="4:62" x14ac:dyDescent="0.25">
      <c r="D223" s="9" t="s">
        <v>31</v>
      </c>
      <c r="E223" s="90">
        <v>45567</v>
      </c>
      <c r="F223" s="87">
        <v>3500</v>
      </c>
      <c r="G223" s="84"/>
      <c r="N223" s="22"/>
      <c r="Q223" s="2">
        <v>45567</v>
      </c>
      <c r="R223" s="55">
        <f t="shared" ref="R223:R237" si="32">AA223</f>
        <v>0</v>
      </c>
      <c r="S223" s="59">
        <v>1510</v>
      </c>
      <c r="T223" s="68">
        <v>196</v>
      </c>
      <c r="U223" s="68">
        <v>2780</v>
      </c>
      <c r="V223" s="68">
        <v>448</v>
      </c>
      <c r="AA223" s="65"/>
      <c r="AC223" s="19">
        <v>45567</v>
      </c>
      <c r="AD223" s="4">
        <f t="shared" si="31"/>
        <v>3500</v>
      </c>
      <c r="AE223" s="1"/>
    </row>
    <row r="224" spans="4:62" x14ac:dyDescent="0.25">
      <c r="D224" s="9" t="s">
        <v>32</v>
      </c>
      <c r="E224" s="90">
        <v>45568</v>
      </c>
      <c r="F224" s="87">
        <v>3500</v>
      </c>
      <c r="G224" s="84"/>
      <c r="N224" s="22"/>
      <c r="Q224" s="2">
        <v>45568</v>
      </c>
      <c r="R224" s="55">
        <f t="shared" si="32"/>
        <v>0</v>
      </c>
      <c r="S224" s="59">
        <v>2513.6999999999998</v>
      </c>
      <c r="T224" s="68">
        <v>1058</v>
      </c>
      <c r="U224" s="68">
        <v>2258</v>
      </c>
      <c r="V224" s="68">
        <v>1339</v>
      </c>
      <c r="AA224" s="65"/>
      <c r="AC224" s="19">
        <v>45568</v>
      </c>
      <c r="AD224" s="4">
        <f t="shared" si="31"/>
        <v>3500</v>
      </c>
      <c r="AE224" s="1"/>
    </row>
    <row r="225" spans="4:31" x14ac:dyDescent="0.25">
      <c r="D225" s="9" t="s">
        <v>26</v>
      </c>
      <c r="E225" s="90">
        <v>45569</v>
      </c>
      <c r="F225" s="87">
        <v>3500</v>
      </c>
      <c r="G225" s="84"/>
      <c r="N225" s="22"/>
      <c r="Q225" s="2">
        <v>45569</v>
      </c>
      <c r="R225" s="55">
        <f t="shared" si="32"/>
        <v>0</v>
      </c>
      <c r="S225" s="59">
        <v>1207</v>
      </c>
      <c r="T225" s="68">
        <v>0</v>
      </c>
      <c r="U225" s="68">
        <v>2016</v>
      </c>
      <c r="V225" s="68">
        <v>434</v>
      </c>
      <c r="AA225" s="65"/>
      <c r="AC225" s="19">
        <v>45569</v>
      </c>
      <c r="AD225" s="4">
        <f t="shared" si="31"/>
        <v>3500</v>
      </c>
      <c r="AE225" s="1"/>
    </row>
    <row r="226" spans="4:31" x14ac:dyDescent="0.25">
      <c r="D226" s="9" t="s">
        <v>27</v>
      </c>
      <c r="E226" s="90">
        <v>45570</v>
      </c>
      <c r="F226" s="87">
        <v>3500</v>
      </c>
      <c r="G226" s="84"/>
      <c r="N226" s="22"/>
      <c r="Q226" s="2">
        <v>45570</v>
      </c>
      <c r="R226" s="55">
        <f t="shared" si="32"/>
        <v>0</v>
      </c>
      <c r="S226" s="59">
        <v>2016</v>
      </c>
      <c r="T226" s="68">
        <v>1378</v>
      </c>
      <c r="U226" s="68">
        <v>5005</v>
      </c>
      <c r="V226" s="68">
        <v>764</v>
      </c>
      <c r="AA226" s="65"/>
      <c r="AC226" s="19">
        <v>45570</v>
      </c>
      <c r="AD226" s="4">
        <f t="shared" si="31"/>
        <v>3500</v>
      </c>
      <c r="AE226" s="1"/>
    </row>
    <row r="227" spans="4:31" x14ac:dyDescent="0.25">
      <c r="D227" s="9" t="s">
        <v>28</v>
      </c>
      <c r="E227" s="90">
        <v>45571</v>
      </c>
      <c r="F227" s="87">
        <v>3500</v>
      </c>
      <c r="G227" s="84"/>
      <c r="N227" s="22"/>
      <c r="Q227" s="2">
        <v>45571</v>
      </c>
      <c r="R227" s="55">
        <f t="shared" si="32"/>
        <v>0</v>
      </c>
      <c r="S227" s="59">
        <v>1334</v>
      </c>
      <c r="T227" s="68">
        <v>392</v>
      </c>
      <c r="U227" s="68">
        <v>2695</v>
      </c>
      <c r="V227" s="68">
        <v>1542</v>
      </c>
      <c r="AA227" s="65"/>
      <c r="AC227" s="19">
        <v>45571</v>
      </c>
      <c r="AD227" s="4">
        <f t="shared" si="31"/>
        <v>3500</v>
      </c>
      <c r="AE227" s="1"/>
    </row>
    <row r="228" spans="4:31" x14ac:dyDescent="0.25">
      <c r="D228" s="9" t="s">
        <v>29</v>
      </c>
      <c r="E228" s="90">
        <v>45572</v>
      </c>
      <c r="F228" s="87">
        <v>3500</v>
      </c>
      <c r="G228" s="84"/>
      <c r="N228" s="22"/>
      <c r="Q228" s="2">
        <v>45572</v>
      </c>
      <c r="R228" s="55">
        <f t="shared" si="32"/>
        <v>0</v>
      </c>
      <c r="S228" s="59">
        <v>939</v>
      </c>
      <c r="T228" s="68">
        <v>196</v>
      </c>
      <c r="U228" s="68">
        <v>2228</v>
      </c>
      <c r="V228" s="68">
        <v>588</v>
      </c>
      <c r="AA228" s="65"/>
      <c r="AC228" s="19">
        <v>45572</v>
      </c>
      <c r="AD228" s="4">
        <f t="shared" si="31"/>
        <v>3500</v>
      </c>
      <c r="AE228" s="1"/>
    </row>
    <row r="229" spans="4:31" x14ac:dyDescent="0.25">
      <c r="D229" s="9" t="s">
        <v>30</v>
      </c>
      <c r="E229" s="90">
        <v>45573</v>
      </c>
      <c r="F229" s="87">
        <v>3500</v>
      </c>
      <c r="G229" s="84"/>
      <c r="N229" s="22"/>
      <c r="Q229" s="2">
        <v>45573</v>
      </c>
      <c r="R229" s="55">
        <f t="shared" si="32"/>
        <v>0</v>
      </c>
      <c r="S229" s="59">
        <v>1596</v>
      </c>
      <c r="T229" s="68">
        <v>0</v>
      </c>
      <c r="U229" s="68">
        <v>1104</v>
      </c>
      <c r="V229" s="68">
        <v>198</v>
      </c>
      <c r="AA229" s="65"/>
      <c r="AC229" s="19">
        <v>45573</v>
      </c>
      <c r="AD229" s="4">
        <f t="shared" si="31"/>
        <v>3500</v>
      </c>
      <c r="AE229" s="1"/>
    </row>
    <row r="230" spans="4:31" x14ac:dyDescent="0.25">
      <c r="D230" s="9" t="s">
        <v>31</v>
      </c>
      <c r="E230" s="90">
        <v>45574</v>
      </c>
      <c r="F230" s="87">
        <v>3500</v>
      </c>
      <c r="G230" s="84"/>
      <c r="N230" s="22"/>
      <c r="Q230" s="2">
        <v>45574</v>
      </c>
      <c r="R230" s="55">
        <f t="shared" si="32"/>
        <v>0</v>
      </c>
      <c r="S230" s="59">
        <v>3965.8</v>
      </c>
      <c r="T230" s="68">
        <v>198</v>
      </c>
      <c r="U230" s="68">
        <v>3732</v>
      </c>
      <c r="V230" s="68">
        <v>786</v>
      </c>
      <c r="AA230" s="65"/>
      <c r="AC230" s="19">
        <v>45574</v>
      </c>
      <c r="AD230" s="4">
        <f t="shared" si="31"/>
        <v>3500</v>
      </c>
      <c r="AE230" s="1"/>
    </row>
    <row r="231" spans="4:31" x14ac:dyDescent="0.25">
      <c r="D231" s="9" t="s">
        <v>32</v>
      </c>
      <c r="E231" s="90">
        <v>45575</v>
      </c>
      <c r="F231" s="87">
        <v>3500</v>
      </c>
      <c r="G231" s="84"/>
      <c r="N231" s="22"/>
      <c r="Q231" s="2">
        <v>45575</v>
      </c>
      <c r="R231" s="55">
        <f t="shared" si="32"/>
        <v>0</v>
      </c>
      <c r="S231" s="59">
        <v>1519</v>
      </c>
      <c r="T231" s="68">
        <v>0</v>
      </c>
      <c r="U231" s="68">
        <v>2256</v>
      </c>
      <c r="V231" s="68">
        <v>298</v>
      </c>
      <c r="AA231" s="65"/>
      <c r="AC231" s="19">
        <v>45575</v>
      </c>
      <c r="AD231" s="4">
        <f t="shared" si="31"/>
        <v>3500</v>
      </c>
      <c r="AE231" s="1"/>
    </row>
    <row r="232" spans="4:31" x14ac:dyDescent="0.25">
      <c r="D232" s="9" t="s">
        <v>26</v>
      </c>
      <c r="E232" s="90">
        <v>45576</v>
      </c>
      <c r="F232" s="87">
        <v>3500</v>
      </c>
      <c r="G232" s="84"/>
      <c r="N232" s="22"/>
      <c r="Q232" s="2">
        <v>45576</v>
      </c>
      <c r="R232" s="55">
        <f t="shared" si="32"/>
        <v>0</v>
      </c>
      <c r="S232" s="59">
        <v>1015</v>
      </c>
      <c r="T232" s="68">
        <v>1312</v>
      </c>
      <c r="U232" s="68">
        <v>1460</v>
      </c>
      <c r="V232" s="68">
        <v>1160</v>
      </c>
      <c r="AA232" s="65"/>
      <c r="AC232" s="19">
        <v>45576</v>
      </c>
      <c r="AD232" s="4">
        <f t="shared" si="31"/>
        <v>3500</v>
      </c>
      <c r="AE232" s="1"/>
    </row>
    <row r="233" spans="4:31" x14ac:dyDescent="0.25">
      <c r="D233" s="9" t="s">
        <v>27</v>
      </c>
      <c r="E233" s="90">
        <v>45577</v>
      </c>
      <c r="F233" s="87">
        <v>3500</v>
      </c>
      <c r="G233" s="84"/>
      <c r="N233" s="22"/>
      <c r="Q233" s="2">
        <v>45577</v>
      </c>
      <c r="R233" s="55">
        <f t="shared" si="32"/>
        <v>0</v>
      </c>
      <c r="S233" s="59">
        <v>621.9</v>
      </c>
      <c r="T233" s="68">
        <v>2255.9</v>
      </c>
      <c r="U233" s="68">
        <v>2944</v>
      </c>
      <c r="V233" s="68">
        <v>2582</v>
      </c>
      <c r="AA233" s="65"/>
      <c r="AC233" s="19">
        <v>45577</v>
      </c>
      <c r="AD233" s="4">
        <f t="shared" si="31"/>
        <v>3500</v>
      </c>
      <c r="AE233" s="1"/>
    </row>
    <row r="234" spans="4:31" x14ac:dyDescent="0.25">
      <c r="D234" s="9" t="s">
        <v>28</v>
      </c>
      <c r="E234" s="90">
        <v>45578</v>
      </c>
      <c r="F234" s="87">
        <v>3500</v>
      </c>
      <c r="G234" s="84"/>
      <c r="N234" s="22"/>
      <c r="Q234" s="2">
        <v>45578</v>
      </c>
      <c r="R234" s="55">
        <f t="shared" si="32"/>
        <v>0</v>
      </c>
      <c r="S234" s="59">
        <v>1815.9</v>
      </c>
      <c r="T234" s="68">
        <v>553.6</v>
      </c>
      <c r="U234" s="68">
        <v>3094</v>
      </c>
      <c r="V234" s="68">
        <v>656</v>
      </c>
      <c r="AA234" s="65"/>
      <c r="AC234" s="19">
        <v>45578</v>
      </c>
      <c r="AD234" s="4">
        <f t="shared" si="31"/>
        <v>3500</v>
      </c>
      <c r="AE234" s="1"/>
    </row>
    <row r="235" spans="4:31" x14ac:dyDescent="0.25">
      <c r="D235" s="9" t="s">
        <v>29</v>
      </c>
      <c r="E235" s="90">
        <v>45579</v>
      </c>
      <c r="F235" s="87">
        <v>3500</v>
      </c>
      <c r="G235" s="84"/>
      <c r="N235" s="22"/>
      <c r="Q235" s="2">
        <v>45579</v>
      </c>
      <c r="R235" s="55">
        <f t="shared" si="32"/>
        <v>0</v>
      </c>
      <c r="S235" s="59">
        <v>878</v>
      </c>
      <c r="T235" s="68">
        <v>364</v>
      </c>
      <c r="U235" s="68">
        <v>2030</v>
      </c>
      <c r="V235" s="68">
        <v>784</v>
      </c>
      <c r="AA235" s="65"/>
      <c r="AC235" s="19">
        <v>45579</v>
      </c>
      <c r="AD235" s="4">
        <f t="shared" si="31"/>
        <v>3500</v>
      </c>
      <c r="AE235" s="1"/>
    </row>
    <row r="236" spans="4:31" x14ac:dyDescent="0.25">
      <c r="D236" s="9" t="s">
        <v>30</v>
      </c>
      <c r="E236" s="90">
        <v>45580</v>
      </c>
      <c r="F236" s="87">
        <v>3500</v>
      </c>
      <c r="G236" s="84"/>
      <c r="N236" s="22"/>
      <c r="Q236" s="2">
        <v>45580</v>
      </c>
      <c r="R236" s="55">
        <f t="shared" si="32"/>
        <v>0</v>
      </c>
      <c r="S236" s="59">
        <v>1729.4</v>
      </c>
      <c r="T236" s="68">
        <v>762</v>
      </c>
      <c r="U236" s="68">
        <v>926</v>
      </c>
      <c r="V236" s="68">
        <v>198</v>
      </c>
      <c r="AA236" s="65"/>
      <c r="AC236" s="19">
        <v>45580</v>
      </c>
      <c r="AD236" s="4">
        <f t="shared" si="31"/>
        <v>3500</v>
      </c>
      <c r="AE236" s="1"/>
    </row>
    <row r="237" spans="4:31" x14ac:dyDescent="0.25">
      <c r="D237" s="9" t="s">
        <v>31</v>
      </c>
      <c r="E237" s="90">
        <v>45581</v>
      </c>
      <c r="F237" s="87">
        <v>3500</v>
      </c>
      <c r="G237" s="84"/>
      <c r="N237" s="22"/>
      <c r="Q237" s="2">
        <v>45581</v>
      </c>
      <c r="R237" s="55">
        <f t="shared" si="32"/>
        <v>0</v>
      </c>
      <c r="S237" s="59">
        <v>1576.5</v>
      </c>
      <c r="T237" s="68">
        <v>532</v>
      </c>
      <c r="U237" s="68">
        <v>986</v>
      </c>
      <c r="V237" s="68">
        <v>2156</v>
      </c>
      <c r="AA237" s="65"/>
      <c r="AC237" s="19">
        <v>45581</v>
      </c>
      <c r="AD237" s="4">
        <f t="shared" si="31"/>
        <v>3500</v>
      </c>
      <c r="AE237" s="1"/>
    </row>
    <row r="238" spans="4:31" x14ac:dyDescent="0.25">
      <c r="D238" s="9" t="s">
        <v>32</v>
      </c>
      <c r="E238" s="90">
        <v>45582</v>
      </c>
      <c r="F238" s="87">
        <v>3500</v>
      </c>
      <c r="G238" s="84"/>
      <c r="N238" s="22"/>
      <c r="Q238" s="2">
        <v>45582</v>
      </c>
      <c r="R238" s="55">
        <v>6500</v>
      </c>
      <c r="S238" s="59"/>
      <c r="T238" s="68"/>
      <c r="U238" s="68"/>
      <c r="V238" s="68"/>
      <c r="AA238" s="65"/>
      <c r="AC238" s="19">
        <v>45582</v>
      </c>
      <c r="AD238" s="4">
        <f t="shared" si="31"/>
        <v>10000</v>
      </c>
      <c r="AE238" s="1"/>
    </row>
    <row r="239" spans="4:31" x14ac:dyDescent="0.25">
      <c r="D239" s="9" t="s">
        <v>26</v>
      </c>
      <c r="E239" s="90">
        <v>45583</v>
      </c>
      <c r="F239" s="87">
        <v>3500</v>
      </c>
      <c r="G239" s="84"/>
      <c r="J239" s="93"/>
      <c r="N239" s="22"/>
      <c r="Q239" s="2">
        <v>45583</v>
      </c>
      <c r="R239" s="55">
        <v>6500</v>
      </c>
      <c r="S239" s="59"/>
      <c r="T239" s="68"/>
      <c r="U239" s="68"/>
      <c r="V239" s="68"/>
      <c r="AA239" s="65"/>
      <c r="AC239" s="19">
        <v>45583</v>
      </c>
      <c r="AD239" s="4">
        <f t="shared" si="31"/>
        <v>10000</v>
      </c>
      <c r="AE239" s="1"/>
    </row>
    <row r="240" spans="4:31" x14ac:dyDescent="0.25">
      <c r="D240" s="9" t="s">
        <v>27</v>
      </c>
      <c r="E240" s="90">
        <v>45584</v>
      </c>
      <c r="F240" s="87">
        <v>3500</v>
      </c>
      <c r="G240" s="84"/>
      <c r="N240" s="22"/>
      <c r="Q240" s="2">
        <v>45584</v>
      </c>
      <c r="R240" s="55">
        <v>6500</v>
      </c>
      <c r="S240" s="59"/>
      <c r="T240" s="68"/>
      <c r="U240" s="68"/>
      <c r="V240" s="68"/>
      <c r="AA240" s="65"/>
      <c r="AC240" s="19">
        <v>45584</v>
      </c>
      <c r="AD240" s="4">
        <f t="shared" si="31"/>
        <v>10000</v>
      </c>
      <c r="AE240" s="1"/>
    </row>
    <row r="241" spans="4:62" x14ac:dyDescent="0.25">
      <c r="D241" s="9" t="s">
        <v>28</v>
      </c>
      <c r="E241" s="90">
        <v>45585</v>
      </c>
      <c r="F241" s="87">
        <v>3500</v>
      </c>
      <c r="G241" s="84"/>
      <c r="N241" s="22"/>
      <c r="Q241" s="2">
        <v>45585</v>
      </c>
      <c r="R241" s="55">
        <v>6500</v>
      </c>
      <c r="S241" s="59"/>
      <c r="T241" s="68"/>
      <c r="U241" s="68"/>
      <c r="V241" s="68"/>
      <c r="AA241" s="65"/>
      <c r="AC241" s="19">
        <v>45585</v>
      </c>
      <c r="AD241" s="4">
        <f t="shared" si="31"/>
        <v>10000</v>
      </c>
      <c r="AE241" s="1"/>
    </row>
    <row r="242" spans="4:62" x14ac:dyDescent="0.25">
      <c r="D242" s="9" t="s">
        <v>29</v>
      </c>
      <c r="E242" s="90">
        <v>45586</v>
      </c>
      <c r="F242" s="87">
        <v>3500</v>
      </c>
      <c r="G242" s="84"/>
      <c r="N242" s="22"/>
      <c r="Q242" s="2">
        <v>45586</v>
      </c>
      <c r="R242" s="55">
        <v>6500</v>
      </c>
      <c r="S242" s="59"/>
      <c r="T242" s="68"/>
      <c r="U242" s="68"/>
      <c r="V242" s="68"/>
      <c r="AA242" s="65"/>
      <c r="AC242" s="19">
        <v>45586</v>
      </c>
      <c r="AD242" s="4">
        <f t="shared" si="31"/>
        <v>10000</v>
      </c>
      <c r="AE242" s="1"/>
    </row>
    <row r="243" spans="4:62" x14ac:dyDescent="0.25">
      <c r="D243" s="9" t="s">
        <v>30</v>
      </c>
      <c r="E243" s="90">
        <v>45587</v>
      </c>
      <c r="F243" s="87">
        <v>3500</v>
      </c>
      <c r="G243" s="84"/>
      <c r="N243" s="22"/>
      <c r="Q243" s="2">
        <v>45587</v>
      </c>
      <c r="R243" s="55">
        <v>6500</v>
      </c>
      <c r="S243" s="59"/>
      <c r="T243" s="68"/>
      <c r="U243" s="68"/>
      <c r="V243" s="68"/>
      <c r="AA243" s="65"/>
      <c r="AC243" s="19">
        <v>45587</v>
      </c>
      <c r="AD243" s="4">
        <f t="shared" si="31"/>
        <v>10000</v>
      </c>
      <c r="AE243" s="1"/>
    </row>
    <row r="244" spans="4:62" x14ac:dyDescent="0.25">
      <c r="D244" s="9" t="s">
        <v>31</v>
      </c>
      <c r="E244" s="90">
        <v>45588</v>
      </c>
      <c r="F244" s="87">
        <v>3500</v>
      </c>
      <c r="G244" s="84"/>
      <c r="N244" s="22"/>
      <c r="Q244" s="2">
        <v>45588</v>
      </c>
      <c r="R244" s="55">
        <v>6500</v>
      </c>
      <c r="S244" s="59"/>
      <c r="T244" s="68"/>
      <c r="U244" s="68"/>
      <c r="V244" s="68"/>
      <c r="AA244" s="65"/>
      <c r="AC244" s="19">
        <v>45588</v>
      </c>
      <c r="AD244" s="4">
        <f t="shared" si="31"/>
        <v>10000</v>
      </c>
      <c r="AE244" s="1"/>
    </row>
    <row r="245" spans="4:62" x14ac:dyDescent="0.25">
      <c r="D245" s="9" t="s">
        <v>32</v>
      </c>
      <c r="E245" s="90">
        <v>45589</v>
      </c>
      <c r="F245" s="87">
        <v>3500</v>
      </c>
      <c r="G245" s="84"/>
      <c r="N245" s="22"/>
      <c r="Q245" s="2">
        <v>45589</v>
      </c>
      <c r="R245" s="55">
        <v>6500</v>
      </c>
      <c r="S245" s="59"/>
      <c r="T245" s="68"/>
      <c r="U245" s="68"/>
      <c r="V245" s="68"/>
      <c r="AA245" s="65"/>
      <c r="AC245" s="19">
        <v>45589</v>
      </c>
      <c r="AD245" s="4">
        <f t="shared" si="31"/>
        <v>10000</v>
      </c>
      <c r="AE245" s="1"/>
    </row>
    <row r="246" spans="4:62" x14ac:dyDescent="0.25">
      <c r="D246" s="9" t="s">
        <v>26</v>
      </c>
      <c r="E246" s="90">
        <v>45590</v>
      </c>
      <c r="F246" s="87">
        <v>3500</v>
      </c>
      <c r="G246" s="84"/>
      <c r="N246" s="22"/>
      <c r="Q246" s="2">
        <v>45590</v>
      </c>
      <c r="R246" s="55">
        <v>6500</v>
      </c>
      <c r="S246" s="59"/>
      <c r="T246" s="68"/>
      <c r="U246" s="68"/>
      <c r="V246" s="68"/>
      <c r="AA246" s="65"/>
      <c r="AC246" s="19">
        <v>45590</v>
      </c>
      <c r="AD246" s="4">
        <f t="shared" si="31"/>
        <v>10000</v>
      </c>
      <c r="AE246" s="1"/>
    </row>
    <row r="247" spans="4:62" x14ac:dyDescent="0.25">
      <c r="D247" s="9" t="s">
        <v>27</v>
      </c>
      <c r="E247" s="90">
        <v>45591</v>
      </c>
      <c r="F247" s="87">
        <v>3500</v>
      </c>
      <c r="G247" s="84"/>
      <c r="N247" s="22"/>
      <c r="Q247" s="2">
        <v>45591</v>
      </c>
      <c r="R247" s="55">
        <v>6500</v>
      </c>
      <c r="S247" s="59"/>
      <c r="T247" s="68"/>
      <c r="U247" s="68"/>
      <c r="V247" s="68"/>
      <c r="AA247" s="65"/>
      <c r="AC247" s="19">
        <v>45591</v>
      </c>
      <c r="AD247" s="4">
        <f t="shared" si="31"/>
        <v>10000</v>
      </c>
      <c r="AE247" s="1"/>
    </row>
    <row r="248" spans="4:62" x14ac:dyDescent="0.25">
      <c r="D248" s="9" t="s">
        <v>28</v>
      </c>
      <c r="E248" s="90">
        <v>45592</v>
      </c>
      <c r="F248" s="87">
        <v>3500</v>
      </c>
      <c r="G248" s="84"/>
      <c r="N248" s="22"/>
      <c r="Q248" s="2">
        <v>45592</v>
      </c>
      <c r="R248" s="55">
        <v>6500</v>
      </c>
      <c r="S248" s="59"/>
      <c r="T248" s="68"/>
      <c r="U248" s="68"/>
      <c r="V248" s="68"/>
      <c r="AA248" s="65"/>
      <c r="AC248" s="19">
        <v>45592</v>
      </c>
      <c r="AD248" s="4">
        <f t="shared" si="31"/>
        <v>10000</v>
      </c>
      <c r="AE248" s="1"/>
    </row>
    <row r="249" spans="4:62" x14ac:dyDescent="0.25">
      <c r="D249" s="9" t="s">
        <v>29</v>
      </c>
      <c r="E249" s="90">
        <v>45593</v>
      </c>
      <c r="F249" s="87">
        <v>3500</v>
      </c>
      <c r="G249" s="84"/>
      <c r="N249" s="22"/>
      <c r="Q249" s="2">
        <v>45593</v>
      </c>
      <c r="R249" s="55">
        <v>6500</v>
      </c>
      <c r="S249" s="59"/>
      <c r="T249" s="68"/>
      <c r="U249" s="68"/>
      <c r="V249" s="68"/>
      <c r="AA249" s="65"/>
      <c r="AC249" s="19">
        <v>45593</v>
      </c>
      <c r="AD249" s="4">
        <f t="shared" si="31"/>
        <v>10000</v>
      </c>
      <c r="AE249" s="1"/>
    </row>
    <row r="250" spans="4:62" x14ac:dyDescent="0.25">
      <c r="D250" s="9" t="s">
        <v>30</v>
      </c>
      <c r="E250" s="90">
        <v>45594</v>
      </c>
      <c r="F250" s="87">
        <v>3500</v>
      </c>
      <c r="G250" s="84"/>
      <c r="N250" s="22"/>
      <c r="Q250" s="2">
        <v>45594</v>
      </c>
      <c r="R250" s="55">
        <v>6500</v>
      </c>
      <c r="S250" s="59"/>
      <c r="T250" s="68"/>
      <c r="U250" s="68"/>
      <c r="V250" s="68"/>
      <c r="AA250" s="65"/>
      <c r="AC250" s="19">
        <v>45594</v>
      </c>
      <c r="AD250" s="4">
        <f t="shared" si="31"/>
        <v>10000</v>
      </c>
      <c r="AE250" s="1"/>
    </row>
    <row r="251" spans="4:62" x14ac:dyDescent="0.25">
      <c r="D251" s="9" t="s">
        <v>31</v>
      </c>
      <c r="E251" s="90">
        <v>45595</v>
      </c>
      <c r="F251" s="87">
        <v>3500</v>
      </c>
      <c r="G251" s="84"/>
      <c r="N251" s="22"/>
      <c r="Q251" s="2">
        <v>45595</v>
      </c>
      <c r="R251" s="55">
        <v>6500</v>
      </c>
      <c r="S251" s="59"/>
      <c r="T251" s="68"/>
      <c r="U251" s="68"/>
      <c r="V251" s="68"/>
      <c r="AA251" s="65"/>
      <c r="AC251" s="19">
        <v>45595</v>
      </c>
      <c r="AD251" s="4">
        <f t="shared" si="31"/>
        <v>10000</v>
      </c>
      <c r="AE251" s="1"/>
    </row>
    <row r="252" spans="4:62" s="13" customFormat="1" x14ac:dyDescent="0.25">
      <c r="D252" s="13" t="s">
        <v>32</v>
      </c>
      <c r="E252" s="91">
        <v>45596</v>
      </c>
      <c r="F252" s="69">
        <v>3500</v>
      </c>
      <c r="G252" s="50"/>
      <c r="N252" s="30"/>
      <c r="Q252" s="10">
        <v>45596</v>
      </c>
      <c r="R252" s="57">
        <v>6500</v>
      </c>
      <c r="S252" s="60"/>
      <c r="T252" s="70"/>
      <c r="U252" s="70"/>
      <c r="V252" s="70"/>
      <c r="Y252" s="16"/>
      <c r="Z252" s="16"/>
      <c r="AA252" s="71"/>
      <c r="AC252" s="20">
        <v>45596</v>
      </c>
      <c r="AD252" s="11">
        <f t="shared" si="31"/>
        <v>10000</v>
      </c>
      <c r="AE252" s="16"/>
      <c r="BJ252" s="16"/>
    </row>
    <row r="253" spans="4:62" s="94" customFormat="1" x14ac:dyDescent="0.25">
      <c r="D253" s="94" t="s">
        <v>26</v>
      </c>
      <c r="E253" s="111">
        <v>45597</v>
      </c>
      <c r="F253" s="100">
        <v>3500</v>
      </c>
      <c r="G253" s="107"/>
      <c r="N253" s="108"/>
      <c r="Q253" s="96">
        <v>45597</v>
      </c>
      <c r="R253" s="98">
        <v>6500</v>
      </c>
      <c r="S253" s="107"/>
      <c r="Y253" s="109"/>
      <c r="Z253" s="109"/>
      <c r="AA253" s="110"/>
      <c r="AC253" s="102">
        <v>45597</v>
      </c>
      <c r="AD253" s="98">
        <f t="shared" si="31"/>
        <v>10000</v>
      </c>
      <c r="AE253" s="109"/>
      <c r="BJ253" s="109"/>
    </row>
    <row r="254" spans="4:62" x14ac:dyDescent="0.25">
      <c r="D254" s="9" t="s">
        <v>27</v>
      </c>
      <c r="E254" s="80">
        <v>45598</v>
      </c>
      <c r="F254" s="3">
        <v>3500</v>
      </c>
      <c r="N254" s="22"/>
      <c r="Q254" s="2">
        <v>45598</v>
      </c>
      <c r="R254" s="3">
        <v>6500</v>
      </c>
      <c r="AA254" s="65"/>
      <c r="AC254" s="19">
        <v>45598</v>
      </c>
      <c r="AD254" s="4">
        <f t="shared" ref="AD254:AD285" si="33">F254+R254</f>
        <v>10000</v>
      </c>
      <c r="AE254" s="1"/>
    </row>
    <row r="255" spans="4:62" x14ac:dyDescent="0.25">
      <c r="D255" s="9" t="s">
        <v>28</v>
      </c>
      <c r="E255" s="80">
        <v>45599</v>
      </c>
      <c r="F255" s="3">
        <v>3500</v>
      </c>
      <c r="N255" s="22"/>
      <c r="Q255" s="2">
        <v>45599</v>
      </c>
      <c r="R255" s="3">
        <v>6500</v>
      </c>
      <c r="AA255" s="65"/>
      <c r="AC255" s="19">
        <v>45599</v>
      </c>
      <c r="AD255" s="4">
        <f t="shared" si="33"/>
        <v>10000</v>
      </c>
      <c r="AE255" s="1"/>
    </row>
    <row r="256" spans="4:62" x14ac:dyDescent="0.25">
      <c r="D256" s="9" t="s">
        <v>29</v>
      </c>
      <c r="E256" s="80">
        <v>45600</v>
      </c>
      <c r="F256" s="3">
        <v>3500</v>
      </c>
      <c r="N256" s="22"/>
      <c r="Q256" s="2">
        <v>45600</v>
      </c>
      <c r="R256" s="3">
        <v>6500</v>
      </c>
      <c r="AA256" s="65"/>
      <c r="AC256" s="19">
        <v>45600</v>
      </c>
      <c r="AD256" s="4">
        <f t="shared" si="33"/>
        <v>10000</v>
      </c>
      <c r="AE256" s="1"/>
    </row>
    <row r="257" spans="4:31" x14ac:dyDescent="0.25">
      <c r="D257" s="9" t="s">
        <v>30</v>
      </c>
      <c r="E257" s="80">
        <v>45601</v>
      </c>
      <c r="F257" s="3">
        <v>3500</v>
      </c>
      <c r="N257" s="22"/>
      <c r="Q257" s="2">
        <v>45601</v>
      </c>
      <c r="R257" s="3">
        <v>6500</v>
      </c>
      <c r="AA257" s="65"/>
      <c r="AC257" s="19">
        <v>45601</v>
      </c>
      <c r="AD257" s="4">
        <f t="shared" si="33"/>
        <v>10000</v>
      </c>
      <c r="AE257" s="1"/>
    </row>
    <row r="258" spans="4:31" x14ac:dyDescent="0.25">
      <c r="D258" s="9" t="s">
        <v>31</v>
      </c>
      <c r="E258" s="80">
        <v>45602</v>
      </c>
      <c r="F258" s="3">
        <v>3500</v>
      </c>
      <c r="N258" s="22"/>
      <c r="Q258" s="2">
        <v>45602</v>
      </c>
      <c r="R258" s="3">
        <v>6500</v>
      </c>
      <c r="AA258" s="65"/>
      <c r="AC258" s="19">
        <v>45602</v>
      </c>
      <c r="AD258" s="4">
        <f t="shared" si="33"/>
        <v>10000</v>
      </c>
      <c r="AE258" s="1"/>
    </row>
    <row r="259" spans="4:31" x14ac:dyDescent="0.25">
      <c r="D259" s="9" t="s">
        <v>32</v>
      </c>
      <c r="E259" s="80">
        <v>45603</v>
      </c>
      <c r="F259" s="3">
        <v>3500</v>
      </c>
      <c r="N259" s="22"/>
      <c r="Q259" s="2">
        <v>45603</v>
      </c>
      <c r="R259" s="3">
        <v>6500</v>
      </c>
      <c r="AA259" s="65"/>
      <c r="AC259" s="19">
        <v>45603</v>
      </c>
      <c r="AD259" s="4">
        <f t="shared" si="33"/>
        <v>10000</v>
      </c>
      <c r="AE259" s="1"/>
    </row>
    <row r="260" spans="4:31" x14ac:dyDescent="0.25">
      <c r="D260" s="9" t="s">
        <v>26</v>
      </c>
      <c r="E260" s="80">
        <v>45604</v>
      </c>
      <c r="F260" s="3">
        <v>3500</v>
      </c>
      <c r="N260" s="22"/>
      <c r="Q260" s="2">
        <v>45604</v>
      </c>
      <c r="R260" s="3">
        <v>6500</v>
      </c>
      <c r="AA260" s="65"/>
      <c r="AC260" s="19">
        <v>45604</v>
      </c>
      <c r="AD260" s="4">
        <f t="shared" si="33"/>
        <v>10000</v>
      </c>
      <c r="AE260" s="1"/>
    </row>
    <row r="261" spans="4:31" x14ac:dyDescent="0.25">
      <c r="D261" s="9" t="s">
        <v>27</v>
      </c>
      <c r="E261" s="80">
        <v>45605</v>
      </c>
      <c r="F261" s="3">
        <v>3500</v>
      </c>
      <c r="N261" s="22"/>
      <c r="Q261" s="2">
        <v>45605</v>
      </c>
      <c r="R261" s="3">
        <v>6500</v>
      </c>
      <c r="AA261" s="65"/>
      <c r="AC261" s="19">
        <v>45605</v>
      </c>
      <c r="AD261" s="4">
        <f t="shared" si="33"/>
        <v>10000</v>
      </c>
      <c r="AE261" s="1"/>
    </row>
    <row r="262" spans="4:31" x14ac:dyDescent="0.25">
      <c r="D262" s="9" t="s">
        <v>28</v>
      </c>
      <c r="E262" s="80">
        <v>45606</v>
      </c>
      <c r="F262" s="3">
        <v>3500</v>
      </c>
      <c r="N262" s="22"/>
      <c r="Q262" s="2">
        <v>45606</v>
      </c>
      <c r="R262" s="3">
        <v>6500</v>
      </c>
      <c r="AA262" s="65"/>
      <c r="AC262" s="19">
        <v>45606</v>
      </c>
      <c r="AD262" s="4">
        <f t="shared" si="33"/>
        <v>10000</v>
      </c>
      <c r="AE262" s="1"/>
    </row>
    <row r="263" spans="4:31" x14ac:dyDescent="0.25">
      <c r="D263" s="9" t="s">
        <v>29</v>
      </c>
      <c r="E263" s="80">
        <v>45607</v>
      </c>
      <c r="F263" s="3">
        <v>3500</v>
      </c>
      <c r="N263" s="22"/>
      <c r="Q263" s="2">
        <v>45607</v>
      </c>
      <c r="R263" s="3">
        <v>6500</v>
      </c>
      <c r="AA263" s="65"/>
      <c r="AC263" s="19">
        <v>45607</v>
      </c>
      <c r="AD263" s="4">
        <f t="shared" si="33"/>
        <v>10000</v>
      </c>
      <c r="AE263" s="1"/>
    </row>
    <row r="264" spans="4:31" x14ac:dyDescent="0.25">
      <c r="D264" s="9" t="s">
        <v>30</v>
      </c>
      <c r="E264" s="80">
        <v>45608</v>
      </c>
      <c r="F264" s="3">
        <v>3500</v>
      </c>
      <c r="N264" s="22"/>
      <c r="Q264" s="2">
        <v>45608</v>
      </c>
      <c r="R264" s="3">
        <v>6500</v>
      </c>
      <c r="AA264" s="65"/>
      <c r="AC264" s="19">
        <v>45608</v>
      </c>
      <c r="AD264" s="4">
        <f t="shared" si="33"/>
        <v>10000</v>
      </c>
      <c r="AE264" s="1"/>
    </row>
    <row r="265" spans="4:31" x14ac:dyDescent="0.25">
      <c r="D265" s="9" t="s">
        <v>31</v>
      </c>
      <c r="E265" s="80">
        <v>45609</v>
      </c>
      <c r="F265" s="3">
        <v>3500</v>
      </c>
      <c r="N265" s="22"/>
      <c r="Q265" s="2">
        <v>45609</v>
      </c>
      <c r="R265" s="3">
        <v>6500</v>
      </c>
      <c r="AA265" s="65"/>
      <c r="AC265" s="19">
        <v>45609</v>
      </c>
      <c r="AD265" s="4">
        <f t="shared" si="33"/>
        <v>10000</v>
      </c>
      <c r="AE265" s="1"/>
    </row>
    <row r="266" spans="4:31" x14ac:dyDescent="0.25">
      <c r="D266" s="9" t="s">
        <v>32</v>
      </c>
      <c r="E266" s="80">
        <v>45610</v>
      </c>
      <c r="F266" s="3">
        <v>3500</v>
      </c>
      <c r="N266" s="22"/>
      <c r="Q266" s="2">
        <v>45610</v>
      </c>
      <c r="R266" s="3">
        <v>6500</v>
      </c>
      <c r="AA266" s="65"/>
      <c r="AC266" s="19">
        <v>45610</v>
      </c>
      <c r="AD266" s="4">
        <f t="shared" si="33"/>
        <v>10000</v>
      </c>
      <c r="AE266" s="1"/>
    </row>
    <row r="267" spans="4:31" x14ac:dyDescent="0.25">
      <c r="D267" s="9" t="s">
        <v>26</v>
      </c>
      <c r="E267" s="80">
        <v>45611</v>
      </c>
      <c r="F267" s="3">
        <v>3500</v>
      </c>
      <c r="N267" s="22"/>
      <c r="Q267" s="2">
        <v>45611</v>
      </c>
      <c r="R267" s="3">
        <v>6500</v>
      </c>
      <c r="AA267" s="65"/>
      <c r="AC267" s="19">
        <v>45611</v>
      </c>
      <c r="AD267" s="4">
        <f t="shared" si="33"/>
        <v>10000</v>
      </c>
      <c r="AE267" s="1"/>
    </row>
    <row r="268" spans="4:31" x14ac:dyDescent="0.25">
      <c r="D268" s="9" t="s">
        <v>27</v>
      </c>
      <c r="E268" s="80">
        <v>45612</v>
      </c>
      <c r="F268" s="3">
        <v>3500</v>
      </c>
      <c r="N268" s="22"/>
      <c r="Q268" s="2">
        <v>45612</v>
      </c>
      <c r="R268" s="3">
        <v>6500</v>
      </c>
      <c r="AA268" s="65"/>
      <c r="AC268" s="19">
        <v>45612</v>
      </c>
      <c r="AD268" s="4">
        <f t="shared" si="33"/>
        <v>10000</v>
      </c>
      <c r="AE268" s="1"/>
    </row>
    <row r="269" spans="4:31" x14ac:dyDescent="0.25">
      <c r="D269" s="9" t="s">
        <v>28</v>
      </c>
      <c r="E269" s="80">
        <v>45613</v>
      </c>
      <c r="F269" s="3">
        <v>3500</v>
      </c>
      <c r="N269" s="22"/>
      <c r="Q269" s="2">
        <v>45613</v>
      </c>
      <c r="R269" s="3">
        <v>6500</v>
      </c>
      <c r="AA269" s="65"/>
      <c r="AC269" s="19">
        <v>45613</v>
      </c>
      <c r="AD269" s="4">
        <f t="shared" si="33"/>
        <v>10000</v>
      </c>
      <c r="AE269" s="1"/>
    </row>
    <row r="270" spans="4:31" x14ac:dyDescent="0.25">
      <c r="D270" s="9" t="s">
        <v>29</v>
      </c>
      <c r="E270" s="80">
        <v>45614</v>
      </c>
      <c r="F270" s="3">
        <v>3500</v>
      </c>
      <c r="N270" s="22"/>
      <c r="Q270" s="2">
        <v>45614</v>
      </c>
      <c r="R270" s="3">
        <v>6500</v>
      </c>
      <c r="AA270" s="65"/>
      <c r="AC270" s="19">
        <v>45614</v>
      </c>
      <c r="AD270" s="4">
        <f t="shared" si="33"/>
        <v>10000</v>
      </c>
      <c r="AE270" s="1"/>
    </row>
    <row r="271" spans="4:31" x14ac:dyDescent="0.25">
      <c r="D271" s="9" t="s">
        <v>30</v>
      </c>
      <c r="E271" s="80">
        <v>45615</v>
      </c>
      <c r="F271" s="3">
        <v>3500</v>
      </c>
      <c r="N271" s="22"/>
      <c r="Q271" s="2">
        <v>45615</v>
      </c>
      <c r="R271" s="3">
        <v>6500</v>
      </c>
      <c r="AA271" s="65"/>
      <c r="AC271" s="19">
        <v>45615</v>
      </c>
      <c r="AD271" s="4">
        <f t="shared" si="33"/>
        <v>10000</v>
      </c>
      <c r="AE271" s="1"/>
    </row>
    <row r="272" spans="4:31" x14ac:dyDescent="0.25">
      <c r="D272" s="9" t="s">
        <v>31</v>
      </c>
      <c r="E272" s="80">
        <v>45616</v>
      </c>
      <c r="F272" s="3">
        <v>3500</v>
      </c>
      <c r="N272" s="22"/>
      <c r="Q272" s="2">
        <v>45616</v>
      </c>
      <c r="R272" s="3">
        <v>6500</v>
      </c>
      <c r="AA272" s="65"/>
      <c r="AC272" s="19">
        <v>45616</v>
      </c>
      <c r="AD272" s="4">
        <f t="shared" si="33"/>
        <v>10000</v>
      </c>
      <c r="AE272" s="1"/>
    </row>
    <row r="273" spans="4:62" x14ac:dyDescent="0.25">
      <c r="D273" s="9" t="s">
        <v>32</v>
      </c>
      <c r="E273" s="80">
        <v>45617</v>
      </c>
      <c r="F273" s="3">
        <v>3500</v>
      </c>
      <c r="N273" s="22"/>
      <c r="Q273" s="2">
        <v>45617</v>
      </c>
      <c r="R273" s="3">
        <v>6500</v>
      </c>
      <c r="AA273" s="65"/>
      <c r="AC273" s="19">
        <v>45617</v>
      </c>
      <c r="AD273" s="4">
        <f t="shared" si="33"/>
        <v>10000</v>
      </c>
      <c r="AE273" s="1"/>
    </row>
    <row r="274" spans="4:62" x14ac:dyDescent="0.25">
      <c r="D274" s="9" t="s">
        <v>26</v>
      </c>
      <c r="E274" s="80">
        <v>45618</v>
      </c>
      <c r="F274" s="3">
        <v>3500</v>
      </c>
      <c r="N274" s="22"/>
      <c r="Q274" s="2">
        <v>45618</v>
      </c>
      <c r="R274" s="3">
        <v>6500</v>
      </c>
      <c r="AA274" s="65"/>
      <c r="AC274" s="19">
        <v>45618</v>
      </c>
      <c r="AD274" s="4">
        <f t="shared" si="33"/>
        <v>10000</v>
      </c>
      <c r="AE274" s="1"/>
    </row>
    <row r="275" spans="4:62" x14ac:dyDescent="0.25">
      <c r="D275" s="9" t="s">
        <v>27</v>
      </c>
      <c r="E275" s="80">
        <v>45619</v>
      </c>
      <c r="F275" s="3">
        <v>3500</v>
      </c>
      <c r="N275" s="22"/>
      <c r="Q275" s="2">
        <v>45619</v>
      </c>
      <c r="R275" s="3">
        <v>6500</v>
      </c>
      <c r="AA275" s="65"/>
      <c r="AC275" s="19">
        <v>45619</v>
      </c>
      <c r="AD275" s="4">
        <f t="shared" si="33"/>
        <v>10000</v>
      </c>
      <c r="AE275" s="1"/>
    </row>
    <row r="276" spans="4:62" x14ac:dyDescent="0.25">
      <c r="D276" s="9" t="s">
        <v>28</v>
      </c>
      <c r="E276" s="80">
        <v>45620</v>
      </c>
      <c r="F276" s="3">
        <v>3500</v>
      </c>
      <c r="N276" s="22"/>
      <c r="Q276" s="2">
        <v>45620</v>
      </c>
      <c r="R276" s="3">
        <v>6500</v>
      </c>
      <c r="AA276" s="65"/>
      <c r="AC276" s="19">
        <v>45620</v>
      </c>
      <c r="AD276" s="4">
        <f t="shared" si="33"/>
        <v>10000</v>
      </c>
      <c r="AE276" s="1"/>
    </row>
    <row r="277" spans="4:62" x14ac:dyDescent="0.25">
      <c r="D277" s="9" t="s">
        <v>29</v>
      </c>
      <c r="E277" s="80">
        <v>45621</v>
      </c>
      <c r="F277" s="3">
        <v>3500</v>
      </c>
      <c r="N277" s="22"/>
      <c r="Q277" s="2">
        <v>45621</v>
      </c>
      <c r="R277" s="3">
        <v>6500</v>
      </c>
      <c r="AA277" s="65"/>
      <c r="AC277" s="19">
        <v>45621</v>
      </c>
      <c r="AD277" s="4">
        <f t="shared" si="33"/>
        <v>10000</v>
      </c>
      <c r="AE277" s="1"/>
    </row>
    <row r="278" spans="4:62" x14ac:dyDescent="0.25">
      <c r="D278" s="9" t="s">
        <v>30</v>
      </c>
      <c r="E278" s="80">
        <v>45622</v>
      </c>
      <c r="F278" s="3">
        <v>3500</v>
      </c>
      <c r="N278" s="22"/>
      <c r="Q278" s="2">
        <v>45622</v>
      </c>
      <c r="R278" s="3">
        <v>6500</v>
      </c>
      <c r="AA278" s="65"/>
      <c r="AC278" s="19">
        <v>45622</v>
      </c>
      <c r="AD278" s="4">
        <f t="shared" si="33"/>
        <v>10000</v>
      </c>
      <c r="AE278" s="1"/>
    </row>
    <row r="279" spans="4:62" x14ac:dyDescent="0.25">
      <c r="D279" s="9" t="s">
        <v>31</v>
      </c>
      <c r="E279" s="80">
        <v>45623</v>
      </c>
      <c r="F279" s="3">
        <v>3500</v>
      </c>
      <c r="N279" s="22"/>
      <c r="Q279" s="2">
        <v>45623</v>
      </c>
      <c r="R279" s="3">
        <v>6500</v>
      </c>
      <c r="AA279" s="65"/>
      <c r="AC279" s="19">
        <v>45623</v>
      </c>
      <c r="AD279" s="4">
        <f t="shared" si="33"/>
        <v>10000</v>
      </c>
      <c r="AE279" s="1"/>
    </row>
    <row r="280" spans="4:62" x14ac:dyDescent="0.25">
      <c r="D280" s="9" t="s">
        <v>32</v>
      </c>
      <c r="E280" s="80">
        <v>45624</v>
      </c>
      <c r="F280" s="3">
        <v>3500</v>
      </c>
      <c r="N280" s="22"/>
      <c r="Q280" s="2">
        <v>45624</v>
      </c>
      <c r="R280" s="3">
        <v>6500</v>
      </c>
      <c r="AA280" s="65"/>
      <c r="AC280" s="19">
        <v>45624</v>
      </c>
      <c r="AD280" s="4">
        <f t="shared" si="33"/>
        <v>10000</v>
      </c>
      <c r="AE280" s="1"/>
    </row>
    <row r="281" spans="4:62" x14ac:dyDescent="0.25">
      <c r="D281" s="9" t="s">
        <v>26</v>
      </c>
      <c r="E281" s="80">
        <v>45625</v>
      </c>
      <c r="F281" s="3">
        <v>3500</v>
      </c>
      <c r="N281" s="22"/>
      <c r="Q281" s="2">
        <v>45625</v>
      </c>
      <c r="R281" s="3">
        <v>6500</v>
      </c>
      <c r="AA281" s="65"/>
      <c r="AC281" s="19">
        <v>45625</v>
      </c>
      <c r="AD281" s="4">
        <f t="shared" si="33"/>
        <v>10000</v>
      </c>
      <c r="AE281" s="1"/>
    </row>
    <row r="282" spans="4:62" s="13" customFormat="1" x14ac:dyDescent="0.25">
      <c r="D282" s="13" t="s">
        <v>27</v>
      </c>
      <c r="E282" s="81">
        <v>45626</v>
      </c>
      <c r="F282" s="11">
        <v>3500</v>
      </c>
      <c r="G282" s="50"/>
      <c r="N282" s="30"/>
      <c r="Q282" s="10">
        <v>45626</v>
      </c>
      <c r="R282" s="11">
        <v>6500</v>
      </c>
      <c r="S282" s="50"/>
      <c r="Y282" s="16"/>
      <c r="Z282" s="16"/>
      <c r="AA282" s="71"/>
      <c r="AC282" s="20">
        <v>45626</v>
      </c>
      <c r="AD282" s="11">
        <f t="shared" si="33"/>
        <v>10000</v>
      </c>
      <c r="AE282" s="16"/>
      <c r="BJ282" s="16"/>
    </row>
    <row r="283" spans="4:62" s="94" customFormat="1" x14ac:dyDescent="0.25">
      <c r="D283" s="94" t="s">
        <v>28</v>
      </c>
      <c r="E283" s="95">
        <v>45627</v>
      </c>
      <c r="F283" s="98">
        <v>3500</v>
      </c>
      <c r="G283" s="107"/>
      <c r="N283" s="108"/>
      <c r="Q283" s="96">
        <v>45627</v>
      </c>
      <c r="R283" s="98">
        <v>6500</v>
      </c>
      <c r="S283" s="107"/>
      <c r="Y283" s="109"/>
      <c r="Z283" s="109"/>
      <c r="AA283" s="110"/>
      <c r="AC283" s="102">
        <v>45627</v>
      </c>
      <c r="AD283" s="98">
        <f t="shared" si="33"/>
        <v>10000</v>
      </c>
      <c r="AE283" s="109"/>
      <c r="BJ283" s="109"/>
    </row>
    <row r="284" spans="4:62" x14ac:dyDescent="0.25">
      <c r="D284" s="9" t="s">
        <v>29</v>
      </c>
      <c r="E284" s="80">
        <v>45628</v>
      </c>
      <c r="F284" s="3">
        <v>3500</v>
      </c>
      <c r="N284" s="22"/>
      <c r="Q284" s="2">
        <v>45628</v>
      </c>
      <c r="R284" s="3">
        <v>6500</v>
      </c>
      <c r="AA284" s="65"/>
      <c r="AC284" s="19">
        <v>45628</v>
      </c>
      <c r="AD284" s="4">
        <f t="shared" si="33"/>
        <v>10000</v>
      </c>
      <c r="AE284" s="1"/>
    </row>
    <row r="285" spans="4:62" x14ac:dyDescent="0.25">
      <c r="D285" s="9" t="s">
        <v>30</v>
      </c>
      <c r="E285" s="80">
        <v>45629</v>
      </c>
      <c r="F285" s="3">
        <v>3500</v>
      </c>
      <c r="N285" s="22"/>
      <c r="Q285" s="2">
        <v>45629</v>
      </c>
      <c r="R285" s="3">
        <v>6500</v>
      </c>
      <c r="AA285" s="65"/>
      <c r="AC285" s="19">
        <v>45629</v>
      </c>
      <c r="AD285" s="4">
        <f t="shared" si="33"/>
        <v>10000</v>
      </c>
      <c r="AE285" s="1"/>
    </row>
    <row r="286" spans="4:62" x14ac:dyDescent="0.25">
      <c r="D286" s="9" t="s">
        <v>31</v>
      </c>
      <c r="E286" s="80">
        <v>45630</v>
      </c>
      <c r="F286" s="3">
        <v>3500</v>
      </c>
      <c r="N286" s="22"/>
      <c r="Q286" s="2">
        <v>45630</v>
      </c>
      <c r="R286" s="3">
        <v>6500</v>
      </c>
      <c r="AA286" s="65"/>
      <c r="AC286" s="19">
        <v>45630</v>
      </c>
      <c r="AD286" s="4">
        <f t="shared" ref="AD286:AD313" si="34">F286+R286</f>
        <v>10000</v>
      </c>
      <c r="AE286" s="1"/>
    </row>
    <row r="287" spans="4:62" x14ac:dyDescent="0.25">
      <c r="D287" s="9" t="s">
        <v>32</v>
      </c>
      <c r="E287" s="80">
        <v>45631</v>
      </c>
      <c r="F287" s="3">
        <v>3500</v>
      </c>
      <c r="N287" s="22"/>
      <c r="Q287" s="2">
        <v>45631</v>
      </c>
      <c r="R287" s="3">
        <v>6500</v>
      </c>
      <c r="AA287" s="65"/>
      <c r="AC287" s="19">
        <v>45631</v>
      </c>
      <c r="AD287" s="4">
        <f t="shared" si="34"/>
        <v>10000</v>
      </c>
      <c r="AE287" s="1"/>
    </row>
    <row r="288" spans="4:62" x14ac:dyDescent="0.25">
      <c r="D288" s="9" t="s">
        <v>26</v>
      </c>
      <c r="E288" s="80">
        <v>45632</v>
      </c>
      <c r="F288" s="3">
        <v>3500</v>
      </c>
      <c r="N288" s="22"/>
      <c r="Q288" s="2">
        <v>45632</v>
      </c>
      <c r="R288" s="3">
        <v>6500</v>
      </c>
      <c r="AA288" s="65"/>
      <c r="AC288" s="19">
        <v>45632</v>
      </c>
      <c r="AD288" s="4">
        <f t="shared" si="34"/>
        <v>10000</v>
      </c>
      <c r="AE288" s="1"/>
    </row>
    <row r="289" spans="4:31" x14ac:dyDescent="0.25">
      <c r="D289" s="9" t="s">
        <v>27</v>
      </c>
      <c r="E289" s="80">
        <v>45633</v>
      </c>
      <c r="F289" s="3">
        <v>3500</v>
      </c>
      <c r="N289" s="22"/>
      <c r="Q289" s="2">
        <v>45633</v>
      </c>
      <c r="R289" s="3">
        <v>6500</v>
      </c>
      <c r="AA289" s="65"/>
      <c r="AC289" s="19">
        <v>45633</v>
      </c>
      <c r="AD289" s="4">
        <f t="shared" si="34"/>
        <v>10000</v>
      </c>
      <c r="AE289" s="1"/>
    </row>
    <row r="290" spans="4:31" x14ac:dyDescent="0.25">
      <c r="D290" s="9" t="s">
        <v>28</v>
      </c>
      <c r="E290" s="80">
        <v>45634</v>
      </c>
      <c r="F290" s="3">
        <v>3500</v>
      </c>
      <c r="N290" s="22"/>
      <c r="Q290" s="2">
        <v>45634</v>
      </c>
      <c r="R290" s="3">
        <v>6500</v>
      </c>
      <c r="AA290" s="65"/>
      <c r="AC290" s="19">
        <v>45634</v>
      </c>
      <c r="AD290" s="4">
        <f t="shared" si="34"/>
        <v>10000</v>
      </c>
      <c r="AE290" s="1"/>
    </row>
    <row r="291" spans="4:31" x14ac:dyDescent="0.25">
      <c r="D291" s="9" t="s">
        <v>29</v>
      </c>
      <c r="E291" s="80">
        <v>45635</v>
      </c>
      <c r="F291" s="3">
        <v>3500</v>
      </c>
      <c r="N291" s="22"/>
      <c r="Q291" s="2">
        <v>45635</v>
      </c>
      <c r="R291" s="3">
        <v>6500</v>
      </c>
      <c r="AA291" s="65"/>
      <c r="AC291" s="19">
        <v>45635</v>
      </c>
      <c r="AD291" s="4">
        <f t="shared" si="34"/>
        <v>10000</v>
      </c>
      <c r="AE291" s="1"/>
    </row>
    <row r="292" spans="4:31" x14ac:dyDescent="0.25">
      <c r="D292" s="9" t="s">
        <v>30</v>
      </c>
      <c r="E292" s="80">
        <v>45636</v>
      </c>
      <c r="F292" s="3">
        <v>3500</v>
      </c>
      <c r="N292" s="22"/>
      <c r="Q292" s="2">
        <v>45636</v>
      </c>
      <c r="R292" s="3">
        <v>6500</v>
      </c>
      <c r="AA292" s="65"/>
      <c r="AC292" s="19">
        <v>45636</v>
      </c>
      <c r="AD292" s="4">
        <f t="shared" si="34"/>
        <v>10000</v>
      </c>
      <c r="AE292" s="1"/>
    </row>
    <row r="293" spans="4:31" x14ac:dyDescent="0.25">
      <c r="D293" s="9" t="s">
        <v>31</v>
      </c>
      <c r="E293" s="80">
        <v>45637</v>
      </c>
      <c r="F293" s="3">
        <v>3500</v>
      </c>
      <c r="N293" s="22"/>
      <c r="Q293" s="2">
        <v>45637</v>
      </c>
      <c r="R293" s="3">
        <v>6500</v>
      </c>
      <c r="AA293" s="65"/>
      <c r="AC293" s="19">
        <v>45637</v>
      </c>
      <c r="AD293" s="4">
        <f t="shared" si="34"/>
        <v>10000</v>
      </c>
      <c r="AE293" s="1"/>
    </row>
    <row r="294" spans="4:31" x14ac:dyDescent="0.25">
      <c r="D294" s="9" t="s">
        <v>32</v>
      </c>
      <c r="E294" s="80">
        <v>45638</v>
      </c>
      <c r="F294" s="3">
        <v>3500</v>
      </c>
      <c r="N294" s="22"/>
      <c r="Q294" s="2">
        <v>45638</v>
      </c>
      <c r="R294" s="3">
        <v>6500</v>
      </c>
      <c r="AA294" s="65"/>
      <c r="AC294" s="19">
        <v>45638</v>
      </c>
      <c r="AD294" s="4">
        <f t="shared" si="34"/>
        <v>10000</v>
      </c>
      <c r="AE294" s="1"/>
    </row>
    <row r="295" spans="4:31" x14ac:dyDescent="0.25">
      <c r="D295" s="9" t="s">
        <v>26</v>
      </c>
      <c r="E295" s="80">
        <v>45639</v>
      </c>
      <c r="F295" s="3">
        <v>3500</v>
      </c>
      <c r="N295" s="22"/>
      <c r="Q295" s="2">
        <v>45639</v>
      </c>
      <c r="R295" s="3">
        <v>6500</v>
      </c>
      <c r="AA295" s="65"/>
      <c r="AC295" s="19">
        <v>45639</v>
      </c>
      <c r="AD295" s="4">
        <f t="shared" si="34"/>
        <v>10000</v>
      </c>
      <c r="AE295" s="1"/>
    </row>
    <row r="296" spans="4:31" x14ac:dyDescent="0.25">
      <c r="D296" s="9" t="s">
        <v>27</v>
      </c>
      <c r="E296" s="80">
        <v>45640</v>
      </c>
      <c r="F296" s="3">
        <v>3500</v>
      </c>
      <c r="N296" s="22"/>
      <c r="Q296" s="2">
        <v>45640</v>
      </c>
      <c r="R296" s="3">
        <v>6500</v>
      </c>
      <c r="AA296" s="65"/>
      <c r="AC296" s="19">
        <v>45640</v>
      </c>
      <c r="AD296" s="4">
        <f t="shared" si="34"/>
        <v>10000</v>
      </c>
      <c r="AE296" s="1"/>
    </row>
    <row r="297" spans="4:31" x14ac:dyDescent="0.25">
      <c r="D297" s="9" t="s">
        <v>28</v>
      </c>
      <c r="E297" s="80">
        <v>45641</v>
      </c>
      <c r="F297" s="3">
        <v>3500</v>
      </c>
      <c r="N297" s="22"/>
      <c r="Q297" s="2">
        <v>45641</v>
      </c>
      <c r="R297" s="3">
        <v>6500</v>
      </c>
      <c r="AA297" s="65"/>
      <c r="AC297" s="19">
        <v>45641</v>
      </c>
      <c r="AD297" s="4">
        <f t="shared" si="34"/>
        <v>10000</v>
      </c>
      <c r="AE297" s="1"/>
    </row>
    <row r="298" spans="4:31" x14ac:dyDescent="0.25">
      <c r="D298" s="9" t="s">
        <v>29</v>
      </c>
      <c r="E298" s="80">
        <v>45642</v>
      </c>
      <c r="F298" s="3">
        <v>3500</v>
      </c>
      <c r="N298" s="22"/>
      <c r="Q298" s="2">
        <v>45642</v>
      </c>
      <c r="R298" s="3">
        <v>6500</v>
      </c>
      <c r="AA298" s="65"/>
      <c r="AC298" s="19">
        <v>45642</v>
      </c>
      <c r="AD298" s="4">
        <f t="shared" si="34"/>
        <v>10000</v>
      </c>
      <c r="AE298" s="1"/>
    </row>
    <row r="299" spans="4:31" x14ac:dyDescent="0.25">
      <c r="D299" s="9" t="s">
        <v>30</v>
      </c>
      <c r="E299" s="80">
        <v>45643</v>
      </c>
      <c r="F299" s="3">
        <v>3500</v>
      </c>
      <c r="N299" s="22"/>
      <c r="Q299" s="2">
        <v>45643</v>
      </c>
      <c r="R299" s="3">
        <v>6500</v>
      </c>
      <c r="AA299" s="65"/>
      <c r="AC299" s="19">
        <v>45643</v>
      </c>
      <c r="AD299" s="4">
        <f t="shared" si="34"/>
        <v>10000</v>
      </c>
      <c r="AE299" s="1"/>
    </row>
    <row r="300" spans="4:31" x14ac:dyDescent="0.25">
      <c r="D300" s="9" t="s">
        <v>31</v>
      </c>
      <c r="E300" s="80">
        <v>45644</v>
      </c>
      <c r="F300" s="3">
        <v>3500</v>
      </c>
      <c r="N300" s="22"/>
      <c r="Q300" s="2">
        <v>45644</v>
      </c>
      <c r="R300" s="3">
        <v>6500</v>
      </c>
      <c r="AA300" s="65"/>
      <c r="AC300" s="19">
        <v>45644</v>
      </c>
      <c r="AD300" s="4">
        <f t="shared" si="34"/>
        <v>10000</v>
      </c>
      <c r="AE300" s="1"/>
    </row>
    <row r="301" spans="4:31" x14ac:dyDescent="0.25">
      <c r="D301" s="9" t="s">
        <v>32</v>
      </c>
      <c r="E301" s="80">
        <v>45645</v>
      </c>
      <c r="F301" s="3">
        <v>3500</v>
      </c>
      <c r="N301" s="22"/>
      <c r="Q301" s="2">
        <v>45645</v>
      </c>
      <c r="R301" s="3">
        <v>6500</v>
      </c>
      <c r="AA301" s="65"/>
      <c r="AC301" s="19">
        <v>45645</v>
      </c>
      <c r="AD301" s="4">
        <f t="shared" si="34"/>
        <v>10000</v>
      </c>
      <c r="AE301" s="1"/>
    </row>
    <row r="302" spans="4:31" x14ac:dyDescent="0.25">
      <c r="D302" s="9" t="s">
        <v>26</v>
      </c>
      <c r="E302" s="80">
        <v>45646</v>
      </c>
      <c r="F302" s="3">
        <v>3500</v>
      </c>
      <c r="N302" s="22"/>
      <c r="Q302" s="2">
        <v>45646</v>
      </c>
      <c r="R302" s="3">
        <v>6500</v>
      </c>
      <c r="AA302" s="65"/>
      <c r="AC302" s="19">
        <v>45646</v>
      </c>
      <c r="AD302" s="4">
        <f t="shared" si="34"/>
        <v>10000</v>
      </c>
      <c r="AE302" s="1"/>
    </row>
    <row r="303" spans="4:31" x14ac:dyDescent="0.25">
      <c r="D303" s="9" t="s">
        <v>27</v>
      </c>
      <c r="E303" s="80">
        <v>45647</v>
      </c>
      <c r="F303" s="3">
        <v>3500</v>
      </c>
      <c r="N303" s="22"/>
      <c r="Q303" s="2">
        <v>45647</v>
      </c>
      <c r="R303" s="3">
        <v>6500</v>
      </c>
      <c r="AA303" s="65"/>
      <c r="AC303" s="19">
        <v>45647</v>
      </c>
      <c r="AD303" s="4">
        <f t="shared" si="34"/>
        <v>10000</v>
      </c>
      <c r="AE303" s="1"/>
    </row>
    <row r="304" spans="4:31" x14ac:dyDescent="0.25">
      <c r="D304" s="9" t="s">
        <v>28</v>
      </c>
      <c r="E304" s="80">
        <v>45648</v>
      </c>
      <c r="F304" s="3">
        <v>3500</v>
      </c>
      <c r="N304" s="22"/>
      <c r="Q304" s="2">
        <v>45648</v>
      </c>
      <c r="R304" s="3">
        <v>6500</v>
      </c>
      <c r="AA304" s="65"/>
      <c r="AC304" s="19">
        <v>45648</v>
      </c>
      <c r="AD304" s="4">
        <f t="shared" si="34"/>
        <v>10000</v>
      </c>
      <c r="AE304" s="1"/>
    </row>
    <row r="305" spans="1:67" x14ac:dyDescent="0.25">
      <c r="D305" s="9" t="s">
        <v>29</v>
      </c>
      <c r="E305" s="80">
        <v>45649</v>
      </c>
      <c r="F305" s="3">
        <v>3500</v>
      </c>
      <c r="N305" s="22"/>
      <c r="Q305" s="2">
        <v>45649</v>
      </c>
      <c r="R305" s="3">
        <v>6500</v>
      </c>
      <c r="AA305" s="65"/>
      <c r="AC305" s="19">
        <v>45649</v>
      </c>
      <c r="AD305" s="4">
        <f t="shared" si="34"/>
        <v>10000</v>
      </c>
      <c r="AE305" s="1"/>
    </row>
    <row r="306" spans="1:67" x14ac:dyDescent="0.25">
      <c r="D306" s="9" t="s">
        <v>30</v>
      </c>
      <c r="E306" s="80">
        <v>45650</v>
      </c>
      <c r="F306" s="3">
        <v>3500</v>
      </c>
      <c r="N306" s="22"/>
      <c r="Q306" s="2">
        <v>45650</v>
      </c>
      <c r="R306" s="3">
        <v>6500</v>
      </c>
      <c r="AA306" s="65"/>
      <c r="AC306" s="19">
        <v>45650</v>
      </c>
      <c r="AD306" s="4">
        <f t="shared" si="34"/>
        <v>10000</v>
      </c>
      <c r="AE306" s="1"/>
    </row>
    <row r="307" spans="1:67" x14ac:dyDescent="0.25">
      <c r="D307" s="9" t="s">
        <v>31</v>
      </c>
      <c r="E307" s="80">
        <v>45651</v>
      </c>
      <c r="F307" s="3">
        <v>3500</v>
      </c>
      <c r="N307" s="22"/>
      <c r="Q307" s="2">
        <v>45651</v>
      </c>
      <c r="R307" s="3">
        <v>6500</v>
      </c>
      <c r="AA307" s="65"/>
      <c r="AC307" s="19">
        <v>45651</v>
      </c>
      <c r="AD307" s="4">
        <f t="shared" si="34"/>
        <v>10000</v>
      </c>
      <c r="AE307" s="1"/>
    </row>
    <row r="308" spans="1:67" x14ac:dyDescent="0.25">
      <c r="D308" s="9" t="s">
        <v>32</v>
      </c>
      <c r="E308" s="80">
        <v>45652</v>
      </c>
      <c r="F308" s="3">
        <v>3500</v>
      </c>
      <c r="N308" s="22"/>
      <c r="Q308" s="2">
        <v>45652</v>
      </c>
      <c r="R308" s="3">
        <v>6500</v>
      </c>
      <c r="AA308" s="65"/>
      <c r="AC308" s="19">
        <v>45652</v>
      </c>
      <c r="AD308" s="4">
        <f t="shared" si="34"/>
        <v>10000</v>
      </c>
      <c r="AE308" s="1"/>
    </row>
    <row r="309" spans="1:67" x14ac:dyDescent="0.25">
      <c r="D309" s="9" t="s">
        <v>26</v>
      </c>
      <c r="E309" s="80">
        <v>45653</v>
      </c>
      <c r="F309" s="3">
        <v>3500</v>
      </c>
      <c r="N309" s="22"/>
      <c r="Q309" s="2">
        <v>45653</v>
      </c>
      <c r="R309" s="3">
        <v>6500</v>
      </c>
      <c r="AA309" s="65"/>
      <c r="AC309" s="19">
        <v>45653</v>
      </c>
      <c r="AD309" s="4">
        <f t="shared" si="34"/>
        <v>10000</v>
      </c>
      <c r="AE309" s="1"/>
    </row>
    <row r="310" spans="1:67" x14ac:dyDescent="0.25">
      <c r="D310" s="9" t="s">
        <v>27</v>
      </c>
      <c r="E310" s="80">
        <v>45654</v>
      </c>
      <c r="F310" s="3">
        <v>3500</v>
      </c>
      <c r="N310" s="22"/>
      <c r="Q310" s="2">
        <v>45654</v>
      </c>
      <c r="R310" s="3">
        <v>6500</v>
      </c>
      <c r="AA310" s="65"/>
      <c r="AC310" s="19">
        <v>45654</v>
      </c>
      <c r="AD310" s="4">
        <f t="shared" si="34"/>
        <v>10000</v>
      </c>
      <c r="AE310" s="1"/>
    </row>
    <row r="311" spans="1:67" x14ac:dyDescent="0.25">
      <c r="D311" s="9" t="s">
        <v>28</v>
      </c>
      <c r="E311" s="80">
        <v>45655</v>
      </c>
      <c r="F311" s="3">
        <v>3500</v>
      </c>
      <c r="N311" s="22"/>
      <c r="Q311" s="2">
        <v>45655</v>
      </c>
      <c r="R311" s="3">
        <v>6500</v>
      </c>
      <c r="AA311" s="65"/>
      <c r="AC311" s="19">
        <v>45655</v>
      </c>
      <c r="AD311" s="4">
        <f t="shared" si="34"/>
        <v>10000</v>
      </c>
      <c r="AE311" s="1"/>
    </row>
    <row r="312" spans="1:67" x14ac:dyDescent="0.25">
      <c r="D312" s="9" t="s">
        <v>29</v>
      </c>
      <c r="E312" s="80">
        <v>45656</v>
      </c>
      <c r="F312" s="3">
        <v>3500</v>
      </c>
      <c r="N312" s="22"/>
      <c r="Q312" s="2">
        <v>45656</v>
      </c>
      <c r="R312" s="3">
        <v>6500</v>
      </c>
      <c r="AA312" s="65"/>
      <c r="AC312" s="19">
        <v>45656</v>
      </c>
      <c r="AD312" s="4">
        <f t="shared" si="34"/>
        <v>10000</v>
      </c>
      <c r="AE312" s="1"/>
    </row>
    <row r="313" spans="1:67" s="13" customFormat="1" x14ac:dyDescent="0.25">
      <c r="D313" s="13" t="s">
        <v>30</v>
      </c>
      <c r="E313" s="81">
        <v>45657</v>
      </c>
      <c r="F313" s="11">
        <v>3500</v>
      </c>
      <c r="G313" s="50"/>
      <c r="N313" s="30"/>
      <c r="Q313" s="10">
        <v>45657</v>
      </c>
      <c r="R313" s="11">
        <v>6500</v>
      </c>
      <c r="S313" s="50"/>
      <c r="Y313" s="16"/>
      <c r="Z313" s="16"/>
      <c r="AA313" s="71"/>
      <c r="AC313" s="20">
        <v>45657</v>
      </c>
      <c r="AD313" s="11">
        <f t="shared" si="34"/>
        <v>10000</v>
      </c>
      <c r="AE313" s="16"/>
      <c r="BJ313" s="16"/>
    </row>
    <row r="316" spans="1:67" ht="27.75" customHeight="1" x14ac:dyDescent="0.25">
      <c r="A316" s="73"/>
      <c r="B316" s="73"/>
      <c r="C316" s="73"/>
      <c r="D316" s="156" t="s">
        <v>232</v>
      </c>
      <c r="E316" s="165" t="s">
        <v>55</v>
      </c>
      <c r="F316" s="158" t="s">
        <v>187</v>
      </c>
      <c r="G316" s="139"/>
      <c r="H316" s="168" t="s">
        <v>4</v>
      </c>
      <c r="I316" s="160" t="s">
        <v>234</v>
      </c>
      <c r="J316" s="160" t="s">
        <v>231</v>
      </c>
      <c r="K316" s="158" t="s">
        <v>238</v>
      </c>
      <c r="L316" s="158" t="s">
        <v>235</v>
      </c>
      <c r="M316" s="139"/>
      <c r="N316" s="139" t="s">
        <v>236</v>
      </c>
      <c r="O316" s="160" t="s">
        <v>237</v>
      </c>
      <c r="P316" s="157" t="s">
        <v>233</v>
      </c>
      <c r="Q316" s="163" t="s">
        <v>55</v>
      </c>
      <c r="R316" s="147" t="s">
        <v>187</v>
      </c>
      <c r="S316" s="129"/>
      <c r="T316" s="142" t="s">
        <v>4</v>
      </c>
      <c r="U316" s="132" t="s">
        <v>234</v>
      </c>
      <c r="V316" s="132" t="s">
        <v>231</v>
      </c>
      <c r="W316" s="147" t="s">
        <v>238</v>
      </c>
      <c r="X316" s="147" t="s">
        <v>235</v>
      </c>
      <c r="Y316" s="129"/>
      <c r="Z316" s="129" t="s">
        <v>236</v>
      </c>
      <c r="AA316" s="132" t="s">
        <v>237</v>
      </c>
      <c r="AC316" s="120" t="s">
        <v>55</v>
      </c>
      <c r="AD316" s="135" t="s">
        <v>187</v>
      </c>
      <c r="AE316" s="136"/>
      <c r="AF316" s="117" t="s">
        <v>4</v>
      </c>
      <c r="AG316" s="135" t="s">
        <v>239</v>
      </c>
      <c r="AH316" s="136"/>
      <c r="AI316" s="126" t="s">
        <v>244</v>
      </c>
      <c r="AJ316" s="114" t="s">
        <v>245</v>
      </c>
      <c r="AK316" s="112" t="s">
        <v>241</v>
      </c>
      <c r="AL316" s="112"/>
      <c r="AM316" s="112"/>
      <c r="AN316" s="112"/>
      <c r="AO316" s="112"/>
      <c r="AP316" s="112"/>
      <c r="AQ316" s="112"/>
      <c r="AR316" s="112"/>
      <c r="AS316" s="112"/>
      <c r="AT316" s="112"/>
      <c r="AU316" s="112"/>
      <c r="AV316" s="112"/>
      <c r="AW316" s="112"/>
      <c r="AX316" s="112"/>
      <c r="AY316" s="112"/>
      <c r="AZ316" s="112"/>
      <c r="BA316" s="112"/>
      <c r="BB316" s="112"/>
      <c r="BC316" s="112"/>
      <c r="BD316" s="112"/>
      <c r="BE316" s="112"/>
      <c r="BF316" s="112"/>
      <c r="BG316" s="112"/>
      <c r="BH316" s="112"/>
      <c r="BI316" s="112"/>
      <c r="BJ316" s="112"/>
      <c r="BK316" s="112"/>
      <c r="BL316" s="112"/>
      <c r="BM316" s="113"/>
      <c r="BN316" s="117" t="s">
        <v>1</v>
      </c>
      <c r="BO316" s="120" t="s">
        <v>55</v>
      </c>
    </row>
    <row r="317" spans="1:67" ht="27.75" customHeight="1" x14ac:dyDescent="0.25">
      <c r="A317" s="73"/>
      <c r="B317" s="73"/>
      <c r="C317" s="73"/>
      <c r="D317" s="156"/>
      <c r="E317" s="166"/>
      <c r="F317" s="159"/>
      <c r="G317" s="141"/>
      <c r="H317" s="169"/>
      <c r="I317" s="161"/>
      <c r="J317" s="161"/>
      <c r="K317" s="171"/>
      <c r="L317" s="159"/>
      <c r="M317" s="141"/>
      <c r="N317" s="140"/>
      <c r="O317" s="161"/>
      <c r="P317" s="157"/>
      <c r="Q317" s="164"/>
      <c r="R317" s="148"/>
      <c r="S317" s="131"/>
      <c r="T317" s="143"/>
      <c r="U317" s="133"/>
      <c r="V317" s="133"/>
      <c r="W317" s="170"/>
      <c r="X317" s="148"/>
      <c r="Y317" s="131"/>
      <c r="Z317" s="130"/>
      <c r="AA317" s="133"/>
      <c r="AC317" s="121"/>
      <c r="AD317" s="137"/>
      <c r="AE317" s="138"/>
      <c r="AF317" s="145"/>
      <c r="AG317" s="137"/>
      <c r="AH317" s="138"/>
      <c r="AI317" s="127"/>
      <c r="AJ317" s="115"/>
      <c r="AK317" s="123" t="s">
        <v>13</v>
      </c>
      <c r="AL317" s="123"/>
      <c r="AM317" s="123" t="s">
        <v>75</v>
      </c>
      <c r="AN317" s="123"/>
      <c r="AO317" s="124"/>
      <c r="AP317" s="125"/>
      <c r="AQ317" s="124"/>
      <c r="AR317" s="125"/>
      <c r="AS317" s="124"/>
      <c r="AT317" s="125"/>
      <c r="AU317" s="124"/>
      <c r="AV317" s="125"/>
      <c r="AW317" s="124"/>
      <c r="AX317" s="125"/>
      <c r="AY317" s="123" t="s">
        <v>76</v>
      </c>
      <c r="AZ317" s="123"/>
      <c r="BA317" s="123" t="s">
        <v>77</v>
      </c>
      <c r="BB317" s="123"/>
      <c r="BC317" s="124"/>
      <c r="BD317" s="125"/>
      <c r="BE317" s="124"/>
      <c r="BF317" s="125"/>
      <c r="BG317" s="124"/>
      <c r="BH317" s="125"/>
      <c r="BI317" s="123" t="s">
        <v>243</v>
      </c>
      <c r="BJ317" s="123"/>
      <c r="BK317" s="123" t="s">
        <v>242</v>
      </c>
      <c r="BL317" s="124"/>
      <c r="BM317" s="120" t="s">
        <v>54</v>
      </c>
      <c r="BN317" s="118"/>
      <c r="BO317" s="121"/>
    </row>
    <row r="318" spans="1:67" x14ac:dyDescent="0.25">
      <c r="A318" s="73"/>
      <c r="B318" s="73"/>
      <c r="C318" s="73"/>
      <c r="D318" s="156"/>
      <c r="E318" s="167"/>
      <c r="F318" s="74" t="s">
        <v>229</v>
      </c>
      <c r="G318" s="75" t="s">
        <v>230</v>
      </c>
      <c r="H318" s="167"/>
      <c r="I318" s="162"/>
      <c r="J318" s="162"/>
      <c r="K318" s="159"/>
      <c r="L318" s="76" t="s">
        <v>229</v>
      </c>
      <c r="M318" s="76" t="s">
        <v>230</v>
      </c>
      <c r="N318" s="141"/>
      <c r="O318" s="162"/>
      <c r="P318" s="157"/>
      <c r="Q318" s="144"/>
      <c r="R318" s="77" t="s">
        <v>229</v>
      </c>
      <c r="S318" s="78" t="s">
        <v>230</v>
      </c>
      <c r="T318" s="144"/>
      <c r="U318" s="134"/>
      <c r="V318" s="134"/>
      <c r="W318" s="148"/>
      <c r="X318" s="79" t="s">
        <v>229</v>
      </c>
      <c r="Y318" s="79" t="s">
        <v>230</v>
      </c>
      <c r="Z318" s="131"/>
      <c r="AA318" s="134"/>
      <c r="AC318" s="122"/>
      <c r="AD318" s="40" t="s">
        <v>229</v>
      </c>
      <c r="AE318" s="39" t="s">
        <v>230</v>
      </c>
      <c r="AF318" s="146"/>
      <c r="AG318" s="36" t="s">
        <v>240</v>
      </c>
      <c r="AH318" s="44" t="s">
        <v>230</v>
      </c>
      <c r="AI318" s="128"/>
      <c r="AJ318" s="116"/>
      <c r="AK318" s="36" t="s">
        <v>240</v>
      </c>
      <c r="AL318" s="36" t="s">
        <v>230</v>
      </c>
      <c r="AM318" s="36" t="s">
        <v>240</v>
      </c>
      <c r="AN318" s="36" t="s">
        <v>230</v>
      </c>
      <c r="AO318" s="36" t="s">
        <v>240</v>
      </c>
      <c r="AP318" s="36" t="s">
        <v>230</v>
      </c>
      <c r="AQ318" s="36" t="s">
        <v>240</v>
      </c>
      <c r="AR318" s="36" t="s">
        <v>230</v>
      </c>
      <c r="AS318" s="36" t="s">
        <v>240</v>
      </c>
      <c r="AT318" s="36" t="s">
        <v>230</v>
      </c>
      <c r="AU318" s="36" t="s">
        <v>240</v>
      </c>
      <c r="AV318" s="36" t="s">
        <v>230</v>
      </c>
      <c r="AW318" s="36" t="s">
        <v>240</v>
      </c>
      <c r="AX318" s="36" t="s">
        <v>230</v>
      </c>
      <c r="AY318" s="36" t="s">
        <v>240</v>
      </c>
      <c r="AZ318" s="36" t="s">
        <v>230</v>
      </c>
      <c r="BA318" s="36" t="s">
        <v>240</v>
      </c>
      <c r="BB318" s="36" t="s">
        <v>230</v>
      </c>
      <c r="BC318" s="36" t="s">
        <v>240</v>
      </c>
      <c r="BD318" s="36" t="s">
        <v>230</v>
      </c>
      <c r="BE318" s="36" t="s">
        <v>240</v>
      </c>
      <c r="BF318" s="36" t="s">
        <v>230</v>
      </c>
      <c r="BG318" s="36" t="s">
        <v>240</v>
      </c>
      <c r="BH318" s="36" t="s">
        <v>230</v>
      </c>
      <c r="BI318" s="36" t="s">
        <v>240</v>
      </c>
      <c r="BJ318" s="36" t="s">
        <v>230</v>
      </c>
      <c r="BK318" s="36" t="s">
        <v>240</v>
      </c>
      <c r="BL318" s="45" t="s">
        <v>230</v>
      </c>
      <c r="BM318" s="122"/>
      <c r="BN318" s="119"/>
      <c r="BO318" s="122"/>
    </row>
    <row r="319" spans="1:67" hidden="1" x14ac:dyDescent="0.25">
      <c r="D319" s="9" t="s">
        <v>26</v>
      </c>
      <c r="E319" s="6">
        <v>45352</v>
      </c>
      <c r="F319" s="38"/>
      <c r="G319" s="51"/>
      <c r="H319" s="4">
        <f>F8*50%</f>
        <v>7025.65</v>
      </c>
      <c r="I319" s="5">
        <v>1995</v>
      </c>
      <c r="J319" s="4">
        <f>(G319+H319)-I319</f>
        <v>5030.6499999999996</v>
      </c>
      <c r="K319" s="4">
        <f>J319</f>
        <v>5030.6499999999996</v>
      </c>
      <c r="L319" s="3"/>
      <c r="M319" s="3">
        <v>50</v>
      </c>
      <c r="N319" s="25">
        <f>I319+M319</f>
        <v>2045</v>
      </c>
      <c r="O319" s="28">
        <f>K319-M319</f>
        <v>4980.6499999999996</v>
      </c>
      <c r="P319" s="9" t="s">
        <v>26</v>
      </c>
      <c r="Q319" s="2">
        <v>45352</v>
      </c>
      <c r="R319" s="38"/>
      <c r="S319" s="52"/>
      <c r="T319" s="4">
        <f>R8*45%</f>
        <v>3706.65</v>
      </c>
      <c r="U319" s="5">
        <v>1410</v>
      </c>
      <c r="V319" s="4">
        <f>(S319+T319)-U319</f>
        <v>2296.65</v>
      </c>
      <c r="W319" s="4">
        <f>V319</f>
        <v>2296.65</v>
      </c>
      <c r="X319" s="7"/>
      <c r="Y319" s="7"/>
      <c r="Z319" s="25">
        <f>U319+Y319</f>
        <v>1410</v>
      </c>
      <c r="AA319" s="72">
        <f>W319-Y319</f>
        <v>2296.65</v>
      </c>
      <c r="AB319" s="9" t="s">
        <v>26</v>
      </c>
      <c r="AC319" s="19">
        <v>45352</v>
      </c>
      <c r="AD319" s="41"/>
      <c r="AE319" s="42"/>
      <c r="AF319" s="4">
        <f t="shared" ref="AF319:AF382" si="35">AD8-H319-T319</f>
        <v>11556</v>
      </c>
      <c r="AG319" s="7"/>
      <c r="AH319" s="18">
        <v>1497</v>
      </c>
      <c r="AI319" s="4">
        <f>(AE319+AF319)-AH319</f>
        <v>10059</v>
      </c>
      <c r="AJ319" s="4">
        <f>AI319</f>
        <v>10059</v>
      </c>
      <c r="AK319" s="18"/>
      <c r="AL319" s="8">
        <f>(3000+20)</f>
        <v>3020</v>
      </c>
      <c r="AM319" s="46"/>
      <c r="AN319" s="46"/>
      <c r="AO319" s="18"/>
      <c r="AP319" s="18"/>
      <c r="AQ319" s="46"/>
      <c r="AR319" s="46"/>
      <c r="AS319" s="18"/>
      <c r="AT319" s="18"/>
      <c r="AU319" s="46"/>
      <c r="AV319" s="46"/>
      <c r="AW319" s="18"/>
      <c r="AX319" s="18"/>
      <c r="AY319" s="46"/>
      <c r="AZ319" s="46"/>
      <c r="BA319" s="18"/>
      <c r="BB319" s="18"/>
      <c r="BC319" s="46"/>
      <c r="BD319" s="46"/>
      <c r="BE319" s="18"/>
      <c r="BF319" s="18"/>
      <c r="BG319" s="46"/>
      <c r="BH319" s="46"/>
      <c r="BI319" s="18"/>
      <c r="BJ319" s="7"/>
      <c r="BK319" s="46"/>
      <c r="BL319" s="46"/>
      <c r="BM319" s="24">
        <f>AL319+AN319+AP319+AR319+AT319+AV319+AX319+AZ319+BB319+BD319+BF319+BH319+BJ319+BL319</f>
        <v>3020</v>
      </c>
      <c r="BN319" s="28">
        <f t="shared" ref="BN319:BN382" si="36">AJ319-BM319</f>
        <v>7039</v>
      </c>
      <c r="BO319" s="6">
        <v>45352</v>
      </c>
    </row>
    <row r="320" spans="1:67" hidden="1" x14ac:dyDescent="0.25">
      <c r="D320" s="9" t="s">
        <v>27</v>
      </c>
      <c r="E320" s="2">
        <v>45353</v>
      </c>
      <c r="F320" s="38"/>
      <c r="G320" s="51"/>
      <c r="H320" s="4">
        <f t="shared" ref="H320:H383" si="37">F9*50%</f>
        <v>6040.35</v>
      </c>
      <c r="I320" s="5">
        <v>2011</v>
      </c>
      <c r="J320" s="4">
        <f>(G320+H320)-I320</f>
        <v>4029.3500000000004</v>
      </c>
      <c r="K320" s="4">
        <f>J320+O319</f>
        <v>9010</v>
      </c>
      <c r="L320" s="3"/>
      <c r="M320" s="3"/>
      <c r="N320" s="25">
        <f>I320+M320</f>
        <v>2011</v>
      </c>
      <c r="O320" s="28">
        <f>K320-M320</f>
        <v>9010</v>
      </c>
      <c r="P320" s="9" t="s">
        <v>27</v>
      </c>
      <c r="Q320" s="2">
        <v>45353</v>
      </c>
      <c r="R320" s="38"/>
      <c r="S320" s="52"/>
      <c r="T320" s="4">
        <f t="shared" ref="T320:T383" si="38">R9*45%</f>
        <v>6139.35</v>
      </c>
      <c r="U320" s="5">
        <v>776</v>
      </c>
      <c r="V320" s="4">
        <f>(S320+T320)-U320</f>
        <v>5363.35</v>
      </c>
      <c r="W320" s="4">
        <f>V320+AA319</f>
        <v>7660</v>
      </c>
      <c r="X320" s="3"/>
      <c r="Y320" s="3"/>
      <c r="Z320" s="25">
        <f>U320+Y320</f>
        <v>776</v>
      </c>
      <c r="AA320" s="72">
        <f>W320-Y320</f>
        <v>7660</v>
      </c>
      <c r="AB320" s="9" t="s">
        <v>27</v>
      </c>
      <c r="AC320" s="19">
        <v>45353</v>
      </c>
      <c r="AD320" s="41"/>
      <c r="AE320" s="42"/>
      <c r="AF320" s="4">
        <f t="shared" si="35"/>
        <v>13543.999999999998</v>
      </c>
      <c r="AG320" s="3"/>
      <c r="AH320" s="8">
        <v>1440</v>
      </c>
      <c r="AI320" s="4">
        <f>(AE320+AF320)-AH320</f>
        <v>12103.999999999998</v>
      </c>
      <c r="AJ320" s="4">
        <f t="shared" ref="AJ320:AJ383" si="39">AI320+BN319</f>
        <v>19143</v>
      </c>
      <c r="AK320" s="8"/>
      <c r="AL320" s="8">
        <f>(2000+1000+3500+1500+500)</f>
        <v>8500</v>
      </c>
      <c r="AM320" s="47"/>
      <c r="AN320" s="47"/>
      <c r="AO320" s="8"/>
      <c r="AP320" s="8"/>
      <c r="AQ320" s="47"/>
      <c r="AR320" s="47"/>
      <c r="AS320" s="8"/>
      <c r="AT320" s="8"/>
      <c r="AU320" s="47"/>
      <c r="AV320" s="47"/>
      <c r="AW320" s="8"/>
      <c r="AX320" s="8"/>
      <c r="AY320" s="47"/>
      <c r="AZ320" s="47"/>
      <c r="BA320" s="8"/>
      <c r="BB320" s="8"/>
      <c r="BC320" s="47"/>
      <c r="BD320" s="47"/>
      <c r="BE320" s="8"/>
      <c r="BF320" s="8"/>
      <c r="BG320" s="47"/>
      <c r="BH320" s="47"/>
      <c r="BI320" s="8"/>
      <c r="BJ320" s="3"/>
      <c r="BK320" s="47"/>
      <c r="BL320" s="47"/>
      <c r="BM320" s="24">
        <f t="shared" ref="BM320:BM383" si="40">AL320+AN320+AP320+AR320+AT320+AV320+AX320+AZ320+BB320+BD320+BF320+BH320+BJ320+BL320</f>
        <v>8500</v>
      </c>
      <c r="BN320" s="28">
        <f t="shared" si="36"/>
        <v>10643</v>
      </c>
      <c r="BO320" s="2">
        <v>45353</v>
      </c>
    </row>
    <row r="321" spans="4:67" hidden="1" x14ac:dyDescent="0.25">
      <c r="D321" s="9" t="s">
        <v>28</v>
      </c>
      <c r="E321" s="2">
        <v>45354</v>
      </c>
      <c r="F321" s="38"/>
      <c r="G321" s="51"/>
      <c r="H321" s="4">
        <f t="shared" si="37"/>
        <v>6807.65</v>
      </c>
      <c r="I321" s="5">
        <v>0</v>
      </c>
      <c r="J321" s="4">
        <f t="shared" ref="J321:J383" si="41">(G321+H321)-I321</f>
        <v>6807.65</v>
      </c>
      <c r="K321" s="4">
        <f t="shared" ref="K321:K384" si="42">J321+O320</f>
        <v>15817.65</v>
      </c>
      <c r="L321" s="3"/>
      <c r="M321" s="3">
        <f>(1825+5000)</f>
        <v>6825</v>
      </c>
      <c r="N321" s="25">
        <f t="shared" ref="N321:N383" si="43">I321+M321</f>
        <v>6825</v>
      </c>
      <c r="O321" s="28">
        <f t="shared" ref="O321:O384" si="44">K321-M321</f>
        <v>8992.65</v>
      </c>
      <c r="P321" s="9" t="s">
        <v>28</v>
      </c>
      <c r="Q321" s="2">
        <v>45354</v>
      </c>
      <c r="R321" s="38"/>
      <c r="S321" s="52"/>
      <c r="T321" s="4">
        <f t="shared" si="38"/>
        <v>3726</v>
      </c>
      <c r="U321" s="5">
        <v>0</v>
      </c>
      <c r="V321" s="4">
        <f t="shared" ref="V321:V333" si="45">(S321+T321)-U321</f>
        <v>3726</v>
      </c>
      <c r="W321" s="4">
        <f t="shared" ref="W321:W384" si="46">V321+AA320</f>
        <v>11386</v>
      </c>
      <c r="X321" s="3"/>
      <c r="Y321" s="3"/>
      <c r="Z321" s="25">
        <f t="shared" ref="Z321:Z384" si="47">U321+Y321</f>
        <v>0</v>
      </c>
      <c r="AA321" s="72">
        <f t="shared" ref="AA321:AA384" si="48">W321-Y321</f>
        <v>11386</v>
      </c>
      <c r="AB321" s="9" t="s">
        <v>28</v>
      </c>
      <c r="AC321" s="19">
        <v>45354</v>
      </c>
      <c r="AD321" s="41"/>
      <c r="AE321" s="42"/>
      <c r="AF321" s="4">
        <f t="shared" si="35"/>
        <v>11361.65</v>
      </c>
      <c r="AG321" s="3"/>
      <c r="AH321" s="8">
        <v>907</v>
      </c>
      <c r="AI321" s="4">
        <f t="shared" ref="AI321:AI333" si="49">(AE321+AF321)-AH321</f>
        <v>10454.65</v>
      </c>
      <c r="AJ321" s="4">
        <f t="shared" si="39"/>
        <v>21097.65</v>
      </c>
      <c r="AK321" s="8"/>
      <c r="AL321" s="8">
        <f>(3384)</f>
        <v>3384</v>
      </c>
      <c r="AM321" s="47"/>
      <c r="AN321" s="47"/>
      <c r="AO321" s="8"/>
      <c r="AP321" s="8"/>
      <c r="AQ321" s="47"/>
      <c r="AR321" s="47"/>
      <c r="AS321" s="8"/>
      <c r="AT321" s="8"/>
      <c r="AU321" s="47"/>
      <c r="AV321" s="47"/>
      <c r="AW321" s="8"/>
      <c r="AX321" s="8"/>
      <c r="AY321" s="47"/>
      <c r="AZ321" s="47"/>
      <c r="BA321" s="8"/>
      <c r="BB321" s="8"/>
      <c r="BC321" s="47"/>
      <c r="BD321" s="47"/>
      <c r="BE321" s="8"/>
      <c r="BF321" s="8"/>
      <c r="BG321" s="47"/>
      <c r="BH321" s="47"/>
      <c r="BI321" s="8"/>
      <c r="BJ321" s="3"/>
      <c r="BK321" s="47"/>
      <c r="BL321" s="47"/>
      <c r="BM321" s="24">
        <f t="shared" si="40"/>
        <v>3384</v>
      </c>
      <c r="BN321" s="28">
        <f t="shared" si="36"/>
        <v>17713.650000000001</v>
      </c>
      <c r="BO321" s="2">
        <v>45354</v>
      </c>
    </row>
    <row r="322" spans="4:67" hidden="1" x14ac:dyDescent="0.25">
      <c r="D322" s="9" t="s">
        <v>29</v>
      </c>
      <c r="E322" s="2">
        <v>45355</v>
      </c>
      <c r="F322" s="38"/>
      <c r="G322" s="51"/>
      <c r="H322" s="4">
        <f t="shared" si="37"/>
        <v>5432.65</v>
      </c>
      <c r="I322" s="5">
        <v>1718</v>
      </c>
      <c r="J322" s="4">
        <f t="shared" si="41"/>
        <v>3714.6499999999996</v>
      </c>
      <c r="K322" s="4">
        <f t="shared" si="42"/>
        <v>12707.3</v>
      </c>
      <c r="L322" s="3"/>
      <c r="M322" s="3">
        <v>9118</v>
      </c>
      <c r="N322" s="25">
        <f t="shared" si="43"/>
        <v>10836</v>
      </c>
      <c r="O322" s="28">
        <f t="shared" si="44"/>
        <v>3589.2999999999993</v>
      </c>
      <c r="P322" s="9" t="s">
        <v>29</v>
      </c>
      <c r="Q322" s="2">
        <v>45355</v>
      </c>
      <c r="R322" s="38"/>
      <c r="S322" s="52"/>
      <c r="T322" s="4">
        <f t="shared" si="38"/>
        <v>2593.35</v>
      </c>
      <c r="U322" s="5">
        <v>0</v>
      </c>
      <c r="V322" s="4">
        <f t="shared" si="45"/>
        <v>2593.35</v>
      </c>
      <c r="W322" s="4">
        <f t="shared" si="46"/>
        <v>13979.35</v>
      </c>
      <c r="X322" s="3"/>
      <c r="Y322" s="3"/>
      <c r="Z322" s="25">
        <f t="shared" si="47"/>
        <v>0</v>
      </c>
      <c r="AA322" s="72">
        <f t="shared" si="48"/>
        <v>13979.35</v>
      </c>
      <c r="AB322" s="9" t="s">
        <v>29</v>
      </c>
      <c r="AC322" s="19">
        <v>45355</v>
      </c>
      <c r="AD322" s="41"/>
      <c r="AE322" s="42"/>
      <c r="AF322" s="4">
        <f t="shared" si="35"/>
        <v>8602.2999999999993</v>
      </c>
      <c r="AG322" s="3"/>
      <c r="AH322" s="8">
        <v>473</v>
      </c>
      <c r="AI322" s="4">
        <f t="shared" si="49"/>
        <v>8129.2999999999993</v>
      </c>
      <c r="AJ322" s="4">
        <f t="shared" si="39"/>
        <v>25842.95</v>
      </c>
      <c r="AK322" s="8"/>
      <c r="AL322" s="8">
        <f>(3000+479+10000)</f>
        <v>13479</v>
      </c>
      <c r="AM322" s="47"/>
      <c r="AN322" s="47"/>
      <c r="AO322" s="8"/>
      <c r="AP322" s="8"/>
      <c r="AQ322" s="47"/>
      <c r="AR322" s="47"/>
      <c r="AS322" s="8"/>
      <c r="AT322" s="8"/>
      <c r="AU322" s="47"/>
      <c r="AV322" s="47"/>
      <c r="AW322" s="8"/>
      <c r="AX322" s="8"/>
      <c r="AY322" s="47"/>
      <c r="AZ322" s="47"/>
      <c r="BA322" s="8"/>
      <c r="BB322" s="8"/>
      <c r="BC322" s="47"/>
      <c r="BD322" s="47"/>
      <c r="BE322" s="8"/>
      <c r="BF322" s="8"/>
      <c r="BG322" s="47"/>
      <c r="BH322" s="47"/>
      <c r="BI322" s="8"/>
      <c r="BJ322" s="3"/>
      <c r="BK322" s="47"/>
      <c r="BL322" s="47"/>
      <c r="BM322" s="24">
        <f t="shared" si="40"/>
        <v>13479</v>
      </c>
      <c r="BN322" s="28">
        <f t="shared" si="36"/>
        <v>12363.95</v>
      </c>
      <c r="BO322" s="2">
        <v>45355</v>
      </c>
    </row>
    <row r="323" spans="4:67" hidden="1" x14ac:dyDescent="0.25">
      <c r="D323" s="9" t="s">
        <v>30</v>
      </c>
      <c r="E323" s="2">
        <v>45356</v>
      </c>
      <c r="F323" s="38"/>
      <c r="G323" s="51"/>
      <c r="H323" s="4">
        <f t="shared" si="37"/>
        <v>6800.3249999999998</v>
      </c>
      <c r="I323" s="5">
        <v>1249</v>
      </c>
      <c r="J323" s="4">
        <f t="shared" si="41"/>
        <v>5551.3249999999998</v>
      </c>
      <c r="K323" s="4">
        <f t="shared" si="42"/>
        <v>9140.625</v>
      </c>
      <c r="L323" s="3"/>
      <c r="M323" s="3"/>
      <c r="N323" s="25">
        <f t="shared" si="43"/>
        <v>1249</v>
      </c>
      <c r="O323" s="28">
        <f>K323-M323</f>
        <v>9140.625</v>
      </c>
      <c r="P323" s="9" t="s">
        <v>30</v>
      </c>
      <c r="Q323" s="2">
        <v>45356</v>
      </c>
      <c r="R323" s="38"/>
      <c r="S323" s="52"/>
      <c r="T323" s="4">
        <f t="shared" si="38"/>
        <v>4570.2</v>
      </c>
      <c r="U323" s="5">
        <v>0</v>
      </c>
      <c r="V323" s="4">
        <f t="shared" si="45"/>
        <v>4570.2</v>
      </c>
      <c r="W323" s="4">
        <f t="shared" si="46"/>
        <v>18549.55</v>
      </c>
      <c r="X323" s="3"/>
      <c r="Y323" s="3"/>
      <c r="Z323" s="25">
        <f t="shared" si="47"/>
        <v>0</v>
      </c>
      <c r="AA323" s="72">
        <f t="shared" si="48"/>
        <v>18549.55</v>
      </c>
      <c r="AB323" s="9" t="s">
        <v>30</v>
      </c>
      <c r="AC323" s="19">
        <v>45356</v>
      </c>
      <c r="AD323" s="41"/>
      <c r="AE323" s="42"/>
      <c r="AF323" s="4">
        <f t="shared" si="35"/>
        <v>12386.125</v>
      </c>
      <c r="AG323" s="3"/>
      <c r="AH323" s="8">
        <v>881</v>
      </c>
      <c r="AI323" s="4">
        <f t="shared" si="49"/>
        <v>11505.125</v>
      </c>
      <c r="AJ323" s="4">
        <f t="shared" si="39"/>
        <v>23869.075000000001</v>
      </c>
      <c r="AK323" s="8"/>
      <c r="AL323" s="8">
        <f>(500+10564+4476+2551+1800+1000+3950+2000)</f>
        <v>26841</v>
      </c>
      <c r="AM323" s="47"/>
      <c r="AN323" s="47"/>
      <c r="AO323" s="8"/>
      <c r="AP323" s="8"/>
      <c r="AQ323" s="47"/>
      <c r="AR323" s="47"/>
      <c r="AS323" s="8"/>
      <c r="AT323" s="8"/>
      <c r="AU323" s="47"/>
      <c r="AV323" s="47"/>
      <c r="AW323" s="8"/>
      <c r="AX323" s="8"/>
      <c r="AY323" s="47"/>
      <c r="AZ323" s="47"/>
      <c r="BA323" s="8"/>
      <c r="BB323" s="8"/>
      <c r="BC323" s="47"/>
      <c r="BD323" s="47"/>
      <c r="BE323" s="8"/>
      <c r="BF323" s="8"/>
      <c r="BG323" s="47"/>
      <c r="BH323" s="47"/>
      <c r="BI323" s="8"/>
      <c r="BJ323" s="3"/>
      <c r="BK323" s="47"/>
      <c r="BL323" s="47"/>
      <c r="BM323" s="24">
        <f t="shared" si="40"/>
        <v>26841</v>
      </c>
      <c r="BN323" s="28">
        <f t="shared" si="36"/>
        <v>-2971.9249999999993</v>
      </c>
      <c r="BO323" s="2">
        <v>45356</v>
      </c>
    </row>
    <row r="324" spans="4:67" hidden="1" x14ac:dyDescent="0.25">
      <c r="D324" s="9" t="s">
        <v>31</v>
      </c>
      <c r="E324" s="2">
        <v>45357</v>
      </c>
      <c r="F324" s="38"/>
      <c r="G324" s="51"/>
      <c r="H324" s="4">
        <f t="shared" si="37"/>
        <v>6558.5</v>
      </c>
      <c r="I324" s="5">
        <v>1975</v>
      </c>
      <c r="J324" s="4">
        <f t="shared" si="41"/>
        <v>4583.5</v>
      </c>
      <c r="K324" s="4">
        <f t="shared" si="42"/>
        <v>13724.125</v>
      </c>
      <c r="L324" s="3"/>
      <c r="M324" s="3">
        <v>3000</v>
      </c>
      <c r="N324" s="25">
        <f t="shared" si="43"/>
        <v>4975</v>
      </c>
      <c r="O324" s="28">
        <f t="shared" si="44"/>
        <v>10724.125</v>
      </c>
      <c r="P324" s="9" t="s">
        <v>31</v>
      </c>
      <c r="Q324" s="2">
        <v>45357</v>
      </c>
      <c r="R324" s="38"/>
      <c r="S324" s="52"/>
      <c r="T324" s="4">
        <f t="shared" si="38"/>
        <v>4662.45</v>
      </c>
      <c r="U324" s="5">
        <v>0</v>
      </c>
      <c r="V324" s="4">
        <f t="shared" si="45"/>
        <v>4662.45</v>
      </c>
      <c r="W324" s="4">
        <f t="shared" si="46"/>
        <v>23212</v>
      </c>
      <c r="X324" s="3"/>
      <c r="Y324" s="3"/>
      <c r="Z324" s="25">
        <f t="shared" si="47"/>
        <v>0</v>
      </c>
      <c r="AA324" s="72">
        <f t="shared" si="48"/>
        <v>23212</v>
      </c>
      <c r="AB324" s="9" t="s">
        <v>31</v>
      </c>
      <c r="AC324" s="19">
        <v>45357</v>
      </c>
      <c r="AD324" s="41"/>
      <c r="AE324" s="42"/>
      <c r="AF324" s="4">
        <f t="shared" si="35"/>
        <v>12257.05</v>
      </c>
      <c r="AG324" s="3"/>
      <c r="AH324" s="8">
        <v>623</v>
      </c>
      <c r="AI324" s="4">
        <f t="shared" si="49"/>
        <v>11634.05</v>
      </c>
      <c r="AJ324" s="4">
        <f t="shared" si="39"/>
        <v>8662.125</v>
      </c>
      <c r="AK324" s="3"/>
      <c r="AL324" s="8">
        <f>(9915+1000+1000+720+300+21+2187)</f>
        <v>15143</v>
      </c>
      <c r="AM324" s="47"/>
      <c r="AN324" s="47"/>
      <c r="AO324" s="8"/>
      <c r="AP324" s="8"/>
      <c r="AQ324" s="47"/>
      <c r="AR324" s="47"/>
      <c r="AS324" s="8"/>
      <c r="AT324" s="8"/>
      <c r="AU324" s="47"/>
      <c r="AV324" s="47"/>
      <c r="AW324" s="8"/>
      <c r="AX324" s="8"/>
      <c r="AY324" s="47"/>
      <c r="AZ324" s="47"/>
      <c r="BA324" s="8"/>
      <c r="BB324" s="8"/>
      <c r="BC324" s="47"/>
      <c r="BD324" s="47"/>
      <c r="BE324" s="8"/>
      <c r="BF324" s="8"/>
      <c r="BG324" s="47"/>
      <c r="BH324" s="47"/>
      <c r="BI324" s="8"/>
      <c r="BJ324" s="3"/>
      <c r="BK324" s="47"/>
      <c r="BL324" s="47"/>
      <c r="BM324" s="24">
        <f t="shared" si="40"/>
        <v>15143</v>
      </c>
      <c r="BN324" s="28">
        <f t="shared" si="36"/>
        <v>-6480.875</v>
      </c>
      <c r="BO324" s="2">
        <v>45357</v>
      </c>
    </row>
    <row r="325" spans="4:67" hidden="1" x14ac:dyDescent="0.25">
      <c r="D325" s="9" t="s">
        <v>32</v>
      </c>
      <c r="E325" s="2">
        <v>45358</v>
      </c>
      <c r="F325" s="38"/>
      <c r="G325" s="51"/>
      <c r="H325" s="4">
        <f t="shared" si="37"/>
        <v>5424.3</v>
      </c>
      <c r="I325" s="5">
        <v>1302</v>
      </c>
      <c r="J325" s="4">
        <f t="shared" si="41"/>
        <v>4122.3</v>
      </c>
      <c r="K325" s="4">
        <f t="shared" si="42"/>
        <v>14846.424999999999</v>
      </c>
      <c r="L325" s="3"/>
      <c r="M325" s="3"/>
      <c r="N325" s="25">
        <f t="shared" si="43"/>
        <v>1302</v>
      </c>
      <c r="O325" s="28">
        <f t="shared" si="44"/>
        <v>14846.424999999999</v>
      </c>
      <c r="P325" s="9" t="s">
        <v>32</v>
      </c>
      <c r="Q325" s="2">
        <v>45358</v>
      </c>
      <c r="R325" s="38"/>
      <c r="S325" s="52"/>
      <c r="T325" s="4">
        <f t="shared" si="38"/>
        <v>2748.6</v>
      </c>
      <c r="U325" s="5">
        <v>0</v>
      </c>
      <c r="V325" s="4">
        <f t="shared" si="45"/>
        <v>2748.6</v>
      </c>
      <c r="W325" s="4">
        <f t="shared" si="46"/>
        <v>25960.6</v>
      </c>
      <c r="X325" s="3"/>
      <c r="Y325" s="3"/>
      <c r="Z325" s="25">
        <f t="shared" si="47"/>
        <v>0</v>
      </c>
      <c r="AA325" s="72">
        <f t="shared" si="48"/>
        <v>25960.6</v>
      </c>
      <c r="AB325" s="9" t="s">
        <v>32</v>
      </c>
      <c r="AC325" s="19">
        <v>45358</v>
      </c>
      <c r="AD325" s="41"/>
      <c r="AE325" s="42"/>
      <c r="AF325" s="4">
        <f t="shared" si="35"/>
        <v>8783.6999999999989</v>
      </c>
      <c r="AG325" s="3"/>
      <c r="AH325" s="8">
        <v>391</v>
      </c>
      <c r="AI325" s="4">
        <f t="shared" si="49"/>
        <v>8392.6999999999989</v>
      </c>
      <c r="AJ325" s="4">
        <f t="shared" si="39"/>
        <v>1911.8249999999989</v>
      </c>
      <c r="AK325" s="3"/>
      <c r="AL325" s="8">
        <f>(1000+3000+220+2147+2087+2323+3103+1557+8875)</f>
        <v>24312</v>
      </c>
      <c r="AM325" s="47"/>
      <c r="AN325" s="47"/>
      <c r="AO325" s="8"/>
      <c r="AP325" s="8"/>
      <c r="AQ325" s="47"/>
      <c r="AR325" s="47"/>
      <c r="AS325" s="8"/>
      <c r="AT325" s="8"/>
      <c r="AU325" s="47"/>
      <c r="AV325" s="47"/>
      <c r="AW325" s="8"/>
      <c r="AX325" s="8"/>
      <c r="AY325" s="47"/>
      <c r="AZ325" s="47"/>
      <c r="BA325" s="8"/>
      <c r="BB325" s="8"/>
      <c r="BC325" s="47"/>
      <c r="BD325" s="47"/>
      <c r="BE325" s="8"/>
      <c r="BF325" s="8"/>
      <c r="BG325" s="47"/>
      <c r="BH325" s="47"/>
      <c r="BI325" s="8"/>
      <c r="BJ325" s="3"/>
      <c r="BK325" s="47"/>
      <c r="BL325" s="47"/>
      <c r="BM325" s="24">
        <f t="shared" si="40"/>
        <v>24312</v>
      </c>
      <c r="BN325" s="28">
        <f t="shared" si="36"/>
        <v>-22400.175000000003</v>
      </c>
      <c r="BO325" s="2">
        <v>45358</v>
      </c>
    </row>
    <row r="326" spans="4:67" hidden="1" x14ac:dyDescent="0.25">
      <c r="D326" s="9" t="s">
        <v>26</v>
      </c>
      <c r="E326" s="2">
        <v>45359</v>
      </c>
      <c r="F326" s="38"/>
      <c r="G326" s="51"/>
      <c r="H326" s="4">
        <f t="shared" si="37"/>
        <v>5360.1750000000002</v>
      </c>
      <c r="I326" s="5">
        <v>2174</v>
      </c>
      <c r="J326" s="4">
        <f t="shared" si="41"/>
        <v>3186.1750000000002</v>
      </c>
      <c r="K326" s="4">
        <f t="shared" si="42"/>
        <v>18032.599999999999</v>
      </c>
      <c r="L326" s="3"/>
      <c r="M326" s="3">
        <v>5447</v>
      </c>
      <c r="N326" s="25">
        <f t="shared" si="43"/>
        <v>7621</v>
      </c>
      <c r="O326" s="28">
        <f t="shared" si="44"/>
        <v>12585.599999999999</v>
      </c>
      <c r="P326" s="9" t="s">
        <v>26</v>
      </c>
      <c r="Q326" s="2">
        <v>45359</v>
      </c>
      <c r="R326" s="38"/>
      <c r="S326" s="52"/>
      <c r="T326" s="4">
        <f t="shared" si="38"/>
        <v>3687.75</v>
      </c>
      <c r="U326" s="5">
        <v>0</v>
      </c>
      <c r="V326" s="4">
        <f t="shared" si="45"/>
        <v>3687.75</v>
      </c>
      <c r="W326" s="4">
        <f t="shared" si="46"/>
        <v>29648.35</v>
      </c>
      <c r="X326" s="3" t="s">
        <v>11</v>
      </c>
      <c r="Y326" s="3">
        <v>12853</v>
      </c>
      <c r="Z326" s="25">
        <f t="shared" si="47"/>
        <v>12853</v>
      </c>
      <c r="AA326" s="72">
        <f t="shared" si="48"/>
        <v>16795.349999999999</v>
      </c>
      <c r="AB326" s="9" t="s">
        <v>26</v>
      </c>
      <c r="AC326" s="19">
        <v>45359</v>
      </c>
      <c r="AD326" s="41"/>
      <c r="AE326" s="42"/>
      <c r="AF326" s="4">
        <f t="shared" si="35"/>
        <v>9867.4249999999993</v>
      </c>
      <c r="AG326" s="3"/>
      <c r="AH326" s="8">
        <f>(500+811.5)</f>
        <v>1311.5</v>
      </c>
      <c r="AI326" s="4">
        <f t="shared" si="49"/>
        <v>8555.9249999999993</v>
      </c>
      <c r="AJ326" s="4">
        <f t="shared" si="39"/>
        <v>-13844.250000000004</v>
      </c>
      <c r="AK326" s="3" t="s">
        <v>37</v>
      </c>
      <c r="AL326" s="8">
        <f>(5000+1080)</f>
        <v>6080</v>
      </c>
      <c r="AM326" s="47"/>
      <c r="AN326" s="47"/>
      <c r="AO326" s="8"/>
      <c r="AP326" s="8"/>
      <c r="AQ326" s="47"/>
      <c r="AR326" s="47"/>
      <c r="AS326" s="8"/>
      <c r="AT326" s="8"/>
      <c r="AU326" s="47"/>
      <c r="AV326" s="47"/>
      <c r="AW326" s="8"/>
      <c r="AX326" s="8"/>
      <c r="AY326" s="47"/>
      <c r="AZ326" s="47"/>
      <c r="BA326" s="8"/>
      <c r="BB326" s="8"/>
      <c r="BC326" s="47"/>
      <c r="BD326" s="47"/>
      <c r="BE326" s="8"/>
      <c r="BF326" s="8"/>
      <c r="BG326" s="47"/>
      <c r="BH326" s="47"/>
      <c r="BI326" s="8"/>
      <c r="BJ326" s="3"/>
      <c r="BK326" s="47" t="s">
        <v>36</v>
      </c>
      <c r="BL326" s="47">
        <f>(500+1000+300)</f>
        <v>1800</v>
      </c>
      <c r="BM326" s="24">
        <f t="shared" si="40"/>
        <v>7880</v>
      </c>
      <c r="BN326" s="28">
        <f t="shared" si="36"/>
        <v>-21724.250000000004</v>
      </c>
      <c r="BO326" s="2">
        <v>45359</v>
      </c>
    </row>
    <row r="327" spans="4:67" hidden="1" x14ac:dyDescent="0.25">
      <c r="D327" s="9" t="s">
        <v>27</v>
      </c>
      <c r="E327" s="2">
        <v>45360</v>
      </c>
      <c r="F327" s="38"/>
      <c r="G327" s="51"/>
      <c r="H327" s="4">
        <f t="shared" si="37"/>
        <v>6346.0749999999998</v>
      </c>
      <c r="I327" s="5">
        <v>1005</v>
      </c>
      <c r="J327" s="4">
        <f t="shared" si="41"/>
        <v>5341.0749999999998</v>
      </c>
      <c r="K327" s="4">
        <f t="shared" si="42"/>
        <v>17926.674999999999</v>
      </c>
      <c r="L327" s="3"/>
      <c r="M327" s="3"/>
      <c r="N327" s="25">
        <f t="shared" si="43"/>
        <v>1005</v>
      </c>
      <c r="O327" s="28">
        <f t="shared" si="44"/>
        <v>17926.674999999999</v>
      </c>
      <c r="P327" s="9" t="s">
        <v>27</v>
      </c>
      <c r="Q327" s="2">
        <v>45360</v>
      </c>
      <c r="R327" s="38"/>
      <c r="S327" s="52"/>
      <c r="T327" s="4">
        <f t="shared" si="38"/>
        <v>3674.25</v>
      </c>
      <c r="U327" s="5">
        <v>0</v>
      </c>
      <c r="V327" s="4">
        <f t="shared" si="45"/>
        <v>3674.25</v>
      </c>
      <c r="W327" s="4">
        <f t="shared" si="46"/>
        <v>20469.599999999999</v>
      </c>
      <c r="X327" s="3"/>
      <c r="Y327" s="3"/>
      <c r="Z327" s="25">
        <f t="shared" si="47"/>
        <v>0</v>
      </c>
      <c r="AA327" s="72">
        <f t="shared" si="48"/>
        <v>20469.599999999999</v>
      </c>
      <c r="AB327" s="9" t="s">
        <v>27</v>
      </c>
      <c r="AC327" s="19">
        <v>45360</v>
      </c>
      <c r="AD327" s="41"/>
      <c r="AE327" s="42"/>
      <c r="AF327" s="4">
        <f t="shared" si="35"/>
        <v>10836.825000000001</v>
      </c>
      <c r="AG327" s="3"/>
      <c r="AH327" s="8">
        <f>(885.6+750)</f>
        <v>1635.6</v>
      </c>
      <c r="AI327" s="4">
        <f t="shared" si="49"/>
        <v>9201.2250000000004</v>
      </c>
      <c r="AJ327" s="4">
        <f t="shared" si="39"/>
        <v>-12523.025000000003</v>
      </c>
      <c r="AK327" s="3" t="s">
        <v>8</v>
      </c>
      <c r="AL327" s="8">
        <f>(1800+5000+2000)</f>
        <v>8800</v>
      </c>
      <c r="AM327" s="47"/>
      <c r="AN327" s="47"/>
      <c r="AO327" s="8"/>
      <c r="AP327" s="8"/>
      <c r="AQ327" s="47"/>
      <c r="AR327" s="47"/>
      <c r="AS327" s="8"/>
      <c r="AT327" s="8"/>
      <c r="AU327" s="47"/>
      <c r="AV327" s="47"/>
      <c r="AW327" s="8"/>
      <c r="AX327" s="8"/>
      <c r="AY327" s="47"/>
      <c r="AZ327" s="47"/>
      <c r="BA327" s="8"/>
      <c r="BB327" s="8"/>
      <c r="BC327" s="47"/>
      <c r="BD327" s="47"/>
      <c r="BE327" s="8"/>
      <c r="BF327" s="8"/>
      <c r="BG327" s="47"/>
      <c r="BH327" s="47"/>
      <c r="BI327" s="8"/>
      <c r="BJ327" s="3"/>
      <c r="BK327" s="47"/>
      <c r="BL327" s="47"/>
      <c r="BM327" s="24">
        <f t="shared" si="40"/>
        <v>8800</v>
      </c>
      <c r="BN327" s="28">
        <f t="shared" si="36"/>
        <v>-21323.025000000001</v>
      </c>
      <c r="BO327" s="2">
        <v>45360</v>
      </c>
    </row>
    <row r="328" spans="4:67" hidden="1" x14ac:dyDescent="0.25">
      <c r="D328" s="9" t="s">
        <v>28</v>
      </c>
      <c r="E328" s="2">
        <v>45361</v>
      </c>
      <c r="F328" s="38"/>
      <c r="G328" s="51"/>
      <c r="H328" s="4">
        <f t="shared" si="37"/>
        <v>5644.85</v>
      </c>
      <c r="I328" s="5">
        <v>0</v>
      </c>
      <c r="J328" s="4">
        <f t="shared" si="41"/>
        <v>5644.85</v>
      </c>
      <c r="K328" s="4">
        <f t="shared" si="42"/>
        <v>23571.525000000001</v>
      </c>
      <c r="L328" s="3"/>
      <c r="M328" s="3"/>
      <c r="N328" s="25">
        <f t="shared" si="43"/>
        <v>0</v>
      </c>
      <c r="O328" s="28">
        <f t="shared" si="44"/>
        <v>23571.525000000001</v>
      </c>
      <c r="P328" s="9" t="s">
        <v>28</v>
      </c>
      <c r="Q328" s="2">
        <v>45361</v>
      </c>
      <c r="R328" s="38"/>
      <c r="S328" s="52"/>
      <c r="T328" s="4">
        <f t="shared" si="38"/>
        <v>2589.3000000000002</v>
      </c>
      <c r="U328" s="5">
        <v>0</v>
      </c>
      <c r="V328" s="4">
        <f t="shared" si="45"/>
        <v>2589.3000000000002</v>
      </c>
      <c r="W328" s="4">
        <f t="shared" si="46"/>
        <v>23058.899999999998</v>
      </c>
      <c r="X328" s="3"/>
      <c r="Y328" s="3"/>
      <c r="Z328" s="25">
        <f t="shared" si="47"/>
        <v>0</v>
      </c>
      <c r="AA328" s="72">
        <f t="shared" si="48"/>
        <v>23058.899999999998</v>
      </c>
      <c r="AB328" s="9" t="s">
        <v>28</v>
      </c>
      <c r="AC328" s="19">
        <v>45361</v>
      </c>
      <c r="AD328" s="41"/>
      <c r="AE328" s="42"/>
      <c r="AF328" s="4">
        <f t="shared" si="35"/>
        <v>8809.5499999999993</v>
      </c>
      <c r="AG328" s="3"/>
      <c r="AH328" s="8">
        <f>(3590+433)</f>
        <v>4023</v>
      </c>
      <c r="AI328" s="4">
        <f t="shared" si="49"/>
        <v>4786.5499999999993</v>
      </c>
      <c r="AJ328" s="4">
        <f t="shared" si="39"/>
        <v>-16536.475000000002</v>
      </c>
      <c r="AK328" s="3" t="s">
        <v>7</v>
      </c>
      <c r="AL328" s="8">
        <f>(1800+5000)</f>
        <v>6800</v>
      </c>
      <c r="AM328" s="47"/>
      <c r="AN328" s="47"/>
      <c r="AO328" s="8"/>
      <c r="AP328" s="8"/>
      <c r="AQ328" s="47"/>
      <c r="AR328" s="47"/>
      <c r="AS328" s="8"/>
      <c r="AT328" s="8"/>
      <c r="AU328" s="47"/>
      <c r="AV328" s="47"/>
      <c r="AW328" s="8"/>
      <c r="AX328" s="8"/>
      <c r="AY328" s="47"/>
      <c r="AZ328" s="47"/>
      <c r="BA328" s="8"/>
      <c r="BB328" s="8"/>
      <c r="BC328" s="47"/>
      <c r="BD328" s="47"/>
      <c r="BE328" s="8"/>
      <c r="BF328" s="8"/>
      <c r="BG328" s="47"/>
      <c r="BH328" s="47"/>
      <c r="BI328" s="8"/>
      <c r="BJ328" s="3"/>
      <c r="BK328" s="47"/>
      <c r="BL328" s="47"/>
      <c r="BM328" s="24">
        <f t="shared" si="40"/>
        <v>6800</v>
      </c>
      <c r="BN328" s="28">
        <f t="shared" si="36"/>
        <v>-23336.475000000002</v>
      </c>
      <c r="BO328" s="2">
        <v>45361</v>
      </c>
    </row>
    <row r="329" spans="4:67" hidden="1" x14ac:dyDescent="0.25">
      <c r="D329" s="9" t="s">
        <v>29</v>
      </c>
      <c r="E329" s="2">
        <v>45362</v>
      </c>
      <c r="F329" s="38"/>
      <c r="G329" s="51"/>
      <c r="H329" s="4">
        <f t="shared" si="37"/>
        <v>3852.55</v>
      </c>
      <c r="I329" s="5">
        <v>4994.6000000000004</v>
      </c>
      <c r="J329" s="4">
        <f t="shared" si="41"/>
        <v>-1142.0500000000002</v>
      </c>
      <c r="K329" s="4">
        <f t="shared" si="42"/>
        <v>22429.475000000002</v>
      </c>
      <c r="L329" s="3" t="s">
        <v>17</v>
      </c>
      <c r="M329" s="3">
        <v>9421</v>
      </c>
      <c r="N329" s="25">
        <f t="shared" si="43"/>
        <v>14415.6</v>
      </c>
      <c r="O329" s="28">
        <f t="shared" si="44"/>
        <v>13008.475000000002</v>
      </c>
      <c r="P329" s="9" t="s">
        <v>29</v>
      </c>
      <c r="Q329" s="2">
        <v>45362</v>
      </c>
      <c r="R329" s="38"/>
      <c r="S329" s="52"/>
      <c r="T329" s="4">
        <f t="shared" si="38"/>
        <v>4279.05</v>
      </c>
      <c r="U329" s="5">
        <v>1918</v>
      </c>
      <c r="V329" s="4">
        <f t="shared" si="45"/>
        <v>2361.0500000000002</v>
      </c>
      <c r="W329" s="4">
        <f t="shared" si="46"/>
        <v>25419.949999999997</v>
      </c>
      <c r="X329" s="3" t="s">
        <v>18</v>
      </c>
      <c r="Y329" s="3">
        <v>7711</v>
      </c>
      <c r="Z329" s="25">
        <f t="shared" si="47"/>
        <v>9629</v>
      </c>
      <c r="AA329" s="72">
        <f t="shared" si="48"/>
        <v>17708.949999999997</v>
      </c>
      <c r="AB329" s="9" t="s">
        <v>29</v>
      </c>
      <c r="AC329" s="19">
        <v>45362</v>
      </c>
      <c r="AD329" s="41"/>
      <c r="AE329" s="42"/>
      <c r="AF329" s="4">
        <f t="shared" si="35"/>
        <v>9082.5</v>
      </c>
      <c r="AG329" s="3"/>
      <c r="AH329" s="8">
        <f>(549.6+1000)</f>
        <v>1549.6</v>
      </c>
      <c r="AI329" s="4">
        <f t="shared" si="49"/>
        <v>7532.9</v>
      </c>
      <c r="AJ329" s="4">
        <f t="shared" si="39"/>
        <v>-15803.575000000003</v>
      </c>
      <c r="AK329" s="3" t="s">
        <v>15</v>
      </c>
      <c r="AL329" s="8">
        <f>(692+5000+1440)</f>
        <v>7132</v>
      </c>
      <c r="AM329" s="47"/>
      <c r="AN329" s="47"/>
      <c r="AO329" s="8"/>
      <c r="AP329" s="8"/>
      <c r="AQ329" s="47"/>
      <c r="AR329" s="47"/>
      <c r="AS329" s="8"/>
      <c r="AT329" s="8"/>
      <c r="AU329" s="47"/>
      <c r="AV329" s="47"/>
      <c r="AW329" s="8"/>
      <c r="AX329" s="8"/>
      <c r="AY329" s="47"/>
      <c r="AZ329" s="47"/>
      <c r="BA329" s="8"/>
      <c r="BB329" s="8"/>
      <c r="BC329" s="47"/>
      <c r="BD329" s="47"/>
      <c r="BE329" s="8"/>
      <c r="BF329" s="8"/>
      <c r="BG329" s="47"/>
      <c r="BH329" s="47"/>
      <c r="BI329" s="8"/>
      <c r="BJ329" s="3"/>
      <c r="BK329" s="47"/>
      <c r="BL329" s="47"/>
      <c r="BM329" s="24">
        <f t="shared" si="40"/>
        <v>7132</v>
      </c>
      <c r="BN329" s="28">
        <f t="shared" si="36"/>
        <v>-22935.575000000004</v>
      </c>
      <c r="BO329" s="2">
        <v>45362</v>
      </c>
    </row>
    <row r="330" spans="4:67" hidden="1" x14ac:dyDescent="0.25">
      <c r="D330" s="9" t="s">
        <v>30</v>
      </c>
      <c r="E330" s="2">
        <v>45363</v>
      </c>
      <c r="F330" s="38"/>
      <c r="G330" s="51"/>
      <c r="H330" s="4">
        <f t="shared" si="37"/>
        <v>2967.55</v>
      </c>
      <c r="I330" s="5">
        <v>1125.5999999999999</v>
      </c>
      <c r="J330" s="4">
        <f t="shared" si="41"/>
        <v>1841.9500000000003</v>
      </c>
      <c r="K330" s="4">
        <f t="shared" si="42"/>
        <v>14850.425000000003</v>
      </c>
      <c r="L330" s="3"/>
      <c r="M330" s="3"/>
      <c r="N330" s="25">
        <f t="shared" si="43"/>
        <v>1125.5999999999999</v>
      </c>
      <c r="O330" s="28">
        <f t="shared" si="44"/>
        <v>14850.425000000003</v>
      </c>
      <c r="P330" s="9" t="s">
        <v>30</v>
      </c>
      <c r="Q330" s="2">
        <v>45363</v>
      </c>
      <c r="R330" s="38"/>
      <c r="S330" s="52"/>
      <c r="T330" s="4">
        <f t="shared" si="38"/>
        <v>2474.1</v>
      </c>
      <c r="U330" s="5">
        <v>0</v>
      </c>
      <c r="V330" s="4">
        <f t="shared" si="45"/>
        <v>2474.1</v>
      </c>
      <c r="W330" s="4">
        <f t="shared" si="46"/>
        <v>20183.049999999996</v>
      </c>
      <c r="X330" s="3" t="s">
        <v>10</v>
      </c>
      <c r="Y330" s="3">
        <v>13000</v>
      </c>
      <c r="Z330" s="25">
        <f t="shared" si="47"/>
        <v>13000</v>
      </c>
      <c r="AA330" s="72">
        <f t="shared" si="48"/>
        <v>7183.0499999999956</v>
      </c>
      <c r="AB330" s="9" t="s">
        <v>30</v>
      </c>
      <c r="AC330" s="19">
        <v>45363</v>
      </c>
      <c r="AD330" s="41"/>
      <c r="AE330" s="42"/>
      <c r="AF330" s="4">
        <f t="shared" si="35"/>
        <v>5991.4499999999989</v>
      </c>
      <c r="AG330" s="3"/>
      <c r="AH330" s="8">
        <f>(1000+616+1000)</f>
        <v>2616</v>
      </c>
      <c r="AI330" s="4">
        <f t="shared" si="49"/>
        <v>3375.4499999999989</v>
      </c>
      <c r="AJ330" s="4">
        <f t="shared" si="39"/>
        <v>-19560.125000000007</v>
      </c>
      <c r="AK330" s="3"/>
      <c r="AL330" s="8"/>
      <c r="AM330" s="47"/>
      <c r="AN330" s="47"/>
      <c r="AO330" s="8"/>
      <c r="AP330" s="8"/>
      <c r="AQ330" s="47"/>
      <c r="AR330" s="47"/>
      <c r="AS330" s="8"/>
      <c r="AT330" s="8"/>
      <c r="AU330" s="47"/>
      <c r="AV330" s="47"/>
      <c r="AW330" s="8"/>
      <c r="AX330" s="8"/>
      <c r="AY330" s="47"/>
      <c r="AZ330" s="47"/>
      <c r="BA330" s="8"/>
      <c r="BB330" s="8"/>
      <c r="BC330" s="47"/>
      <c r="BD330" s="47"/>
      <c r="BE330" s="8"/>
      <c r="BF330" s="8"/>
      <c r="BG330" s="47"/>
      <c r="BH330" s="47"/>
      <c r="BI330" s="8"/>
      <c r="BJ330" s="3"/>
      <c r="BK330" s="47"/>
      <c r="BL330" s="47"/>
      <c r="BM330" s="24">
        <f t="shared" si="40"/>
        <v>0</v>
      </c>
      <c r="BN330" s="28">
        <f t="shared" si="36"/>
        <v>-19560.125000000007</v>
      </c>
      <c r="BO330" s="2">
        <v>45363</v>
      </c>
    </row>
    <row r="331" spans="4:67" hidden="1" x14ac:dyDescent="0.25">
      <c r="D331" s="9" t="s">
        <v>31</v>
      </c>
      <c r="E331" s="2">
        <v>45364</v>
      </c>
      <c r="F331" s="38"/>
      <c r="G331" s="51"/>
      <c r="H331" s="4">
        <f t="shared" si="37"/>
        <v>3671.05</v>
      </c>
      <c r="I331" s="5">
        <v>1035.3</v>
      </c>
      <c r="J331" s="4">
        <f t="shared" si="41"/>
        <v>2635.75</v>
      </c>
      <c r="K331" s="4">
        <f t="shared" si="42"/>
        <v>17486.175000000003</v>
      </c>
      <c r="L331" s="3"/>
      <c r="M331" s="3"/>
      <c r="N331" s="25">
        <f t="shared" si="43"/>
        <v>1035.3</v>
      </c>
      <c r="O331" s="28">
        <f t="shared" si="44"/>
        <v>17486.175000000003</v>
      </c>
      <c r="P331" s="9" t="s">
        <v>31</v>
      </c>
      <c r="Q331" s="2">
        <v>45364</v>
      </c>
      <c r="R331" s="38"/>
      <c r="S331" s="52"/>
      <c r="T331" s="4">
        <f t="shared" si="38"/>
        <v>1737</v>
      </c>
      <c r="U331" s="5">
        <v>0</v>
      </c>
      <c r="V331" s="4">
        <f t="shared" si="45"/>
        <v>1737</v>
      </c>
      <c r="W331" s="4">
        <f t="shared" si="46"/>
        <v>8920.0499999999956</v>
      </c>
      <c r="X331" s="3"/>
      <c r="Y331" s="3"/>
      <c r="Z331" s="25">
        <f t="shared" si="47"/>
        <v>0</v>
      </c>
      <c r="AA331" s="72">
        <f t="shared" si="48"/>
        <v>8920.0499999999956</v>
      </c>
      <c r="AB331" s="9" t="s">
        <v>31</v>
      </c>
      <c r="AC331" s="19">
        <v>45364</v>
      </c>
      <c r="AD331" s="41"/>
      <c r="AE331" s="42"/>
      <c r="AF331" s="4">
        <f t="shared" si="35"/>
        <v>5794.05</v>
      </c>
      <c r="AG331" s="3"/>
      <c r="AH331" s="8">
        <f>(533.28+2000)</f>
        <v>2533.2799999999997</v>
      </c>
      <c r="AI331" s="4">
        <f t="shared" si="49"/>
        <v>3260.7700000000004</v>
      </c>
      <c r="AJ331" s="4">
        <f t="shared" si="39"/>
        <v>-16299.355000000007</v>
      </c>
      <c r="AK331" s="3" t="s">
        <v>19</v>
      </c>
      <c r="AL331" s="8">
        <f>(7370)</f>
        <v>7370</v>
      </c>
      <c r="AM331" s="47"/>
      <c r="AN331" s="47"/>
      <c r="AO331" s="8"/>
      <c r="AP331" s="8"/>
      <c r="AQ331" s="47"/>
      <c r="AR331" s="47"/>
      <c r="AS331" s="8"/>
      <c r="AT331" s="8"/>
      <c r="AU331" s="47"/>
      <c r="AV331" s="47"/>
      <c r="AW331" s="8"/>
      <c r="AX331" s="8"/>
      <c r="AY331" s="47"/>
      <c r="AZ331" s="47"/>
      <c r="BA331" s="8"/>
      <c r="BB331" s="8"/>
      <c r="BC331" s="47"/>
      <c r="BD331" s="47"/>
      <c r="BE331" s="8"/>
      <c r="BF331" s="8"/>
      <c r="BG331" s="47"/>
      <c r="BH331" s="47"/>
      <c r="BI331" s="8"/>
      <c r="BJ331" s="3"/>
      <c r="BK331" s="47"/>
      <c r="BL331" s="47"/>
      <c r="BM331" s="24">
        <f t="shared" si="40"/>
        <v>7370</v>
      </c>
      <c r="BN331" s="28">
        <f t="shared" si="36"/>
        <v>-23669.355000000007</v>
      </c>
      <c r="BO331" s="2">
        <v>45364</v>
      </c>
    </row>
    <row r="332" spans="4:67" hidden="1" x14ac:dyDescent="0.25">
      <c r="D332" s="9" t="s">
        <v>32</v>
      </c>
      <c r="E332" s="2">
        <v>45365</v>
      </c>
      <c r="F332" s="38"/>
      <c r="G332" s="51"/>
      <c r="H332" s="4">
        <f t="shared" si="37"/>
        <v>3064.0250000000001</v>
      </c>
      <c r="I332" s="5">
        <v>991.7</v>
      </c>
      <c r="J332" s="4">
        <f t="shared" si="41"/>
        <v>2072.3249999999998</v>
      </c>
      <c r="K332" s="4">
        <f t="shared" si="42"/>
        <v>19558.500000000004</v>
      </c>
      <c r="L332" s="3" t="s">
        <v>9</v>
      </c>
      <c r="M332" s="3">
        <v>2924</v>
      </c>
      <c r="N332" s="25">
        <f t="shared" si="43"/>
        <v>3915.7</v>
      </c>
      <c r="O332" s="28">
        <f t="shared" si="44"/>
        <v>16634.500000000004</v>
      </c>
      <c r="P332" s="9" t="s">
        <v>32</v>
      </c>
      <c r="Q332" s="2">
        <v>45365</v>
      </c>
      <c r="R332" s="38"/>
      <c r="S332" s="52"/>
      <c r="T332" s="4">
        <f t="shared" si="38"/>
        <v>2226.15</v>
      </c>
      <c r="U332" s="5">
        <v>0</v>
      </c>
      <c r="V332" s="4">
        <f t="shared" si="45"/>
        <v>2226.15</v>
      </c>
      <c r="W332" s="4">
        <f t="shared" si="46"/>
        <v>11146.199999999995</v>
      </c>
      <c r="X332" s="3"/>
      <c r="Y332" s="3"/>
      <c r="Z332" s="25">
        <f t="shared" si="47"/>
        <v>0</v>
      </c>
      <c r="AA332" s="72">
        <f t="shared" si="48"/>
        <v>11146.199999999995</v>
      </c>
      <c r="AB332" s="9" t="s">
        <v>32</v>
      </c>
      <c r="AC332" s="19">
        <v>45365</v>
      </c>
      <c r="AD332" s="41"/>
      <c r="AE332" s="42"/>
      <c r="AF332" s="4">
        <f t="shared" si="35"/>
        <v>5784.875</v>
      </c>
      <c r="AG332" s="3"/>
      <c r="AH332" s="8">
        <f>(387.8+2000)</f>
        <v>2387.8000000000002</v>
      </c>
      <c r="AI332" s="4">
        <f t="shared" si="49"/>
        <v>3397.0749999999998</v>
      </c>
      <c r="AJ332" s="4">
        <f t="shared" si="39"/>
        <v>-20272.280000000006</v>
      </c>
      <c r="AK332" s="3" t="s">
        <v>13</v>
      </c>
      <c r="AL332" s="8">
        <f>(8281.13)</f>
        <v>8281.1299999999992</v>
      </c>
      <c r="AM332" s="47"/>
      <c r="AN332" s="47"/>
      <c r="AO332" s="8"/>
      <c r="AP332" s="8"/>
      <c r="AQ332" s="47"/>
      <c r="AR332" s="47"/>
      <c r="AS332" s="8"/>
      <c r="AT332" s="8"/>
      <c r="AU332" s="47"/>
      <c r="AV332" s="47"/>
      <c r="AW332" s="8"/>
      <c r="AX332" s="8"/>
      <c r="AY332" s="47"/>
      <c r="AZ332" s="47"/>
      <c r="BA332" s="8"/>
      <c r="BB332" s="8"/>
      <c r="BC332" s="47"/>
      <c r="BD332" s="47"/>
      <c r="BE332" s="8"/>
      <c r="BF332" s="8"/>
      <c r="BG332" s="47"/>
      <c r="BH332" s="47"/>
      <c r="BI332" s="8"/>
      <c r="BJ332" s="3"/>
      <c r="BK332" s="47"/>
      <c r="BL332" s="47"/>
      <c r="BM332" s="24">
        <f t="shared" si="40"/>
        <v>8281.1299999999992</v>
      </c>
      <c r="BN332" s="28">
        <f t="shared" si="36"/>
        <v>-28553.410000000003</v>
      </c>
      <c r="BO332" s="2">
        <v>45365</v>
      </c>
    </row>
    <row r="333" spans="4:67" hidden="1" x14ac:dyDescent="0.25">
      <c r="D333" s="9" t="s">
        <v>26</v>
      </c>
      <c r="E333" s="2">
        <v>45366</v>
      </c>
      <c r="F333" s="38"/>
      <c r="G333" s="51"/>
      <c r="H333" s="4">
        <f t="shared" si="37"/>
        <v>3423.4749999999999</v>
      </c>
      <c r="I333" s="5">
        <v>993</v>
      </c>
      <c r="J333" s="4">
        <f t="shared" si="41"/>
        <v>2430.4749999999999</v>
      </c>
      <c r="K333" s="4">
        <f t="shared" si="42"/>
        <v>19064.975000000002</v>
      </c>
      <c r="L333" s="3"/>
      <c r="M333" s="3"/>
      <c r="N333" s="25">
        <f t="shared" si="43"/>
        <v>993</v>
      </c>
      <c r="O333" s="28">
        <f t="shared" si="44"/>
        <v>19064.975000000002</v>
      </c>
      <c r="P333" s="9" t="s">
        <v>26</v>
      </c>
      <c r="Q333" s="2">
        <v>45366</v>
      </c>
      <c r="R333" s="38"/>
      <c r="S333" s="52"/>
      <c r="T333" s="4">
        <f t="shared" si="38"/>
        <v>1908.45</v>
      </c>
      <c r="U333" s="5">
        <v>0</v>
      </c>
      <c r="V333" s="4">
        <f t="shared" si="45"/>
        <v>1908.45</v>
      </c>
      <c r="W333" s="4">
        <f t="shared" si="46"/>
        <v>13054.649999999996</v>
      </c>
      <c r="X333" s="3"/>
      <c r="Y333" s="3"/>
      <c r="Z333" s="25">
        <f t="shared" si="47"/>
        <v>0</v>
      </c>
      <c r="AA333" s="72">
        <f t="shared" si="48"/>
        <v>13054.649999999996</v>
      </c>
      <c r="AB333" s="9" t="s">
        <v>26</v>
      </c>
      <c r="AC333" s="19">
        <v>45366</v>
      </c>
      <c r="AD333" s="41"/>
      <c r="AE333" s="42"/>
      <c r="AF333" s="4">
        <f t="shared" si="35"/>
        <v>5756.0250000000005</v>
      </c>
      <c r="AG333" s="3"/>
      <c r="AH333" s="8">
        <f>(490.9+2000)</f>
        <v>2490.9</v>
      </c>
      <c r="AI333" s="4">
        <f t="shared" si="49"/>
        <v>3265.1250000000005</v>
      </c>
      <c r="AJ333" s="4">
        <f t="shared" si="39"/>
        <v>-25288.285000000003</v>
      </c>
      <c r="AK333" s="3" t="s">
        <v>41</v>
      </c>
      <c r="AL333" s="8">
        <f>(5000+1397+2000+950)</f>
        <v>9347</v>
      </c>
      <c r="AM333" s="47"/>
      <c r="AN333" s="47"/>
      <c r="AO333" s="8"/>
      <c r="AP333" s="8"/>
      <c r="AQ333" s="47"/>
      <c r="AR333" s="47"/>
      <c r="AS333" s="8"/>
      <c r="AT333" s="8"/>
      <c r="AU333" s="47"/>
      <c r="AV333" s="47"/>
      <c r="AW333" s="8"/>
      <c r="AX333" s="8"/>
      <c r="AY333" s="47"/>
      <c r="AZ333" s="47"/>
      <c r="BA333" s="8"/>
      <c r="BB333" s="8"/>
      <c r="BC333" s="47"/>
      <c r="BD333" s="47"/>
      <c r="BE333" s="8"/>
      <c r="BF333" s="8"/>
      <c r="BG333" s="47"/>
      <c r="BH333" s="47"/>
      <c r="BI333" s="8"/>
      <c r="BJ333" s="3"/>
      <c r="BK333" s="48" t="s">
        <v>25</v>
      </c>
      <c r="BL333" s="47">
        <f>(500+1000+500)</f>
        <v>2000</v>
      </c>
      <c r="BM333" s="24">
        <f t="shared" si="40"/>
        <v>11347</v>
      </c>
      <c r="BN333" s="28">
        <f t="shared" si="36"/>
        <v>-36635.285000000003</v>
      </c>
      <c r="BO333" s="2">
        <v>45366</v>
      </c>
    </row>
    <row r="334" spans="4:67" hidden="1" x14ac:dyDescent="0.25">
      <c r="D334" s="9" t="s">
        <v>27</v>
      </c>
      <c r="E334" s="2">
        <v>45367</v>
      </c>
      <c r="F334" s="38"/>
      <c r="G334" s="52"/>
      <c r="H334" s="4">
        <f t="shared" si="37"/>
        <v>3370.375</v>
      </c>
      <c r="I334" s="5">
        <v>5752</v>
      </c>
      <c r="J334" s="4">
        <f t="shared" si="41"/>
        <v>-2381.625</v>
      </c>
      <c r="K334" s="4">
        <f t="shared" si="42"/>
        <v>16683.350000000002</v>
      </c>
      <c r="L334" s="3"/>
      <c r="M334" s="3"/>
      <c r="N334" s="25">
        <f t="shared" si="43"/>
        <v>5752</v>
      </c>
      <c r="O334" s="28">
        <f t="shared" si="44"/>
        <v>16683.350000000002</v>
      </c>
      <c r="P334" s="9" t="s">
        <v>27</v>
      </c>
      <c r="Q334" s="2">
        <v>45367</v>
      </c>
      <c r="R334" s="38"/>
      <c r="S334" s="52"/>
      <c r="T334" s="4">
        <f t="shared" si="38"/>
        <v>2513.7000000000003</v>
      </c>
      <c r="U334" s="5">
        <v>0</v>
      </c>
      <c r="V334" s="4">
        <f>(S334+T334)-U334</f>
        <v>2513.7000000000003</v>
      </c>
      <c r="W334" s="4">
        <f t="shared" si="46"/>
        <v>15568.349999999997</v>
      </c>
      <c r="X334" s="3" t="s">
        <v>40</v>
      </c>
      <c r="Y334" s="3">
        <f>(20607+15324)</f>
        <v>35931</v>
      </c>
      <c r="Z334" s="25">
        <f t="shared" si="47"/>
        <v>35931</v>
      </c>
      <c r="AA334" s="72">
        <f t="shared" si="48"/>
        <v>-20362.650000000001</v>
      </c>
      <c r="AB334" s="9" t="s">
        <v>27</v>
      </c>
      <c r="AC334" s="19">
        <v>45367</v>
      </c>
      <c r="AD334" s="41"/>
      <c r="AE334" s="42"/>
      <c r="AF334" s="4">
        <f t="shared" si="35"/>
        <v>6442.6749999999993</v>
      </c>
      <c r="AG334" s="3"/>
      <c r="AH334" s="8">
        <f>(421+2000)</f>
        <v>2421</v>
      </c>
      <c r="AI334" s="4">
        <f>(AE334+AF334)-AH334</f>
        <v>4021.6749999999993</v>
      </c>
      <c r="AJ334" s="4">
        <f t="shared" si="39"/>
        <v>-32613.610000000004</v>
      </c>
      <c r="AK334" s="3" t="s">
        <v>34</v>
      </c>
      <c r="AL334" s="8">
        <f>(18955+10176.46+1274.8)</f>
        <v>30406.26</v>
      </c>
      <c r="AM334" s="47"/>
      <c r="AN334" s="47"/>
      <c r="AO334" s="8"/>
      <c r="AP334" s="8"/>
      <c r="AQ334" s="47"/>
      <c r="AR334" s="47"/>
      <c r="AS334" s="8"/>
      <c r="AT334" s="8"/>
      <c r="AU334" s="47"/>
      <c r="AV334" s="47"/>
      <c r="AW334" s="8"/>
      <c r="AX334" s="8"/>
      <c r="AY334" s="47"/>
      <c r="AZ334" s="47"/>
      <c r="BA334" s="8"/>
      <c r="BB334" s="8"/>
      <c r="BC334" s="47"/>
      <c r="BD334" s="47"/>
      <c r="BE334" s="8"/>
      <c r="BF334" s="8"/>
      <c r="BG334" s="47"/>
      <c r="BH334" s="47"/>
      <c r="BI334" s="8"/>
      <c r="BJ334" s="3"/>
      <c r="BK334" s="47"/>
      <c r="BL334" s="47"/>
      <c r="BM334" s="24">
        <f t="shared" si="40"/>
        <v>30406.26</v>
      </c>
      <c r="BN334" s="28">
        <f t="shared" si="36"/>
        <v>-63019.87</v>
      </c>
      <c r="BO334" s="2">
        <v>45367</v>
      </c>
    </row>
    <row r="335" spans="4:67" hidden="1" x14ac:dyDescent="0.25">
      <c r="D335" s="9" t="s">
        <v>28</v>
      </c>
      <c r="E335" s="2">
        <v>45368</v>
      </c>
      <c r="F335" s="38"/>
      <c r="G335" s="51"/>
      <c r="H335" s="4">
        <f t="shared" si="37"/>
        <v>2909.45</v>
      </c>
      <c r="I335" s="5">
        <v>0</v>
      </c>
      <c r="J335" s="4">
        <f t="shared" si="41"/>
        <v>2909.45</v>
      </c>
      <c r="K335" s="4">
        <f t="shared" si="42"/>
        <v>19592.800000000003</v>
      </c>
      <c r="L335" s="3"/>
      <c r="M335" s="3"/>
      <c r="N335" s="25">
        <f t="shared" si="43"/>
        <v>0</v>
      </c>
      <c r="O335" s="28">
        <f t="shared" si="44"/>
        <v>19592.800000000003</v>
      </c>
      <c r="P335" s="9" t="s">
        <v>28</v>
      </c>
      <c r="Q335" s="2">
        <v>45368</v>
      </c>
      <c r="R335" s="38"/>
      <c r="S335" s="52"/>
      <c r="T335" s="4">
        <f t="shared" si="38"/>
        <v>2222.1</v>
      </c>
      <c r="U335" s="5">
        <v>0</v>
      </c>
      <c r="V335" s="4">
        <f t="shared" ref="V335:V398" si="50">(S335+T335)-U335</f>
        <v>2222.1</v>
      </c>
      <c r="W335" s="4">
        <f t="shared" si="46"/>
        <v>-18140.550000000003</v>
      </c>
      <c r="X335" s="3"/>
      <c r="Y335" s="3"/>
      <c r="Z335" s="25">
        <f t="shared" si="47"/>
        <v>0</v>
      </c>
      <c r="AA335" s="72">
        <f t="shared" si="48"/>
        <v>-18140.550000000003</v>
      </c>
      <c r="AB335" s="9" t="s">
        <v>28</v>
      </c>
      <c r="AC335" s="19">
        <v>45368</v>
      </c>
      <c r="AD335" s="41"/>
      <c r="AE335" s="42"/>
      <c r="AF335" s="4">
        <f t="shared" si="35"/>
        <v>5625.35</v>
      </c>
      <c r="AG335" s="3"/>
      <c r="AH335" s="8">
        <v>1500</v>
      </c>
      <c r="AI335" s="4">
        <f t="shared" ref="AI335:AI398" si="51">(AE335+AF335)-AH335</f>
        <v>4125.3500000000004</v>
      </c>
      <c r="AJ335" s="4">
        <f t="shared" si="39"/>
        <v>-58894.520000000004</v>
      </c>
      <c r="AK335" s="3" t="s">
        <v>42</v>
      </c>
      <c r="AL335" s="8">
        <f>(16100+2800)</f>
        <v>18900</v>
      </c>
      <c r="AM335" s="47"/>
      <c r="AN335" s="47"/>
      <c r="AO335" s="8"/>
      <c r="AP335" s="8"/>
      <c r="AQ335" s="47"/>
      <c r="AR335" s="47"/>
      <c r="AS335" s="8"/>
      <c r="AT335" s="8"/>
      <c r="AU335" s="47"/>
      <c r="AV335" s="47"/>
      <c r="AW335" s="8"/>
      <c r="AX335" s="8"/>
      <c r="AY335" s="47"/>
      <c r="AZ335" s="47"/>
      <c r="BA335" s="8"/>
      <c r="BB335" s="8"/>
      <c r="BC335" s="47"/>
      <c r="BD335" s="47"/>
      <c r="BE335" s="8"/>
      <c r="BF335" s="8"/>
      <c r="BG335" s="47"/>
      <c r="BH335" s="47"/>
      <c r="BI335" s="8"/>
      <c r="BJ335" s="3"/>
      <c r="BK335" s="47"/>
      <c r="BL335" s="47"/>
      <c r="BM335" s="24">
        <f t="shared" si="40"/>
        <v>18900</v>
      </c>
      <c r="BN335" s="28">
        <f t="shared" si="36"/>
        <v>-77794.52</v>
      </c>
      <c r="BO335" s="2">
        <v>45368</v>
      </c>
    </row>
    <row r="336" spans="4:67" hidden="1" x14ac:dyDescent="0.25">
      <c r="D336" s="9" t="s">
        <v>29</v>
      </c>
      <c r="E336" s="2">
        <v>45369</v>
      </c>
      <c r="F336" s="38"/>
      <c r="G336" s="51"/>
      <c r="H336" s="4">
        <f t="shared" si="37"/>
        <v>2996.2299999999996</v>
      </c>
      <c r="I336" s="5">
        <v>1084</v>
      </c>
      <c r="J336" s="4">
        <f t="shared" si="41"/>
        <v>1912.2299999999996</v>
      </c>
      <c r="K336" s="4">
        <f t="shared" si="42"/>
        <v>21505.030000000002</v>
      </c>
      <c r="L336" s="3" t="s">
        <v>21</v>
      </c>
      <c r="M336" s="3">
        <v>6474</v>
      </c>
      <c r="N336" s="25">
        <f t="shared" si="43"/>
        <v>7558</v>
      </c>
      <c r="O336" s="28">
        <f t="shared" si="44"/>
        <v>15031.030000000002</v>
      </c>
      <c r="P336" s="9" t="s">
        <v>29</v>
      </c>
      <c r="Q336" s="2">
        <v>45369</v>
      </c>
      <c r="R336" s="38"/>
      <c r="S336" s="52"/>
      <c r="T336" s="4">
        <f t="shared" si="38"/>
        <v>2439</v>
      </c>
      <c r="U336" s="5">
        <v>0</v>
      </c>
      <c r="V336" s="4">
        <f t="shared" si="50"/>
        <v>2439</v>
      </c>
      <c r="W336" s="4">
        <f t="shared" si="46"/>
        <v>-15701.550000000003</v>
      </c>
      <c r="X336" s="3"/>
      <c r="Y336" s="3"/>
      <c r="Z336" s="25">
        <f t="shared" si="47"/>
        <v>0</v>
      </c>
      <c r="AA336" s="72">
        <f t="shared" si="48"/>
        <v>-15701.550000000003</v>
      </c>
      <c r="AB336" s="9" t="s">
        <v>29</v>
      </c>
      <c r="AC336" s="19">
        <v>45369</v>
      </c>
      <c r="AD336" s="41"/>
      <c r="AE336" s="42"/>
      <c r="AF336" s="4">
        <f t="shared" si="35"/>
        <v>5977.23</v>
      </c>
      <c r="AG336" s="3"/>
      <c r="AH336" s="8">
        <v>1500</v>
      </c>
      <c r="AI336" s="4">
        <f t="shared" si="51"/>
        <v>4477.2299999999996</v>
      </c>
      <c r="AJ336" s="4">
        <f t="shared" si="39"/>
        <v>-73317.290000000008</v>
      </c>
      <c r="AK336" s="3" t="s">
        <v>43</v>
      </c>
      <c r="AL336" s="8">
        <f>(1200)</f>
        <v>1200</v>
      </c>
      <c r="AM336" s="47"/>
      <c r="AN336" s="47"/>
      <c r="AO336" s="8"/>
      <c r="AP336" s="8"/>
      <c r="AQ336" s="47"/>
      <c r="AR336" s="47"/>
      <c r="AS336" s="8"/>
      <c r="AT336" s="8"/>
      <c r="AU336" s="47"/>
      <c r="AV336" s="47"/>
      <c r="AW336" s="8"/>
      <c r="AX336" s="8"/>
      <c r="AY336" s="47"/>
      <c r="AZ336" s="47"/>
      <c r="BA336" s="8"/>
      <c r="BB336" s="8"/>
      <c r="BC336" s="47"/>
      <c r="BD336" s="47"/>
      <c r="BE336" s="8"/>
      <c r="BF336" s="8"/>
      <c r="BG336" s="47"/>
      <c r="BH336" s="47"/>
      <c r="BI336" s="8"/>
      <c r="BJ336" s="3"/>
      <c r="BK336" s="48" t="s">
        <v>16</v>
      </c>
      <c r="BL336" s="47">
        <f>(3000)</f>
        <v>3000</v>
      </c>
      <c r="BM336" s="24">
        <f t="shared" si="40"/>
        <v>4200</v>
      </c>
      <c r="BN336" s="28">
        <f t="shared" si="36"/>
        <v>-77517.290000000008</v>
      </c>
      <c r="BO336" s="2">
        <v>45369</v>
      </c>
    </row>
    <row r="337" spans="4:67" hidden="1" x14ac:dyDescent="0.25">
      <c r="D337" s="9" t="s">
        <v>30</v>
      </c>
      <c r="E337" s="2">
        <v>45370</v>
      </c>
      <c r="F337" s="38"/>
      <c r="G337" s="51"/>
      <c r="H337" s="4">
        <f t="shared" si="37"/>
        <v>2123.65</v>
      </c>
      <c r="I337" s="5">
        <v>1000</v>
      </c>
      <c r="J337" s="4">
        <f t="shared" si="41"/>
        <v>1123.6500000000001</v>
      </c>
      <c r="K337" s="4">
        <f t="shared" si="42"/>
        <v>16154.680000000002</v>
      </c>
      <c r="L337" s="3" t="s">
        <v>20</v>
      </c>
      <c r="M337" s="3">
        <v>11366.4</v>
      </c>
      <c r="N337" s="25">
        <f t="shared" si="43"/>
        <v>12366.4</v>
      </c>
      <c r="O337" s="28">
        <f t="shared" si="44"/>
        <v>4788.2800000000025</v>
      </c>
      <c r="P337" s="9" t="s">
        <v>30</v>
      </c>
      <c r="Q337" s="2">
        <v>45370</v>
      </c>
      <c r="R337" s="38"/>
      <c r="S337" s="52"/>
      <c r="T337" s="4">
        <f t="shared" si="38"/>
        <v>1734.3</v>
      </c>
      <c r="U337" s="5">
        <v>0</v>
      </c>
      <c r="V337" s="4">
        <f t="shared" si="50"/>
        <v>1734.3</v>
      </c>
      <c r="W337" s="4">
        <f t="shared" si="46"/>
        <v>-13967.250000000004</v>
      </c>
      <c r="X337" s="3"/>
      <c r="Y337" s="3"/>
      <c r="Z337" s="25">
        <f t="shared" si="47"/>
        <v>0</v>
      </c>
      <c r="AA337" s="72">
        <f t="shared" si="48"/>
        <v>-13967.250000000004</v>
      </c>
      <c r="AB337" s="9" t="s">
        <v>30</v>
      </c>
      <c r="AC337" s="19">
        <v>45370</v>
      </c>
      <c r="AD337" s="41"/>
      <c r="AE337" s="42"/>
      <c r="AF337" s="4">
        <f t="shared" si="35"/>
        <v>4243.3499999999995</v>
      </c>
      <c r="AG337" s="3"/>
      <c r="AH337" s="8">
        <v>1500</v>
      </c>
      <c r="AI337" s="4">
        <f t="shared" si="51"/>
        <v>2743.3499999999995</v>
      </c>
      <c r="AJ337" s="4">
        <f t="shared" si="39"/>
        <v>-74773.94</v>
      </c>
      <c r="AK337" s="3" t="s">
        <v>44</v>
      </c>
      <c r="AL337" s="8">
        <f>(5500+3000)</f>
        <v>8500</v>
      </c>
      <c r="AM337" s="47"/>
      <c r="AN337" s="47"/>
      <c r="AO337" s="8"/>
      <c r="AP337" s="8"/>
      <c r="AQ337" s="47"/>
      <c r="AR337" s="47"/>
      <c r="AS337" s="8"/>
      <c r="AT337" s="8"/>
      <c r="AU337" s="47"/>
      <c r="AV337" s="47"/>
      <c r="AW337" s="8"/>
      <c r="AX337" s="8"/>
      <c r="AY337" s="47"/>
      <c r="AZ337" s="47"/>
      <c r="BA337" s="8"/>
      <c r="BB337" s="8"/>
      <c r="BC337" s="47"/>
      <c r="BD337" s="47"/>
      <c r="BE337" s="8"/>
      <c r="BF337" s="8"/>
      <c r="BG337" s="47"/>
      <c r="BH337" s="47"/>
      <c r="BI337" s="8"/>
      <c r="BJ337" s="3"/>
      <c r="BK337" s="47"/>
      <c r="BL337" s="47"/>
      <c r="BM337" s="24">
        <f t="shared" si="40"/>
        <v>8500</v>
      </c>
      <c r="BN337" s="28">
        <f t="shared" si="36"/>
        <v>-83273.94</v>
      </c>
      <c r="BO337" s="2">
        <v>45370</v>
      </c>
    </row>
    <row r="338" spans="4:67" hidden="1" x14ac:dyDescent="0.25">
      <c r="D338" s="9" t="s">
        <v>31</v>
      </c>
      <c r="E338" s="2">
        <v>45371</v>
      </c>
      <c r="F338" s="38"/>
      <c r="G338" s="51"/>
      <c r="H338" s="4">
        <f t="shared" si="37"/>
        <v>2268.65</v>
      </c>
      <c r="I338" s="5">
        <v>0</v>
      </c>
      <c r="J338" s="4">
        <f t="shared" si="41"/>
        <v>2268.65</v>
      </c>
      <c r="K338" s="4">
        <f t="shared" si="42"/>
        <v>7056.9300000000021</v>
      </c>
      <c r="L338" s="3" t="s">
        <v>48</v>
      </c>
      <c r="M338" s="3">
        <f>(10052)</f>
        <v>10052</v>
      </c>
      <c r="N338" s="25">
        <f t="shared" si="43"/>
        <v>10052</v>
      </c>
      <c r="O338" s="28">
        <f t="shared" si="44"/>
        <v>-2995.0699999999979</v>
      </c>
      <c r="P338" s="9" t="s">
        <v>31</v>
      </c>
      <c r="Q338" s="2">
        <v>45371</v>
      </c>
      <c r="R338" s="38"/>
      <c r="S338" s="52"/>
      <c r="T338" s="4">
        <f t="shared" si="38"/>
        <v>2853.9</v>
      </c>
      <c r="U338" s="5">
        <v>0</v>
      </c>
      <c r="V338" s="4">
        <f t="shared" si="50"/>
        <v>2853.9</v>
      </c>
      <c r="W338" s="4">
        <f t="shared" si="46"/>
        <v>-11113.350000000004</v>
      </c>
      <c r="X338" s="3"/>
      <c r="Y338" s="3"/>
      <c r="Z338" s="25">
        <f t="shared" si="47"/>
        <v>0</v>
      </c>
      <c r="AA338" s="72">
        <f t="shared" si="48"/>
        <v>-11113.350000000004</v>
      </c>
      <c r="AB338" s="9" t="s">
        <v>31</v>
      </c>
      <c r="AC338" s="19">
        <v>45371</v>
      </c>
      <c r="AD338" s="41"/>
      <c r="AE338" s="42"/>
      <c r="AF338" s="4">
        <f t="shared" si="35"/>
        <v>5756.75</v>
      </c>
      <c r="AG338" s="3"/>
      <c r="AH338" s="8">
        <v>1500</v>
      </c>
      <c r="AI338" s="4">
        <f t="shared" si="51"/>
        <v>4256.75</v>
      </c>
      <c r="AJ338" s="4">
        <f t="shared" si="39"/>
        <v>-79017.19</v>
      </c>
      <c r="AK338" s="3" t="s">
        <v>35</v>
      </c>
      <c r="AL338" s="8">
        <v>8000</v>
      </c>
      <c r="AM338" s="47"/>
      <c r="AN338" s="47"/>
      <c r="AO338" s="8"/>
      <c r="AP338" s="8"/>
      <c r="AQ338" s="47"/>
      <c r="AR338" s="47"/>
      <c r="AS338" s="8"/>
      <c r="AT338" s="8"/>
      <c r="AU338" s="47"/>
      <c r="AV338" s="47"/>
      <c r="AW338" s="8"/>
      <c r="AX338" s="8"/>
      <c r="AY338" s="47"/>
      <c r="AZ338" s="47"/>
      <c r="BA338" s="8"/>
      <c r="BB338" s="8"/>
      <c r="BC338" s="47"/>
      <c r="BD338" s="47"/>
      <c r="BE338" s="8"/>
      <c r="BF338" s="8"/>
      <c r="BG338" s="47"/>
      <c r="BH338" s="47"/>
      <c r="BI338" s="8"/>
      <c r="BJ338" s="3"/>
      <c r="BK338" s="47"/>
      <c r="BL338" s="47"/>
      <c r="BM338" s="24">
        <f t="shared" si="40"/>
        <v>8000</v>
      </c>
      <c r="BN338" s="28">
        <f t="shared" si="36"/>
        <v>-87017.19</v>
      </c>
      <c r="BO338" s="2">
        <v>45371</v>
      </c>
    </row>
    <row r="339" spans="4:67" hidden="1" x14ac:dyDescent="0.25">
      <c r="D339" s="9" t="s">
        <v>32</v>
      </c>
      <c r="E339" s="2">
        <v>45372</v>
      </c>
      <c r="F339" s="38"/>
      <c r="G339" s="51"/>
      <c r="H339" s="4">
        <f t="shared" si="37"/>
        <v>2468.5</v>
      </c>
      <c r="I339" s="5">
        <v>0</v>
      </c>
      <c r="J339" s="4">
        <f t="shared" si="41"/>
        <v>2468.5</v>
      </c>
      <c r="K339" s="4">
        <f t="shared" si="42"/>
        <v>-526.56999999999789</v>
      </c>
      <c r="L339" s="3"/>
      <c r="M339" s="3"/>
      <c r="N339" s="25">
        <f t="shared" si="43"/>
        <v>0</v>
      </c>
      <c r="O339" s="28">
        <f t="shared" si="44"/>
        <v>-526.56999999999789</v>
      </c>
      <c r="P339" s="9" t="s">
        <v>32</v>
      </c>
      <c r="Q339" s="2">
        <v>45372</v>
      </c>
      <c r="R339" s="38"/>
      <c r="S339" s="52"/>
      <c r="T339" s="4">
        <f t="shared" si="38"/>
        <v>842.4</v>
      </c>
      <c r="U339" s="5">
        <v>0</v>
      </c>
      <c r="V339" s="4">
        <f t="shared" si="50"/>
        <v>842.4</v>
      </c>
      <c r="W339" s="4">
        <f t="shared" si="46"/>
        <v>-10270.950000000004</v>
      </c>
      <c r="X339" s="3"/>
      <c r="Y339" s="3"/>
      <c r="Z339" s="25">
        <f t="shared" si="47"/>
        <v>0</v>
      </c>
      <c r="AA339" s="72">
        <f t="shared" si="48"/>
        <v>-10270.950000000004</v>
      </c>
      <c r="AB339" s="9" t="s">
        <v>32</v>
      </c>
      <c r="AC339" s="19">
        <v>45372</v>
      </c>
      <c r="AD339" s="41"/>
      <c r="AE339" s="42"/>
      <c r="AF339" s="4">
        <f t="shared" si="35"/>
        <v>3498.1</v>
      </c>
      <c r="AG339" s="3"/>
      <c r="AH339" s="8">
        <v>1500</v>
      </c>
      <c r="AI339" s="4">
        <f t="shared" si="51"/>
        <v>1998.1</v>
      </c>
      <c r="AJ339" s="4">
        <f t="shared" si="39"/>
        <v>-85019.09</v>
      </c>
      <c r="AK339" s="3"/>
      <c r="AL339" s="8"/>
      <c r="AM339" s="47"/>
      <c r="AN339" s="47"/>
      <c r="AO339" s="8"/>
      <c r="AP339" s="8"/>
      <c r="AQ339" s="47"/>
      <c r="AR339" s="47"/>
      <c r="AS339" s="8"/>
      <c r="AT339" s="8"/>
      <c r="AU339" s="47"/>
      <c r="AV339" s="47"/>
      <c r="AW339" s="8"/>
      <c r="AX339" s="8"/>
      <c r="AY339" s="47"/>
      <c r="AZ339" s="47"/>
      <c r="BA339" s="8"/>
      <c r="BB339" s="8"/>
      <c r="BC339" s="47"/>
      <c r="BD339" s="47"/>
      <c r="BE339" s="8"/>
      <c r="BF339" s="8"/>
      <c r="BG339" s="47"/>
      <c r="BH339" s="47"/>
      <c r="BI339" s="8"/>
      <c r="BJ339" s="3"/>
      <c r="BK339" s="47"/>
      <c r="BL339" s="47"/>
      <c r="BM339" s="24">
        <f t="shared" si="40"/>
        <v>0</v>
      </c>
      <c r="BN339" s="28">
        <f t="shared" si="36"/>
        <v>-85019.09</v>
      </c>
      <c r="BO339" s="2">
        <v>45372</v>
      </c>
    </row>
    <row r="340" spans="4:67" hidden="1" x14ac:dyDescent="0.25">
      <c r="D340" s="9" t="s">
        <v>26</v>
      </c>
      <c r="E340" s="2">
        <v>45373</v>
      </c>
      <c r="F340" s="38"/>
      <c r="G340" s="51"/>
      <c r="H340" s="4">
        <f t="shared" si="37"/>
        <v>2965.45</v>
      </c>
      <c r="I340" s="5">
        <v>0</v>
      </c>
      <c r="J340" s="4">
        <f t="shared" si="41"/>
        <v>2965.45</v>
      </c>
      <c r="K340" s="4">
        <f t="shared" si="42"/>
        <v>2438.8800000000019</v>
      </c>
      <c r="L340" s="3" t="s">
        <v>9</v>
      </c>
      <c r="M340" s="3">
        <v>10000</v>
      </c>
      <c r="N340" s="25">
        <f t="shared" si="43"/>
        <v>10000</v>
      </c>
      <c r="O340" s="28">
        <f t="shared" si="44"/>
        <v>-7561.1199999999981</v>
      </c>
      <c r="P340" s="9" t="s">
        <v>26</v>
      </c>
      <c r="Q340" s="2">
        <v>45373</v>
      </c>
      <c r="R340" s="38"/>
      <c r="S340" s="52"/>
      <c r="T340" s="4">
        <f t="shared" si="38"/>
        <v>1407.6000000000001</v>
      </c>
      <c r="U340" s="5">
        <v>0</v>
      </c>
      <c r="V340" s="4">
        <f t="shared" si="50"/>
        <v>1407.6000000000001</v>
      </c>
      <c r="W340" s="4">
        <f t="shared" si="46"/>
        <v>-8863.350000000004</v>
      </c>
      <c r="X340" s="3"/>
      <c r="Y340" s="3"/>
      <c r="Z340" s="25">
        <f t="shared" si="47"/>
        <v>0</v>
      </c>
      <c r="AA340" s="72">
        <f t="shared" si="48"/>
        <v>-8863.350000000004</v>
      </c>
      <c r="AB340" s="9" t="s">
        <v>26</v>
      </c>
      <c r="AC340" s="19">
        <v>45373</v>
      </c>
      <c r="AD340" s="41"/>
      <c r="AE340" s="42"/>
      <c r="AF340" s="4">
        <f t="shared" si="35"/>
        <v>4685.8499999999995</v>
      </c>
      <c r="AG340" s="3"/>
      <c r="AH340" s="8">
        <v>1500</v>
      </c>
      <c r="AI340" s="4">
        <f t="shared" si="51"/>
        <v>3185.8499999999995</v>
      </c>
      <c r="AJ340" s="4">
        <f t="shared" si="39"/>
        <v>-81833.239999999991</v>
      </c>
      <c r="AK340" s="3" t="s">
        <v>53</v>
      </c>
      <c r="AL340" s="8">
        <f>(3600)</f>
        <v>3600</v>
      </c>
      <c r="AM340" s="47"/>
      <c r="AN340" s="47"/>
      <c r="AO340" s="8"/>
      <c r="AP340" s="8"/>
      <c r="AQ340" s="47"/>
      <c r="AR340" s="47"/>
      <c r="AS340" s="8"/>
      <c r="AT340" s="8"/>
      <c r="AU340" s="47"/>
      <c r="AV340" s="47"/>
      <c r="AW340" s="8"/>
      <c r="AX340" s="8"/>
      <c r="AY340" s="47"/>
      <c r="AZ340" s="47"/>
      <c r="BA340" s="8"/>
      <c r="BB340" s="8"/>
      <c r="BC340" s="47"/>
      <c r="BD340" s="47"/>
      <c r="BE340" s="8"/>
      <c r="BF340" s="8"/>
      <c r="BG340" s="47"/>
      <c r="BH340" s="47"/>
      <c r="BI340" s="8"/>
      <c r="BJ340" s="3"/>
      <c r="BK340" s="48" t="s">
        <v>25</v>
      </c>
      <c r="BL340" s="47">
        <f>(500+1000+500)</f>
        <v>2000</v>
      </c>
      <c r="BM340" s="24">
        <f t="shared" si="40"/>
        <v>5600</v>
      </c>
      <c r="BN340" s="28">
        <f t="shared" si="36"/>
        <v>-87433.239999999991</v>
      </c>
      <c r="BO340" s="2">
        <v>45373</v>
      </c>
    </row>
    <row r="341" spans="4:67" hidden="1" x14ac:dyDescent="0.25">
      <c r="D341" s="9" t="s">
        <v>27</v>
      </c>
      <c r="E341" s="2">
        <v>45374</v>
      </c>
      <c r="F341" s="38"/>
      <c r="G341" s="51"/>
      <c r="H341" s="4">
        <f t="shared" si="37"/>
        <v>2693.3249999999998</v>
      </c>
      <c r="I341" s="5">
        <v>0</v>
      </c>
      <c r="J341" s="4">
        <f t="shared" si="41"/>
        <v>2693.3249999999998</v>
      </c>
      <c r="K341" s="4">
        <f t="shared" si="42"/>
        <v>-4867.7949999999983</v>
      </c>
      <c r="L341" s="3"/>
      <c r="M341" s="3"/>
      <c r="N341" s="25">
        <f t="shared" si="43"/>
        <v>0</v>
      </c>
      <c r="O341" s="28">
        <f t="shared" si="44"/>
        <v>-4867.7949999999983</v>
      </c>
      <c r="P341" s="9" t="s">
        <v>27</v>
      </c>
      <c r="Q341" s="2">
        <v>45374</v>
      </c>
      <c r="R341" s="38"/>
      <c r="S341" s="52"/>
      <c r="T341" s="4">
        <f t="shared" si="38"/>
        <v>3685.5</v>
      </c>
      <c r="U341" s="5">
        <v>0</v>
      </c>
      <c r="V341" s="4">
        <f t="shared" si="50"/>
        <v>3685.5</v>
      </c>
      <c r="W341" s="4">
        <f t="shared" si="46"/>
        <v>-5177.850000000004</v>
      </c>
      <c r="X341" s="3"/>
      <c r="Y341" s="3"/>
      <c r="Z341" s="25">
        <f t="shared" si="47"/>
        <v>0</v>
      </c>
      <c r="AA341" s="72">
        <f t="shared" si="48"/>
        <v>-5177.850000000004</v>
      </c>
      <c r="AB341" s="9" t="s">
        <v>27</v>
      </c>
      <c r="AC341" s="19">
        <v>45374</v>
      </c>
      <c r="AD341" s="41"/>
      <c r="AE341" s="42"/>
      <c r="AF341" s="4">
        <f t="shared" si="35"/>
        <v>7197.8250000000007</v>
      </c>
      <c r="AG341" s="3"/>
      <c r="AH341" s="8">
        <v>1500</v>
      </c>
      <c r="AI341" s="4">
        <f t="shared" si="51"/>
        <v>5697.8250000000007</v>
      </c>
      <c r="AJ341" s="4">
        <f t="shared" si="39"/>
        <v>-81735.414999999994</v>
      </c>
      <c r="AK341" s="3" t="s">
        <v>33</v>
      </c>
      <c r="AL341" s="8">
        <f>(3400)</f>
        <v>3400</v>
      </c>
      <c r="AM341" s="47"/>
      <c r="AN341" s="47"/>
      <c r="AO341" s="8"/>
      <c r="AP341" s="8"/>
      <c r="AQ341" s="47"/>
      <c r="AR341" s="47"/>
      <c r="AS341" s="8"/>
      <c r="AT341" s="8"/>
      <c r="AU341" s="47"/>
      <c r="AV341" s="47"/>
      <c r="AW341" s="8"/>
      <c r="AX341" s="8"/>
      <c r="AY341" s="47"/>
      <c r="AZ341" s="47"/>
      <c r="BA341" s="8"/>
      <c r="BB341" s="8"/>
      <c r="BC341" s="47"/>
      <c r="BD341" s="47"/>
      <c r="BE341" s="8"/>
      <c r="BF341" s="8"/>
      <c r="BG341" s="47"/>
      <c r="BH341" s="47"/>
      <c r="BI341" s="8"/>
      <c r="BJ341" s="3"/>
      <c r="BK341" s="47"/>
      <c r="BL341" s="47"/>
      <c r="BM341" s="24">
        <f t="shared" si="40"/>
        <v>3400</v>
      </c>
      <c r="BN341" s="28">
        <f t="shared" si="36"/>
        <v>-85135.414999999994</v>
      </c>
      <c r="BO341" s="2">
        <v>45374</v>
      </c>
    </row>
    <row r="342" spans="4:67" hidden="1" x14ac:dyDescent="0.25">
      <c r="D342" s="9" t="s">
        <v>28</v>
      </c>
      <c r="E342" s="2">
        <v>45375</v>
      </c>
      <c r="F342" s="38"/>
      <c r="G342" s="51"/>
      <c r="H342" s="4">
        <f t="shared" si="37"/>
        <v>3739.1249999999995</v>
      </c>
      <c r="I342" s="5">
        <v>0</v>
      </c>
      <c r="J342" s="4">
        <f t="shared" si="41"/>
        <v>3739.1249999999995</v>
      </c>
      <c r="K342" s="4">
        <f t="shared" si="42"/>
        <v>-1128.6699999999987</v>
      </c>
      <c r="L342" s="3"/>
      <c r="M342" s="3"/>
      <c r="N342" s="25">
        <f t="shared" si="43"/>
        <v>0</v>
      </c>
      <c r="O342" s="28">
        <f t="shared" si="44"/>
        <v>-1128.6699999999987</v>
      </c>
      <c r="P342" s="9" t="s">
        <v>28</v>
      </c>
      <c r="Q342" s="2">
        <v>45375</v>
      </c>
      <c r="R342" s="38"/>
      <c r="S342" s="52"/>
      <c r="T342" s="4">
        <f t="shared" si="38"/>
        <v>3298.05</v>
      </c>
      <c r="U342" s="5">
        <v>0</v>
      </c>
      <c r="V342" s="4">
        <f t="shared" si="50"/>
        <v>3298.05</v>
      </c>
      <c r="W342" s="4">
        <f t="shared" si="46"/>
        <v>-1879.8000000000038</v>
      </c>
      <c r="X342" s="3"/>
      <c r="Y342" s="3"/>
      <c r="Z342" s="25">
        <f t="shared" si="47"/>
        <v>0</v>
      </c>
      <c r="AA342" s="72">
        <f t="shared" si="48"/>
        <v>-1879.8000000000038</v>
      </c>
      <c r="AB342" s="9" t="s">
        <v>28</v>
      </c>
      <c r="AC342" s="19">
        <v>45375</v>
      </c>
      <c r="AD342" s="41"/>
      <c r="AE342" s="42"/>
      <c r="AF342" s="4">
        <f t="shared" si="35"/>
        <v>7770.0749999999998</v>
      </c>
      <c r="AG342" s="3"/>
      <c r="AH342" s="8">
        <v>1500</v>
      </c>
      <c r="AI342" s="4">
        <f t="shared" si="51"/>
        <v>6270.0749999999998</v>
      </c>
      <c r="AJ342" s="4">
        <f t="shared" si="39"/>
        <v>-78865.34</v>
      </c>
      <c r="AK342" s="3"/>
      <c r="AL342" s="8"/>
      <c r="AM342" s="47"/>
      <c r="AN342" s="47"/>
      <c r="AO342" s="8"/>
      <c r="AP342" s="8"/>
      <c r="AQ342" s="47"/>
      <c r="AR342" s="47"/>
      <c r="AS342" s="8"/>
      <c r="AT342" s="8"/>
      <c r="AU342" s="47"/>
      <c r="AV342" s="47"/>
      <c r="AW342" s="8"/>
      <c r="AX342" s="8"/>
      <c r="AY342" s="47"/>
      <c r="AZ342" s="47"/>
      <c r="BA342" s="8"/>
      <c r="BB342" s="8"/>
      <c r="BC342" s="47"/>
      <c r="BD342" s="47"/>
      <c r="BE342" s="8"/>
      <c r="BF342" s="8"/>
      <c r="BG342" s="47"/>
      <c r="BH342" s="47"/>
      <c r="BI342" s="8"/>
      <c r="BJ342" s="3"/>
      <c r="BK342" s="47"/>
      <c r="BL342" s="47"/>
      <c r="BM342" s="24">
        <f t="shared" si="40"/>
        <v>0</v>
      </c>
      <c r="BN342" s="28">
        <f t="shared" si="36"/>
        <v>-78865.34</v>
      </c>
      <c r="BO342" s="2">
        <v>45375</v>
      </c>
    </row>
    <row r="343" spans="4:67" hidden="1" x14ac:dyDescent="0.25">
      <c r="D343" s="9" t="s">
        <v>29</v>
      </c>
      <c r="E343" s="2">
        <v>45376</v>
      </c>
      <c r="F343" s="38"/>
      <c r="G343" s="51"/>
      <c r="H343" s="4">
        <f t="shared" si="37"/>
        <v>3184.9749999999999</v>
      </c>
      <c r="I343" s="5">
        <v>1000</v>
      </c>
      <c r="J343" s="4">
        <f t="shared" si="41"/>
        <v>2184.9749999999999</v>
      </c>
      <c r="K343" s="4">
        <f t="shared" si="42"/>
        <v>1056.3050000000012</v>
      </c>
      <c r="L343" s="3"/>
      <c r="M343" s="3"/>
      <c r="N343" s="25">
        <f t="shared" si="43"/>
        <v>1000</v>
      </c>
      <c r="O343" s="28">
        <f t="shared" si="44"/>
        <v>1056.3050000000012</v>
      </c>
      <c r="P343" s="9" t="s">
        <v>29</v>
      </c>
      <c r="Q343" s="2">
        <v>45376</v>
      </c>
      <c r="R343" s="38"/>
      <c r="S343" s="52"/>
      <c r="T343" s="4">
        <f t="shared" si="38"/>
        <v>1920.6000000000001</v>
      </c>
      <c r="U343" s="5">
        <v>0</v>
      </c>
      <c r="V343" s="4">
        <f t="shared" si="50"/>
        <v>1920.6000000000001</v>
      </c>
      <c r="W343" s="4">
        <f t="shared" si="46"/>
        <v>40.799999999996317</v>
      </c>
      <c r="X343" s="3" t="s">
        <v>45</v>
      </c>
      <c r="Y343" s="3">
        <f>(4500)</f>
        <v>4500</v>
      </c>
      <c r="Z343" s="25">
        <f t="shared" si="47"/>
        <v>4500</v>
      </c>
      <c r="AA343" s="72">
        <f t="shared" si="48"/>
        <v>-4459.2000000000035</v>
      </c>
      <c r="AB343" s="9" t="s">
        <v>29</v>
      </c>
      <c r="AC343" s="19">
        <v>45376</v>
      </c>
      <c r="AD343" s="41"/>
      <c r="AE343" s="42"/>
      <c r="AF343" s="4">
        <f t="shared" si="35"/>
        <v>5532.375</v>
      </c>
      <c r="AG343" s="3"/>
      <c r="AH343" s="8">
        <v>1500</v>
      </c>
      <c r="AI343" s="4">
        <f t="shared" si="51"/>
        <v>4032.375</v>
      </c>
      <c r="AJ343" s="4">
        <f t="shared" si="39"/>
        <v>-74832.964999999997</v>
      </c>
      <c r="AK343" s="3"/>
      <c r="AL343" s="8"/>
      <c r="AM343" s="47"/>
      <c r="AN343" s="47"/>
      <c r="AO343" s="8"/>
      <c r="AP343" s="8"/>
      <c r="AQ343" s="47"/>
      <c r="AR343" s="47"/>
      <c r="AS343" s="8"/>
      <c r="AT343" s="8"/>
      <c r="AU343" s="47"/>
      <c r="AV343" s="47"/>
      <c r="AW343" s="8"/>
      <c r="AX343" s="8"/>
      <c r="AY343" s="47"/>
      <c r="AZ343" s="47"/>
      <c r="BA343" s="8"/>
      <c r="BB343" s="8"/>
      <c r="BC343" s="47"/>
      <c r="BD343" s="47"/>
      <c r="BE343" s="8"/>
      <c r="BF343" s="8"/>
      <c r="BG343" s="47"/>
      <c r="BH343" s="47"/>
      <c r="BI343" s="3"/>
      <c r="BJ343" s="3"/>
      <c r="BK343" s="47" t="s">
        <v>49</v>
      </c>
      <c r="BL343" s="47">
        <f>(3000+3000)</f>
        <v>6000</v>
      </c>
      <c r="BM343" s="24">
        <f t="shared" si="40"/>
        <v>6000</v>
      </c>
      <c r="BN343" s="28">
        <f t="shared" si="36"/>
        <v>-80832.964999999997</v>
      </c>
      <c r="BO343" s="2">
        <v>45376</v>
      </c>
    </row>
    <row r="344" spans="4:67" hidden="1" x14ac:dyDescent="0.25">
      <c r="D344" s="9" t="s">
        <v>30</v>
      </c>
      <c r="E344" s="2">
        <v>45377</v>
      </c>
      <c r="F344" s="38"/>
      <c r="G344" s="51"/>
      <c r="H344" s="4">
        <f t="shared" si="37"/>
        <v>2681.75</v>
      </c>
      <c r="I344" s="5">
        <v>1000</v>
      </c>
      <c r="J344" s="4">
        <f t="shared" si="41"/>
        <v>1681.75</v>
      </c>
      <c r="K344" s="4">
        <f t="shared" si="42"/>
        <v>2738.0550000000012</v>
      </c>
      <c r="L344" s="3"/>
      <c r="M344" s="3"/>
      <c r="N344" s="25">
        <f t="shared" si="43"/>
        <v>1000</v>
      </c>
      <c r="O344" s="28">
        <f t="shared" si="44"/>
        <v>2738.0550000000012</v>
      </c>
      <c r="P344" s="9" t="s">
        <v>30</v>
      </c>
      <c r="Q344" s="2">
        <v>45377</v>
      </c>
      <c r="R344" s="38"/>
      <c r="S344" s="52"/>
      <c r="T344" s="4">
        <f t="shared" si="38"/>
        <v>4094.1</v>
      </c>
      <c r="U344" s="5">
        <v>0</v>
      </c>
      <c r="V344" s="4">
        <f t="shared" si="50"/>
        <v>4094.1</v>
      </c>
      <c r="W344" s="4">
        <f t="shared" si="46"/>
        <v>-365.10000000000355</v>
      </c>
      <c r="X344" s="3"/>
      <c r="Y344" s="3"/>
      <c r="Z344" s="25">
        <f t="shared" si="47"/>
        <v>0</v>
      </c>
      <c r="AA344" s="72">
        <f t="shared" si="48"/>
        <v>-365.10000000000355</v>
      </c>
      <c r="AB344" s="9" t="s">
        <v>30</v>
      </c>
      <c r="AC344" s="19">
        <v>45377</v>
      </c>
      <c r="AD344" s="41"/>
      <c r="AE344" s="42"/>
      <c r="AF344" s="4">
        <f t="shared" si="35"/>
        <v>7685.65</v>
      </c>
      <c r="AG344" s="3"/>
      <c r="AH344" s="8">
        <v>1500</v>
      </c>
      <c r="AI344" s="4">
        <f t="shared" si="51"/>
        <v>6185.65</v>
      </c>
      <c r="AJ344" s="4">
        <f t="shared" si="39"/>
        <v>-74647.315000000002</v>
      </c>
      <c r="AK344" s="3" t="s">
        <v>52</v>
      </c>
      <c r="AL344" s="8">
        <f>(3500)</f>
        <v>3500</v>
      </c>
      <c r="AM344" s="47"/>
      <c r="AN344" s="47"/>
      <c r="AO344" s="8"/>
      <c r="AP344" s="8"/>
      <c r="AQ344" s="47"/>
      <c r="AR344" s="47"/>
      <c r="AS344" s="8"/>
      <c r="AT344" s="8"/>
      <c r="AU344" s="47"/>
      <c r="AV344" s="47"/>
      <c r="AW344" s="8"/>
      <c r="AX344" s="8"/>
      <c r="AY344" s="47"/>
      <c r="AZ344" s="47"/>
      <c r="BA344" s="8"/>
      <c r="BB344" s="8"/>
      <c r="BC344" s="47"/>
      <c r="BD344" s="47"/>
      <c r="BE344" s="8"/>
      <c r="BF344" s="8"/>
      <c r="BG344" s="47"/>
      <c r="BH344" s="47"/>
      <c r="BI344" s="8"/>
      <c r="BJ344" s="3"/>
      <c r="BK344" s="47"/>
      <c r="BL344" s="47"/>
      <c r="BM344" s="24">
        <f t="shared" si="40"/>
        <v>3500</v>
      </c>
      <c r="BN344" s="28">
        <f t="shared" si="36"/>
        <v>-78147.315000000002</v>
      </c>
      <c r="BO344" s="2">
        <v>45377</v>
      </c>
    </row>
    <row r="345" spans="4:67" hidden="1" x14ac:dyDescent="0.25">
      <c r="D345" s="9" t="s">
        <v>31</v>
      </c>
      <c r="E345" s="2">
        <v>45378</v>
      </c>
      <c r="F345" s="38"/>
      <c r="G345" s="51"/>
      <c r="H345" s="4">
        <f t="shared" si="37"/>
        <v>2538.0250000000001</v>
      </c>
      <c r="I345" s="5">
        <v>1000</v>
      </c>
      <c r="J345" s="4">
        <f t="shared" si="41"/>
        <v>1538.0250000000001</v>
      </c>
      <c r="K345" s="4">
        <f t="shared" si="42"/>
        <v>4276.0800000000017</v>
      </c>
      <c r="L345" s="3" t="s">
        <v>21</v>
      </c>
      <c r="M345" s="3">
        <f>(5303.4)</f>
        <v>5303.4</v>
      </c>
      <c r="N345" s="25">
        <f t="shared" si="43"/>
        <v>6303.4</v>
      </c>
      <c r="O345" s="28">
        <f t="shared" si="44"/>
        <v>-1027.3199999999979</v>
      </c>
      <c r="P345" s="9" t="s">
        <v>31</v>
      </c>
      <c r="Q345" s="2">
        <v>45378</v>
      </c>
      <c r="R345" s="38"/>
      <c r="S345" s="52"/>
      <c r="T345" s="4">
        <f t="shared" si="38"/>
        <v>1588.5</v>
      </c>
      <c r="U345" s="5">
        <v>0</v>
      </c>
      <c r="V345" s="4">
        <f t="shared" si="50"/>
        <v>1588.5</v>
      </c>
      <c r="W345" s="4">
        <f t="shared" si="46"/>
        <v>1223.3999999999965</v>
      </c>
      <c r="X345" s="3" t="s">
        <v>56</v>
      </c>
      <c r="Y345" s="3">
        <f>(13600)</f>
        <v>13600</v>
      </c>
      <c r="Z345" s="25">
        <f t="shared" si="47"/>
        <v>13600</v>
      </c>
      <c r="AA345" s="72">
        <f t="shared" si="48"/>
        <v>-12376.600000000004</v>
      </c>
      <c r="AB345" s="9" t="s">
        <v>31</v>
      </c>
      <c r="AC345" s="19">
        <v>45378</v>
      </c>
      <c r="AD345" s="41"/>
      <c r="AE345" s="42"/>
      <c r="AF345" s="4">
        <f t="shared" si="35"/>
        <v>4479.5249999999996</v>
      </c>
      <c r="AG345" s="3"/>
      <c r="AH345" s="8">
        <v>1500</v>
      </c>
      <c r="AI345" s="4">
        <f t="shared" si="51"/>
        <v>2979.5249999999996</v>
      </c>
      <c r="AJ345" s="4">
        <f t="shared" si="39"/>
        <v>-75167.790000000008</v>
      </c>
      <c r="AK345" s="3" t="s">
        <v>5</v>
      </c>
      <c r="AL345" s="8">
        <v>24550</v>
      </c>
      <c r="AM345" s="47"/>
      <c r="AN345" s="47"/>
      <c r="AO345" s="8"/>
      <c r="AP345" s="8"/>
      <c r="AQ345" s="47"/>
      <c r="AR345" s="47"/>
      <c r="AS345" s="8"/>
      <c r="AT345" s="8"/>
      <c r="AU345" s="47"/>
      <c r="AV345" s="47"/>
      <c r="AW345" s="8"/>
      <c r="AX345" s="8"/>
      <c r="AY345" s="47"/>
      <c r="AZ345" s="47"/>
      <c r="BA345" s="8"/>
      <c r="BB345" s="8"/>
      <c r="BC345" s="47"/>
      <c r="BD345" s="47"/>
      <c r="BE345" s="8"/>
      <c r="BF345" s="8"/>
      <c r="BG345" s="47"/>
      <c r="BH345" s="47"/>
      <c r="BI345" s="8"/>
      <c r="BJ345" s="3"/>
      <c r="BK345" s="47"/>
      <c r="BL345" s="47"/>
      <c r="BM345" s="24">
        <f t="shared" si="40"/>
        <v>24550</v>
      </c>
      <c r="BN345" s="28">
        <f t="shared" si="36"/>
        <v>-99717.790000000008</v>
      </c>
      <c r="BO345" s="2">
        <v>45378</v>
      </c>
    </row>
    <row r="346" spans="4:67" hidden="1" x14ac:dyDescent="0.25">
      <c r="D346" s="9" t="s">
        <v>32</v>
      </c>
      <c r="E346" s="2">
        <v>45379</v>
      </c>
      <c r="F346" s="38"/>
      <c r="G346" s="51"/>
      <c r="H346" s="4">
        <f t="shared" si="37"/>
        <v>3156.3</v>
      </c>
      <c r="I346" s="5">
        <v>0</v>
      </c>
      <c r="J346" s="4">
        <f t="shared" si="41"/>
        <v>3156.3</v>
      </c>
      <c r="K346" s="4">
        <f t="shared" si="42"/>
        <v>2128.9800000000023</v>
      </c>
      <c r="L346" s="3"/>
      <c r="M346" s="3"/>
      <c r="N346" s="25">
        <f t="shared" si="43"/>
        <v>0</v>
      </c>
      <c r="O346" s="28">
        <f t="shared" si="44"/>
        <v>2128.9800000000023</v>
      </c>
      <c r="P346" s="9" t="s">
        <v>32</v>
      </c>
      <c r="Q346" s="2">
        <v>45379</v>
      </c>
      <c r="R346" s="38"/>
      <c r="S346" s="52"/>
      <c r="T346" s="4">
        <f t="shared" si="38"/>
        <v>3903.75</v>
      </c>
      <c r="U346" s="5">
        <v>0</v>
      </c>
      <c r="V346" s="4">
        <f t="shared" si="50"/>
        <v>3903.75</v>
      </c>
      <c r="W346" s="4">
        <f t="shared" si="46"/>
        <v>-8472.850000000004</v>
      </c>
      <c r="X346" s="3" t="s">
        <v>23</v>
      </c>
      <c r="Y346" s="3">
        <v>13908</v>
      </c>
      <c r="Z346" s="25">
        <f t="shared" si="47"/>
        <v>13908</v>
      </c>
      <c r="AA346" s="72">
        <f t="shared" si="48"/>
        <v>-22380.850000000006</v>
      </c>
      <c r="AB346" s="9" t="s">
        <v>32</v>
      </c>
      <c r="AC346" s="19">
        <v>45379</v>
      </c>
      <c r="AD346" s="41"/>
      <c r="AE346" s="42"/>
      <c r="AF346" s="4">
        <f t="shared" si="35"/>
        <v>7927.5499999999993</v>
      </c>
      <c r="AG346" s="3"/>
      <c r="AH346" s="8">
        <v>1500</v>
      </c>
      <c r="AI346" s="4">
        <f t="shared" si="51"/>
        <v>6427.5499999999993</v>
      </c>
      <c r="AJ346" s="4">
        <f t="shared" si="39"/>
        <v>-93290.240000000005</v>
      </c>
      <c r="AK346" s="3" t="s">
        <v>57</v>
      </c>
      <c r="AL346" s="8">
        <f>(13600+2000)</f>
        <v>15600</v>
      </c>
      <c r="AM346" s="47"/>
      <c r="AN346" s="47"/>
      <c r="AO346" s="8"/>
      <c r="AP346" s="8"/>
      <c r="AQ346" s="47"/>
      <c r="AR346" s="47"/>
      <c r="AS346" s="8"/>
      <c r="AT346" s="8"/>
      <c r="AU346" s="47"/>
      <c r="AV346" s="47"/>
      <c r="AW346" s="8"/>
      <c r="AX346" s="8"/>
      <c r="AY346" s="47"/>
      <c r="AZ346" s="47"/>
      <c r="BA346" s="8"/>
      <c r="BB346" s="8"/>
      <c r="BC346" s="47"/>
      <c r="BD346" s="47"/>
      <c r="BE346" s="8"/>
      <c r="BF346" s="8"/>
      <c r="BG346" s="47"/>
      <c r="BH346" s="47"/>
      <c r="BI346" s="8"/>
      <c r="BJ346" s="3"/>
      <c r="BK346" s="47"/>
      <c r="BL346" s="47"/>
      <c r="BM346" s="24">
        <f t="shared" si="40"/>
        <v>15600</v>
      </c>
      <c r="BN346" s="28">
        <f t="shared" si="36"/>
        <v>-108890.24000000001</v>
      </c>
      <c r="BO346" s="2">
        <v>45379</v>
      </c>
    </row>
    <row r="347" spans="4:67" hidden="1" x14ac:dyDescent="0.25">
      <c r="D347" s="9" t="s">
        <v>26</v>
      </c>
      <c r="E347" s="2">
        <v>45380</v>
      </c>
      <c r="F347" s="38"/>
      <c r="G347" s="51"/>
      <c r="H347" s="4">
        <f t="shared" si="37"/>
        <v>3555.625</v>
      </c>
      <c r="I347" s="5">
        <v>0</v>
      </c>
      <c r="J347" s="4">
        <f t="shared" si="41"/>
        <v>3555.625</v>
      </c>
      <c r="K347" s="4">
        <f t="shared" si="42"/>
        <v>5684.6050000000023</v>
      </c>
      <c r="L347" s="3"/>
      <c r="M347" s="3"/>
      <c r="N347" s="25">
        <f t="shared" si="43"/>
        <v>0</v>
      </c>
      <c r="O347" s="28">
        <f t="shared" si="44"/>
        <v>5684.6050000000023</v>
      </c>
      <c r="P347" s="9" t="s">
        <v>26</v>
      </c>
      <c r="Q347" s="2">
        <v>45380</v>
      </c>
      <c r="R347" s="38"/>
      <c r="S347" s="52"/>
      <c r="T347" s="4">
        <f t="shared" si="38"/>
        <v>2425.9500000000003</v>
      </c>
      <c r="U347" s="5">
        <v>0</v>
      </c>
      <c r="V347" s="4">
        <f t="shared" si="50"/>
        <v>2425.9500000000003</v>
      </c>
      <c r="W347" s="4">
        <f t="shared" si="46"/>
        <v>-19954.900000000005</v>
      </c>
      <c r="X347" s="3"/>
      <c r="Y347" s="3"/>
      <c r="Z347" s="25">
        <f t="shared" si="47"/>
        <v>0</v>
      </c>
      <c r="AA347" s="72">
        <f t="shared" si="48"/>
        <v>-19954.900000000005</v>
      </c>
      <c r="AB347" s="9" t="s">
        <v>26</v>
      </c>
      <c r="AC347" s="19">
        <v>45380</v>
      </c>
      <c r="AD347" s="41"/>
      <c r="AE347" s="42"/>
      <c r="AF347" s="4">
        <f t="shared" si="35"/>
        <v>6520.6749999999993</v>
      </c>
      <c r="AG347" s="3"/>
      <c r="AH347" s="8">
        <v>1500</v>
      </c>
      <c r="AI347" s="4">
        <f t="shared" si="51"/>
        <v>5020.6749999999993</v>
      </c>
      <c r="AJ347" s="4">
        <f t="shared" si="39"/>
        <v>-103869.565</v>
      </c>
      <c r="AK347" s="3"/>
      <c r="AL347" s="8"/>
      <c r="AM347" s="47"/>
      <c r="AN347" s="47"/>
      <c r="AO347" s="8"/>
      <c r="AP347" s="8"/>
      <c r="AQ347" s="47"/>
      <c r="AR347" s="47"/>
      <c r="AS347" s="8"/>
      <c r="AT347" s="8"/>
      <c r="AU347" s="47"/>
      <c r="AV347" s="47"/>
      <c r="AW347" s="8"/>
      <c r="AX347" s="8"/>
      <c r="AY347" s="47"/>
      <c r="AZ347" s="47"/>
      <c r="BA347" s="8"/>
      <c r="BB347" s="8"/>
      <c r="BC347" s="47"/>
      <c r="BD347" s="47"/>
      <c r="BE347" s="8"/>
      <c r="BF347" s="8"/>
      <c r="BG347" s="47"/>
      <c r="BH347" s="47"/>
      <c r="BI347" s="8"/>
      <c r="BJ347" s="3"/>
      <c r="BK347" s="48" t="s">
        <v>25</v>
      </c>
      <c r="BL347" s="47">
        <f>(500+1000+500)</f>
        <v>2000</v>
      </c>
      <c r="BM347" s="24">
        <f t="shared" si="40"/>
        <v>2000</v>
      </c>
      <c r="BN347" s="28">
        <f t="shared" si="36"/>
        <v>-105869.565</v>
      </c>
      <c r="BO347" s="2">
        <v>45380</v>
      </c>
    </row>
    <row r="348" spans="4:67" hidden="1" x14ac:dyDescent="0.25">
      <c r="D348" s="9" t="s">
        <v>27</v>
      </c>
      <c r="E348" s="2">
        <v>45381</v>
      </c>
      <c r="F348" s="38"/>
      <c r="G348" s="51"/>
      <c r="H348" s="4">
        <f t="shared" si="37"/>
        <v>3592.2349999999997</v>
      </c>
      <c r="I348" s="5">
        <v>1000</v>
      </c>
      <c r="J348" s="4">
        <f t="shared" si="41"/>
        <v>2592.2349999999997</v>
      </c>
      <c r="K348" s="4">
        <f t="shared" si="42"/>
        <v>8276.840000000002</v>
      </c>
      <c r="L348" s="3"/>
      <c r="M348" s="3"/>
      <c r="N348" s="25">
        <f t="shared" si="43"/>
        <v>1000</v>
      </c>
      <c r="O348" s="28">
        <f t="shared" si="44"/>
        <v>8276.840000000002</v>
      </c>
      <c r="P348" s="9" t="s">
        <v>27</v>
      </c>
      <c r="Q348" s="2">
        <v>45381</v>
      </c>
      <c r="R348" s="38"/>
      <c r="S348" s="52"/>
      <c r="T348" s="4">
        <f t="shared" si="38"/>
        <v>2809.35</v>
      </c>
      <c r="U348" s="5">
        <v>0</v>
      </c>
      <c r="V348" s="4">
        <f t="shared" si="50"/>
        <v>2809.35</v>
      </c>
      <c r="W348" s="4">
        <f t="shared" si="46"/>
        <v>-17145.550000000007</v>
      </c>
      <c r="X348" s="3"/>
      <c r="Y348" s="3"/>
      <c r="Z348" s="25">
        <f t="shared" si="47"/>
        <v>0</v>
      </c>
      <c r="AA348" s="72">
        <f t="shared" si="48"/>
        <v>-17145.550000000007</v>
      </c>
      <c r="AB348" s="9" t="s">
        <v>27</v>
      </c>
      <c r="AC348" s="19">
        <v>45381</v>
      </c>
      <c r="AD348" s="41"/>
      <c r="AE348" s="42"/>
      <c r="AF348" s="4">
        <f t="shared" si="35"/>
        <v>7025.8850000000002</v>
      </c>
      <c r="AG348" s="3"/>
      <c r="AH348" s="8">
        <v>1500</v>
      </c>
      <c r="AI348" s="4">
        <f t="shared" si="51"/>
        <v>5525.8850000000002</v>
      </c>
      <c r="AJ348" s="4">
        <f t="shared" si="39"/>
        <v>-100343.68000000001</v>
      </c>
      <c r="AK348" s="3"/>
      <c r="AL348" s="8"/>
      <c r="AM348" s="47"/>
      <c r="AN348" s="47"/>
      <c r="AO348" s="8"/>
      <c r="AP348" s="8"/>
      <c r="AQ348" s="47"/>
      <c r="AR348" s="47"/>
      <c r="AS348" s="8"/>
      <c r="AT348" s="8"/>
      <c r="AU348" s="47"/>
      <c r="AV348" s="47"/>
      <c r="AW348" s="8"/>
      <c r="AX348" s="8"/>
      <c r="AY348" s="47"/>
      <c r="AZ348" s="47"/>
      <c r="BA348" s="8"/>
      <c r="BB348" s="8"/>
      <c r="BC348" s="47"/>
      <c r="BD348" s="47"/>
      <c r="BE348" s="8"/>
      <c r="BF348" s="8"/>
      <c r="BG348" s="47"/>
      <c r="BH348" s="47"/>
      <c r="BI348" s="8"/>
      <c r="BJ348" s="3"/>
      <c r="BK348" s="47"/>
      <c r="BL348" s="47"/>
      <c r="BM348" s="24">
        <f t="shared" si="40"/>
        <v>0</v>
      </c>
      <c r="BN348" s="28">
        <f t="shared" si="36"/>
        <v>-100343.68000000001</v>
      </c>
      <c r="BO348" s="2">
        <v>45381</v>
      </c>
    </row>
    <row r="349" spans="4:67" s="13" customFormat="1" hidden="1" x14ac:dyDescent="0.25">
      <c r="D349" s="13" t="s">
        <v>28</v>
      </c>
      <c r="E349" s="10">
        <v>45382</v>
      </c>
      <c r="F349" s="10"/>
      <c r="G349" s="53"/>
      <c r="H349" s="11">
        <f t="shared" si="37"/>
        <v>3745.6499999999996</v>
      </c>
      <c r="I349" s="12">
        <v>1000</v>
      </c>
      <c r="J349" s="11">
        <f t="shared" si="41"/>
        <v>2745.6499999999996</v>
      </c>
      <c r="K349" s="11">
        <f t="shared" si="42"/>
        <v>11022.490000000002</v>
      </c>
      <c r="L349" s="11"/>
      <c r="M349" s="11"/>
      <c r="N349" s="26">
        <f t="shared" si="43"/>
        <v>1000</v>
      </c>
      <c r="O349" s="11">
        <f t="shared" si="44"/>
        <v>11022.490000000002</v>
      </c>
      <c r="P349" s="14" t="s">
        <v>28</v>
      </c>
      <c r="Q349" s="29">
        <v>45382</v>
      </c>
      <c r="R349" s="10"/>
      <c r="S349" s="53"/>
      <c r="T349" s="11">
        <f t="shared" si="38"/>
        <v>3527.55</v>
      </c>
      <c r="U349" s="12">
        <v>0</v>
      </c>
      <c r="V349" s="11">
        <f t="shared" si="50"/>
        <v>3527.55</v>
      </c>
      <c r="W349" s="11">
        <f t="shared" si="46"/>
        <v>-13618.000000000007</v>
      </c>
      <c r="X349" s="11"/>
      <c r="Y349" s="11"/>
      <c r="Z349" s="26">
        <f t="shared" si="47"/>
        <v>0</v>
      </c>
      <c r="AA349" s="53">
        <f t="shared" si="48"/>
        <v>-13618.000000000007</v>
      </c>
      <c r="AB349" s="14" t="s">
        <v>28</v>
      </c>
      <c r="AC349" s="20">
        <v>45382</v>
      </c>
      <c r="AD349" s="14"/>
      <c r="AE349" s="27"/>
      <c r="AF349" s="11">
        <f t="shared" si="35"/>
        <v>8057.0999999999995</v>
      </c>
      <c r="AG349" s="11"/>
      <c r="AH349" s="15"/>
      <c r="AI349" s="11">
        <f t="shared" si="51"/>
        <v>8057.0999999999995</v>
      </c>
      <c r="AJ349" s="11">
        <f t="shared" si="39"/>
        <v>-92286.58</v>
      </c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1"/>
      <c r="BK349" s="15"/>
      <c r="BL349" s="15"/>
      <c r="BM349" s="23">
        <f t="shared" si="40"/>
        <v>0</v>
      </c>
      <c r="BN349" s="11">
        <f t="shared" si="36"/>
        <v>-92286.58</v>
      </c>
      <c r="BO349" s="10">
        <v>45382</v>
      </c>
    </row>
    <row r="350" spans="4:67" hidden="1" x14ac:dyDescent="0.25">
      <c r="D350" s="9" t="s">
        <v>29</v>
      </c>
      <c r="E350" s="2">
        <v>45383</v>
      </c>
      <c r="F350" s="38"/>
      <c r="G350" s="51"/>
      <c r="H350" s="4">
        <f t="shared" si="37"/>
        <v>3543.0749999999998</v>
      </c>
      <c r="I350" s="5">
        <v>970</v>
      </c>
      <c r="J350" s="4">
        <f t="shared" si="41"/>
        <v>2573.0749999999998</v>
      </c>
      <c r="K350" s="4">
        <f t="shared" si="42"/>
        <v>13595.565000000002</v>
      </c>
      <c r="L350" s="3"/>
      <c r="M350" s="3"/>
      <c r="N350" s="25">
        <f t="shared" si="43"/>
        <v>970</v>
      </c>
      <c r="O350" s="28">
        <f t="shared" si="44"/>
        <v>13595.565000000002</v>
      </c>
      <c r="P350" s="9" t="s">
        <v>29</v>
      </c>
      <c r="Q350" s="2">
        <v>45383</v>
      </c>
      <c r="R350" s="38"/>
      <c r="S350" s="52"/>
      <c r="T350" s="4">
        <f t="shared" si="38"/>
        <v>3258</v>
      </c>
      <c r="U350" s="5">
        <v>0</v>
      </c>
      <c r="V350" s="4">
        <f t="shared" si="50"/>
        <v>3258</v>
      </c>
      <c r="W350" s="4">
        <f t="shared" si="46"/>
        <v>-10360.000000000007</v>
      </c>
      <c r="X350" s="3"/>
      <c r="Y350" s="3"/>
      <c r="Z350" s="25">
        <f t="shared" si="47"/>
        <v>0</v>
      </c>
      <c r="AA350" s="72">
        <f t="shared" si="48"/>
        <v>-10360.000000000007</v>
      </c>
      <c r="AB350" s="9" t="s">
        <v>29</v>
      </c>
      <c r="AC350" s="19">
        <v>45383</v>
      </c>
      <c r="AD350" s="41"/>
      <c r="AE350" s="42"/>
      <c r="AF350" s="4">
        <f t="shared" si="35"/>
        <v>7525.0750000000007</v>
      </c>
      <c r="AG350" s="3"/>
      <c r="AH350" s="8">
        <f>(120+485.8)</f>
        <v>605.79999999999995</v>
      </c>
      <c r="AI350" s="4">
        <f t="shared" si="51"/>
        <v>6919.2750000000005</v>
      </c>
      <c r="AJ350" s="4">
        <f t="shared" si="39"/>
        <v>-85367.305000000008</v>
      </c>
      <c r="AK350" s="3" t="s">
        <v>85</v>
      </c>
      <c r="AL350" s="8">
        <f>(1000)</f>
        <v>1000</v>
      </c>
      <c r="AM350" s="47" t="s">
        <v>73</v>
      </c>
      <c r="AN350" s="47">
        <f>(1800)</f>
        <v>1800</v>
      </c>
      <c r="AO350" s="8"/>
      <c r="AP350" s="8"/>
      <c r="AQ350" s="47"/>
      <c r="AR350" s="47"/>
      <c r="AS350" s="8"/>
      <c r="AT350" s="8"/>
      <c r="AU350" s="47"/>
      <c r="AV350" s="47"/>
      <c r="AW350" s="8"/>
      <c r="AX350" s="8"/>
      <c r="AY350" s="47"/>
      <c r="AZ350" s="47"/>
      <c r="BA350" s="8"/>
      <c r="BB350" s="8"/>
      <c r="BC350" s="47"/>
      <c r="BD350" s="47"/>
      <c r="BE350" s="8"/>
      <c r="BF350" s="8"/>
      <c r="BG350" s="47"/>
      <c r="BH350" s="47"/>
      <c r="BI350" s="3"/>
      <c r="BJ350" s="3"/>
      <c r="BK350" s="47"/>
      <c r="BL350" s="47"/>
      <c r="BM350" s="24">
        <f t="shared" si="40"/>
        <v>2800</v>
      </c>
      <c r="BN350" s="28">
        <f t="shared" si="36"/>
        <v>-88167.305000000008</v>
      </c>
      <c r="BO350" s="2">
        <v>45383</v>
      </c>
    </row>
    <row r="351" spans="4:67" hidden="1" x14ac:dyDescent="0.25">
      <c r="D351" s="9" t="s">
        <v>30</v>
      </c>
      <c r="E351" s="2">
        <v>45384</v>
      </c>
      <c r="F351" s="38"/>
      <c r="G351" s="51"/>
      <c r="H351" s="4">
        <f t="shared" si="37"/>
        <v>3263.1750000000002</v>
      </c>
      <c r="I351" s="5">
        <v>1202</v>
      </c>
      <c r="J351" s="4">
        <f t="shared" si="41"/>
        <v>2061.1750000000002</v>
      </c>
      <c r="K351" s="4">
        <f t="shared" si="42"/>
        <v>15656.740000000002</v>
      </c>
      <c r="L351" s="3"/>
      <c r="M351" s="3"/>
      <c r="N351" s="25">
        <f t="shared" si="43"/>
        <v>1202</v>
      </c>
      <c r="O351" s="28">
        <f t="shared" si="44"/>
        <v>15656.740000000002</v>
      </c>
      <c r="P351" s="9" t="s">
        <v>30</v>
      </c>
      <c r="Q351" s="2">
        <v>45384</v>
      </c>
      <c r="R351" s="38"/>
      <c r="S351" s="52"/>
      <c r="T351" s="4">
        <f t="shared" si="38"/>
        <v>3294</v>
      </c>
      <c r="U351" s="5">
        <v>0</v>
      </c>
      <c r="V351" s="4">
        <f t="shared" si="50"/>
        <v>3294</v>
      </c>
      <c r="W351" s="4">
        <f t="shared" si="46"/>
        <v>-7066.0000000000073</v>
      </c>
      <c r="X351" s="3" t="s">
        <v>66</v>
      </c>
      <c r="Y351" s="3">
        <v>239</v>
      </c>
      <c r="Z351" s="25">
        <f t="shared" si="47"/>
        <v>239</v>
      </c>
      <c r="AA351" s="72">
        <f t="shared" si="48"/>
        <v>-7305.0000000000073</v>
      </c>
      <c r="AB351" s="9" t="s">
        <v>30</v>
      </c>
      <c r="AC351" s="19">
        <v>45384</v>
      </c>
      <c r="AD351" s="41"/>
      <c r="AE351" s="42"/>
      <c r="AF351" s="4">
        <f t="shared" si="35"/>
        <v>7289.1749999999993</v>
      </c>
      <c r="AG351" s="3"/>
      <c r="AH351" s="8">
        <v>528</v>
      </c>
      <c r="AI351" s="4">
        <f t="shared" si="51"/>
        <v>6761.1749999999993</v>
      </c>
      <c r="AJ351" s="4">
        <f t="shared" si="39"/>
        <v>-81406.13</v>
      </c>
      <c r="AK351" s="3" t="s">
        <v>100</v>
      </c>
      <c r="AL351" s="8">
        <f>(1000+4000+1000)</f>
        <v>6000</v>
      </c>
      <c r="AM351" s="47"/>
      <c r="AN351" s="47"/>
      <c r="AO351" s="8"/>
      <c r="AP351" s="8"/>
      <c r="AQ351" s="47"/>
      <c r="AR351" s="47"/>
      <c r="AS351" s="8"/>
      <c r="AT351" s="8"/>
      <c r="AU351" s="47"/>
      <c r="AV351" s="47"/>
      <c r="AW351" s="8"/>
      <c r="AX351" s="8"/>
      <c r="AY351" s="47"/>
      <c r="AZ351" s="47"/>
      <c r="BA351" s="8" t="s">
        <v>91</v>
      </c>
      <c r="BB351" s="8">
        <f>(600)</f>
        <v>600</v>
      </c>
      <c r="BC351" s="47"/>
      <c r="BD351" s="47"/>
      <c r="BE351" s="8"/>
      <c r="BF351" s="8"/>
      <c r="BG351" s="47"/>
      <c r="BH351" s="47"/>
      <c r="BI351" s="8"/>
      <c r="BJ351" s="3"/>
      <c r="BK351" s="47" t="s">
        <v>47</v>
      </c>
      <c r="BL351" s="47"/>
      <c r="BM351" s="24">
        <f t="shared" si="40"/>
        <v>6600</v>
      </c>
      <c r="BN351" s="28">
        <f t="shared" si="36"/>
        <v>-88006.13</v>
      </c>
      <c r="BO351" s="2">
        <v>45384</v>
      </c>
    </row>
    <row r="352" spans="4:67" hidden="1" x14ac:dyDescent="0.25">
      <c r="D352" s="9" t="s">
        <v>31</v>
      </c>
      <c r="E352" s="2">
        <v>45385</v>
      </c>
      <c r="F352" s="38"/>
      <c r="G352" s="51"/>
      <c r="H352" s="4">
        <f t="shared" si="37"/>
        <v>4587.75</v>
      </c>
      <c r="I352" s="5">
        <v>1120</v>
      </c>
      <c r="J352" s="4">
        <f t="shared" si="41"/>
        <v>3467.75</v>
      </c>
      <c r="K352" s="4">
        <f t="shared" si="42"/>
        <v>19124.490000000002</v>
      </c>
      <c r="L352" s="3"/>
      <c r="M352" s="3"/>
      <c r="N352" s="25">
        <f t="shared" si="43"/>
        <v>1120</v>
      </c>
      <c r="O352" s="28">
        <f t="shared" si="44"/>
        <v>19124.490000000002</v>
      </c>
      <c r="P352" s="9" t="s">
        <v>31</v>
      </c>
      <c r="Q352" s="2">
        <v>45385</v>
      </c>
      <c r="R352" s="38"/>
      <c r="S352" s="52"/>
      <c r="T352" s="4">
        <f t="shared" si="38"/>
        <v>3746.25</v>
      </c>
      <c r="U352" s="5">
        <v>1080</v>
      </c>
      <c r="V352" s="4">
        <f t="shared" si="50"/>
        <v>2666.25</v>
      </c>
      <c r="W352" s="4">
        <f t="shared" si="46"/>
        <v>-4638.7500000000073</v>
      </c>
      <c r="X352" s="3"/>
      <c r="Y352" s="3"/>
      <c r="Z352" s="25">
        <f t="shared" si="47"/>
        <v>1080</v>
      </c>
      <c r="AA352" s="72">
        <f t="shared" si="48"/>
        <v>-4638.7500000000073</v>
      </c>
      <c r="AB352" s="9" t="s">
        <v>31</v>
      </c>
      <c r="AC352" s="19">
        <v>45385</v>
      </c>
      <c r="AD352" s="41"/>
      <c r="AE352" s="42"/>
      <c r="AF352" s="4">
        <f t="shared" si="35"/>
        <v>9166.5</v>
      </c>
      <c r="AG352" s="3"/>
      <c r="AH352" s="8">
        <v>1059.2</v>
      </c>
      <c r="AI352" s="4">
        <f t="shared" si="51"/>
        <v>8107.3</v>
      </c>
      <c r="AJ352" s="4">
        <f t="shared" si="39"/>
        <v>-79898.83</v>
      </c>
      <c r="AK352" s="3" t="s">
        <v>89</v>
      </c>
      <c r="AL352" s="8">
        <f>(1000)</f>
        <v>1000</v>
      </c>
      <c r="AM352" s="47"/>
      <c r="AN352" s="47"/>
      <c r="AO352" s="8"/>
      <c r="AP352" s="8"/>
      <c r="AQ352" s="47"/>
      <c r="AR352" s="47"/>
      <c r="AS352" s="8"/>
      <c r="AT352" s="8"/>
      <c r="AU352" s="47"/>
      <c r="AV352" s="47"/>
      <c r="AW352" s="8"/>
      <c r="AX352" s="8"/>
      <c r="AY352" s="47"/>
      <c r="AZ352" s="47"/>
      <c r="BA352" s="8" t="s">
        <v>92</v>
      </c>
      <c r="BB352" s="8">
        <f>(300+664)</f>
        <v>964</v>
      </c>
      <c r="BC352" s="47"/>
      <c r="BD352" s="47"/>
      <c r="BE352" s="8"/>
      <c r="BF352" s="8"/>
      <c r="BG352" s="47"/>
      <c r="BH352" s="47"/>
      <c r="BI352" s="8"/>
      <c r="BJ352" s="3"/>
      <c r="BK352" s="47"/>
      <c r="BL352" s="47"/>
      <c r="BM352" s="24">
        <f t="shared" si="40"/>
        <v>1964</v>
      </c>
      <c r="BN352" s="28">
        <f t="shared" si="36"/>
        <v>-81862.83</v>
      </c>
      <c r="BO352" s="2">
        <v>45385</v>
      </c>
    </row>
    <row r="353" spans="4:67" hidden="1" x14ac:dyDescent="0.25">
      <c r="D353" s="9" t="s">
        <v>32</v>
      </c>
      <c r="E353" s="2">
        <v>45386</v>
      </c>
      <c r="F353" s="38"/>
      <c r="G353" s="51"/>
      <c r="H353" s="4">
        <f t="shared" si="37"/>
        <v>4588.05</v>
      </c>
      <c r="I353" s="5">
        <v>1037</v>
      </c>
      <c r="J353" s="4">
        <f t="shared" si="41"/>
        <v>3551.05</v>
      </c>
      <c r="K353" s="4">
        <f t="shared" si="42"/>
        <v>22675.54</v>
      </c>
      <c r="L353" s="3" t="s">
        <v>23</v>
      </c>
      <c r="M353" s="3">
        <v>20880</v>
      </c>
      <c r="N353" s="25">
        <f t="shared" si="43"/>
        <v>21917</v>
      </c>
      <c r="O353" s="28">
        <f t="shared" si="44"/>
        <v>1795.5400000000009</v>
      </c>
      <c r="P353" s="9" t="s">
        <v>32</v>
      </c>
      <c r="Q353" s="2">
        <v>45386</v>
      </c>
      <c r="R353" s="38"/>
      <c r="S353" s="52"/>
      <c r="T353" s="4">
        <f t="shared" si="38"/>
        <v>2628</v>
      </c>
      <c r="U353" s="5">
        <v>0</v>
      </c>
      <c r="V353" s="4">
        <f t="shared" si="50"/>
        <v>2628</v>
      </c>
      <c r="W353" s="4">
        <f t="shared" si="46"/>
        <v>-2010.7500000000073</v>
      </c>
      <c r="X353" s="3" t="s">
        <v>62</v>
      </c>
      <c r="Y353" s="3">
        <f>(750)</f>
        <v>750</v>
      </c>
      <c r="Z353" s="25">
        <f t="shared" si="47"/>
        <v>750</v>
      </c>
      <c r="AA353" s="72">
        <f t="shared" si="48"/>
        <v>-2760.7500000000073</v>
      </c>
      <c r="AB353" s="9" t="s">
        <v>32</v>
      </c>
      <c r="AC353" s="19">
        <v>45386</v>
      </c>
      <c r="AD353" s="41"/>
      <c r="AE353" s="42"/>
      <c r="AF353" s="4">
        <f t="shared" si="35"/>
        <v>7800.0499999999993</v>
      </c>
      <c r="AG353" s="3"/>
      <c r="AH353" s="8">
        <v>723</v>
      </c>
      <c r="AI353" s="4">
        <f t="shared" si="51"/>
        <v>7077.0499999999993</v>
      </c>
      <c r="AJ353" s="4">
        <f t="shared" si="39"/>
        <v>-74785.78</v>
      </c>
      <c r="AK353" s="3" t="s">
        <v>93</v>
      </c>
      <c r="AL353" s="8">
        <f>(1000)</f>
        <v>1000</v>
      </c>
      <c r="AM353" s="47"/>
      <c r="AN353" s="47"/>
      <c r="AO353" s="8"/>
      <c r="AP353" s="8"/>
      <c r="AQ353" s="47"/>
      <c r="AR353" s="47"/>
      <c r="AS353" s="8"/>
      <c r="AT353" s="8"/>
      <c r="AU353" s="47"/>
      <c r="AV353" s="47"/>
      <c r="AW353" s="8"/>
      <c r="AX353" s="8"/>
      <c r="AY353" s="47"/>
      <c r="AZ353" s="47"/>
      <c r="BA353" s="8" t="s">
        <v>94</v>
      </c>
      <c r="BB353" s="8">
        <f>(8000)</f>
        <v>8000</v>
      </c>
      <c r="BC353" s="47"/>
      <c r="BD353" s="47"/>
      <c r="BE353" s="8"/>
      <c r="BF353" s="8"/>
      <c r="BG353" s="47"/>
      <c r="BH353" s="47"/>
      <c r="BI353" s="8"/>
      <c r="BJ353" s="3"/>
      <c r="BK353" s="47"/>
      <c r="BL353" s="47"/>
      <c r="BM353" s="24">
        <f t="shared" si="40"/>
        <v>9000</v>
      </c>
      <c r="BN353" s="28">
        <f t="shared" si="36"/>
        <v>-83785.78</v>
      </c>
      <c r="BO353" s="2">
        <v>45386</v>
      </c>
    </row>
    <row r="354" spans="4:67" hidden="1" x14ac:dyDescent="0.25">
      <c r="D354" s="9" t="s">
        <v>26</v>
      </c>
      <c r="E354" s="2">
        <v>45387</v>
      </c>
      <c r="F354" s="38"/>
      <c r="G354" s="51"/>
      <c r="H354" s="4">
        <f t="shared" si="37"/>
        <v>3759.0499999999997</v>
      </c>
      <c r="I354" s="5">
        <v>958</v>
      </c>
      <c r="J354" s="4">
        <f t="shared" si="41"/>
        <v>2801.0499999999997</v>
      </c>
      <c r="K354" s="4">
        <f t="shared" si="42"/>
        <v>4596.59</v>
      </c>
      <c r="L354" s="3"/>
      <c r="M354" s="3"/>
      <c r="N354" s="25">
        <f t="shared" si="43"/>
        <v>958</v>
      </c>
      <c r="O354" s="28">
        <f t="shared" si="44"/>
        <v>4596.59</v>
      </c>
      <c r="P354" s="9" t="s">
        <v>26</v>
      </c>
      <c r="Q354" s="2">
        <v>45387</v>
      </c>
      <c r="R354" s="38"/>
      <c r="S354" s="52"/>
      <c r="T354" s="4">
        <f t="shared" si="38"/>
        <v>3814.65</v>
      </c>
      <c r="U354" s="5">
        <v>0</v>
      </c>
      <c r="V354" s="4">
        <f t="shared" si="50"/>
        <v>3814.65</v>
      </c>
      <c r="W354" s="4">
        <f t="shared" si="46"/>
        <v>1053.8999999999928</v>
      </c>
      <c r="X354" s="3"/>
      <c r="Y354" s="3"/>
      <c r="Z354" s="25">
        <f t="shared" si="47"/>
        <v>0</v>
      </c>
      <c r="AA354" s="72">
        <f t="shared" si="48"/>
        <v>1053.8999999999928</v>
      </c>
      <c r="AB354" s="9" t="s">
        <v>26</v>
      </c>
      <c r="AC354" s="19">
        <v>45387</v>
      </c>
      <c r="AD354" s="41"/>
      <c r="AE354" s="42"/>
      <c r="AF354" s="4">
        <f t="shared" si="35"/>
        <v>8421.4</v>
      </c>
      <c r="AG354" s="3"/>
      <c r="AH354" s="8">
        <v>899</v>
      </c>
      <c r="AI354" s="4">
        <f t="shared" si="51"/>
        <v>7522.4</v>
      </c>
      <c r="AJ354" s="4">
        <f t="shared" si="39"/>
        <v>-76263.38</v>
      </c>
      <c r="AK354" s="3" t="s">
        <v>99</v>
      </c>
      <c r="AL354" s="8">
        <f>(19558.08+1000)</f>
        <v>20558.080000000002</v>
      </c>
      <c r="AM354" s="47" t="s">
        <v>79</v>
      </c>
      <c r="AN354" s="47">
        <f>(10000)</f>
        <v>10000</v>
      </c>
      <c r="AO354" s="8"/>
      <c r="AP354" s="8"/>
      <c r="AQ354" s="47"/>
      <c r="AR354" s="47"/>
      <c r="AS354" s="8"/>
      <c r="AT354" s="8"/>
      <c r="AU354" s="47"/>
      <c r="AV354" s="47"/>
      <c r="AW354" s="8"/>
      <c r="AX354" s="8"/>
      <c r="AY354" s="47"/>
      <c r="AZ354" s="47"/>
      <c r="BA354" s="8" t="s">
        <v>95</v>
      </c>
      <c r="BB354" s="8">
        <f>(1200+3000)</f>
        <v>4200</v>
      </c>
      <c r="BC354" s="47"/>
      <c r="BD354" s="47"/>
      <c r="BE354" s="8"/>
      <c r="BF354" s="8"/>
      <c r="BG354" s="47"/>
      <c r="BH354" s="47"/>
      <c r="BI354" s="8"/>
      <c r="BJ354" s="3"/>
      <c r="BK354" s="48"/>
      <c r="BL354" s="47"/>
      <c r="BM354" s="24">
        <f t="shared" si="40"/>
        <v>34758.080000000002</v>
      </c>
      <c r="BN354" s="28">
        <f t="shared" si="36"/>
        <v>-111021.46</v>
      </c>
      <c r="BO354" s="2">
        <v>45387</v>
      </c>
    </row>
    <row r="355" spans="4:67" hidden="1" x14ac:dyDescent="0.25">
      <c r="D355" s="9" t="s">
        <v>27</v>
      </c>
      <c r="E355" s="2">
        <v>45388</v>
      </c>
      <c r="F355" s="38"/>
      <c r="G355" s="51"/>
      <c r="H355" s="4">
        <f t="shared" si="37"/>
        <v>5653.3</v>
      </c>
      <c r="I355" s="5">
        <v>998</v>
      </c>
      <c r="J355" s="4">
        <f t="shared" si="41"/>
        <v>4655.3</v>
      </c>
      <c r="K355" s="4">
        <f t="shared" si="42"/>
        <v>9251.89</v>
      </c>
      <c r="L355" s="3"/>
      <c r="M355" s="3"/>
      <c r="N355" s="25">
        <f t="shared" si="43"/>
        <v>998</v>
      </c>
      <c r="O355" s="28">
        <f t="shared" si="44"/>
        <v>9251.89</v>
      </c>
      <c r="P355" s="9" t="s">
        <v>27</v>
      </c>
      <c r="Q355" s="2">
        <v>45388</v>
      </c>
      <c r="R355" s="38"/>
      <c r="S355" s="52"/>
      <c r="T355" s="4">
        <f t="shared" si="38"/>
        <v>3944.25</v>
      </c>
      <c r="U355" s="5">
        <v>1240</v>
      </c>
      <c r="V355" s="4">
        <f t="shared" si="50"/>
        <v>2704.25</v>
      </c>
      <c r="W355" s="4">
        <f t="shared" si="46"/>
        <v>3758.1499999999928</v>
      </c>
      <c r="X355" s="3" t="s">
        <v>65</v>
      </c>
      <c r="Y355" s="3">
        <v>267.2</v>
      </c>
      <c r="Z355" s="25">
        <f t="shared" si="47"/>
        <v>1507.2</v>
      </c>
      <c r="AA355" s="72">
        <f t="shared" si="48"/>
        <v>3490.949999999993</v>
      </c>
      <c r="AB355" s="9" t="s">
        <v>27</v>
      </c>
      <c r="AC355" s="19">
        <v>45388</v>
      </c>
      <c r="AD355" s="41"/>
      <c r="AE355" s="42"/>
      <c r="AF355" s="4">
        <f t="shared" si="35"/>
        <v>10474.049999999999</v>
      </c>
      <c r="AG355" s="3"/>
      <c r="AH355" s="8">
        <v>1082</v>
      </c>
      <c r="AI355" s="4">
        <f t="shared" si="51"/>
        <v>9392.0499999999993</v>
      </c>
      <c r="AJ355" s="4">
        <f t="shared" si="39"/>
        <v>-101629.41</v>
      </c>
      <c r="AK355" s="3" t="s">
        <v>98</v>
      </c>
      <c r="AL355" s="8">
        <f>(9871.66+1000)</f>
        <v>10871.66</v>
      </c>
      <c r="AM355" s="47"/>
      <c r="AN355" s="47"/>
      <c r="AO355" s="8"/>
      <c r="AP355" s="8"/>
      <c r="AQ355" s="47"/>
      <c r="AR355" s="47"/>
      <c r="AS355" s="8"/>
      <c r="AT355" s="8"/>
      <c r="AU355" s="47"/>
      <c r="AV355" s="47"/>
      <c r="AW355" s="8"/>
      <c r="AX355" s="8"/>
      <c r="AY355" s="47"/>
      <c r="AZ355" s="47"/>
      <c r="BA355" s="8"/>
      <c r="BB355" s="8"/>
      <c r="BC355" s="47"/>
      <c r="BD355" s="47"/>
      <c r="BE355" s="8"/>
      <c r="BF355" s="8"/>
      <c r="BG355" s="47"/>
      <c r="BH355" s="47"/>
      <c r="BI355" s="8"/>
      <c r="BJ355" s="3"/>
      <c r="BK355" s="47"/>
      <c r="BL355" s="47"/>
      <c r="BM355" s="24">
        <f t="shared" si="40"/>
        <v>10871.66</v>
      </c>
      <c r="BN355" s="28">
        <f t="shared" si="36"/>
        <v>-112501.07</v>
      </c>
      <c r="BO355" s="2">
        <v>45388</v>
      </c>
    </row>
    <row r="356" spans="4:67" hidden="1" x14ac:dyDescent="0.25">
      <c r="D356" s="9" t="s">
        <v>28</v>
      </c>
      <c r="E356" s="2">
        <v>45389</v>
      </c>
      <c r="F356" s="38"/>
      <c r="G356" s="51"/>
      <c r="H356" s="4">
        <f t="shared" si="37"/>
        <v>4986.7250000000004</v>
      </c>
      <c r="I356" s="5">
        <v>0</v>
      </c>
      <c r="J356" s="4">
        <f t="shared" si="41"/>
        <v>4986.7250000000004</v>
      </c>
      <c r="K356" s="4">
        <f t="shared" si="42"/>
        <v>14238.615</v>
      </c>
      <c r="L356" s="3"/>
      <c r="M356" s="3"/>
      <c r="N356" s="25">
        <f t="shared" si="43"/>
        <v>0</v>
      </c>
      <c r="O356" s="28">
        <f t="shared" si="44"/>
        <v>14238.615</v>
      </c>
      <c r="P356" s="9" t="s">
        <v>28</v>
      </c>
      <c r="Q356" s="2">
        <v>45389</v>
      </c>
      <c r="R356" s="38"/>
      <c r="S356" s="52"/>
      <c r="T356" s="4">
        <f t="shared" si="38"/>
        <v>2704.5</v>
      </c>
      <c r="U356" s="5">
        <v>0</v>
      </c>
      <c r="V356" s="4">
        <f t="shared" si="50"/>
        <v>2704.5</v>
      </c>
      <c r="W356" s="4">
        <f t="shared" si="46"/>
        <v>6195.4499999999935</v>
      </c>
      <c r="X356" s="3"/>
      <c r="Y356" s="3"/>
      <c r="Z356" s="25">
        <f t="shared" si="47"/>
        <v>0</v>
      </c>
      <c r="AA356" s="72">
        <f t="shared" si="48"/>
        <v>6195.4499999999935</v>
      </c>
      <c r="AB356" s="9" t="s">
        <v>28</v>
      </c>
      <c r="AC356" s="19">
        <v>45389</v>
      </c>
      <c r="AD356" s="41"/>
      <c r="AE356" s="42"/>
      <c r="AF356" s="4">
        <f t="shared" si="35"/>
        <v>8292.2250000000004</v>
      </c>
      <c r="AG356" s="3"/>
      <c r="AH356" s="8">
        <v>590</v>
      </c>
      <c r="AI356" s="4">
        <f t="shared" si="51"/>
        <v>7702.2250000000004</v>
      </c>
      <c r="AJ356" s="4">
        <f t="shared" si="39"/>
        <v>-104798.845</v>
      </c>
      <c r="AK356" s="3" t="s">
        <v>97</v>
      </c>
      <c r="AL356" s="8">
        <f>(500+5000+1000)</f>
        <v>6500</v>
      </c>
      <c r="AM356" s="47"/>
      <c r="AN356" s="47"/>
      <c r="AO356" s="8"/>
      <c r="AP356" s="8"/>
      <c r="AQ356" s="47"/>
      <c r="AR356" s="47"/>
      <c r="AS356" s="8"/>
      <c r="AT356" s="8"/>
      <c r="AU356" s="47"/>
      <c r="AV356" s="47"/>
      <c r="AW356" s="8"/>
      <c r="AX356" s="8"/>
      <c r="AY356" s="47"/>
      <c r="AZ356" s="47"/>
      <c r="BA356" s="8" t="s">
        <v>96</v>
      </c>
      <c r="BB356" s="8">
        <f>(300+320+700)</f>
        <v>1320</v>
      </c>
      <c r="BC356" s="47"/>
      <c r="BD356" s="47"/>
      <c r="BE356" s="8"/>
      <c r="BF356" s="8"/>
      <c r="BG356" s="47"/>
      <c r="BH356" s="47"/>
      <c r="BI356" s="3"/>
      <c r="BJ356" s="3"/>
      <c r="BK356" s="47"/>
      <c r="BL356" s="47"/>
      <c r="BM356" s="24">
        <f t="shared" si="40"/>
        <v>7820</v>
      </c>
      <c r="BN356" s="28">
        <f t="shared" si="36"/>
        <v>-112618.845</v>
      </c>
      <c r="BO356" s="2">
        <v>45389</v>
      </c>
    </row>
    <row r="357" spans="4:67" hidden="1" x14ac:dyDescent="0.25">
      <c r="D357" s="9" t="s">
        <v>29</v>
      </c>
      <c r="E357" s="2">
        <v>45390</v>
      </c>
      <c r="F357" s="38"/>
      <c r="G357" s="51"/>
      <c r="H357" s="4">
        <f t="shared" si="37"/>
        <v>4428.7250000000004</v>
      </c>
      <c r="I357" s="5">
        <v>2050.5</v>
      </c>
      <c r="J357" s="4">
        <f t="shared" si="41"/>
        <v>2378.2250000000004</v>
      </c>
      <c r="K357" s="4">
        <f t="shared" si="42"/>
        <v>16616.84</v>
      </c>
      <c r="L357" s="3"/>
      <c r="M357" s="3"/>
      <c r="N357" s="25">
        <f t="shared" si="43"/>
        <v>2050.5</v>
      </c>
      <c r="O357" s="28">
        <f t="shared" si="44"/>
        <v>16616.84</v>
      </c>
      <c r="P357" s="9" t="s">
        <v>29</v>
      </c>
      <c r="Q357" s="2">
        <v>45390</v>
      </c>
      <c r="R357" s="38"/>
      <c r="S357" s="52"/>
      <c r="T357" s="4">
        <f t="shared" si="38"/>
        <v>5207.8500000000004</v>
      </c>
      <c r="U357" s="5">
        <v>0</v>
      </c>
      <c r="V357" s="4">
        <f t="shared" si="50"/>
        <v>5207.8500000000004</v>
      </c>
      <c r="W357" s="4">
        <f t="shared" si="46"/>
        <v>11403.299999999994</v>
      </c>
      <c r="X357" s="3"/>
      <c r="Y357" s="3"/>
      <c r="Z357" s="25">
        <f t="shared" si="47"/>
        <v>0</v>
      </c>
      <c r="AA357" s="72">
        <f t="shared" si="48"/>
        <v>11403.299999999994</v>
      </c>
      <c r="AB357" s="9" t="s">
        <v>29</v>
      </c>
      <c r="AC357" s="19">
        <v>45390</v>
      </c>
      <c r="AD357" s="41"/>
      <c r="AE357" s="42"/>
      <c r="AF357" s="4">
        <f t="shared" si="35"/>
        <v>10793.875</v>
      </c>
      <c r="AG357" s="3"/>
      <c r="AH357" s="8">
        <v>590</v>
      </c>
      <c r="AI357" s="4">
        <f t="shared" si="51"/>
        <v>10203.875</v>
      </c>
      <c r="AJ357" s="4">
        <f t="shared" si="39"/>
        <v>-102414.97</v>
      </c>
      <c r="AK357" s="3" t="s">
        <v>88</v>
      </c>
      <c r="AL357" s="8">
        <f>(5276.84+1000)</f>
        <v>6276.84</v>
      </c>
      <c r="AM357" s="47"/>
      <c r="AN357" s="47"/>
      <c r="AO357" s="8"/>
      <c r="AP357" s="8"/>
      <c r="AQ357" s="47"/>
      <c r="AR357" s="47"/>
      <c r="AS357" s="8"/>
      <c r="AT357" s="8"/>
      <c r="AU357" s="47"/>
      <c r="AV357" s="47"/>
      <c r="AW357" s="8"/>
      <c r="AX357" s="8"/>
      <c r="AY357" s="47"/>
      <c r="AZ357" s="47"/>
      <c r="BA357" s="8"/>
      <c r="BB357" s="8"/>
      <c r="BC357" s="47"/>
      <c r="BD357" s="47"/>
      <c r="BE357" s="8"/>
      <c r="BF357" s="8"/>
      <c r="BG357" s="47"/>
      <c r="BH357" s="47"/>
      <c r="BI357" s="8"/>
      <c r="BJ357" s="3"/>
      <c r="BK357" s="47"/>
      <c r="BL357" s="47"/>
      <c r="BM357" s="24">
        <f t="shared" si="40"/>
        <v>6276.84</v>
      </c>
      <c r="BN357" s="28">
        <f t="shared" si="36"/>
        <v>-108691.81</v>
      </c>
      <c r="BO357" s="2">
        <v>45390</v>
      </c>
    </row>
    <row r="358" spans="4:67" hidden="1" x14ac:dyDescent="0.25">
      <c r="D358" s="9" t="s">
        <v>30</v>
      </c>
      <c r="E358" s="2">
        <v>45391</v>
      </c>
      <c r="F358" s="38"/>
      <c r="G358" s="51"/>
      <c r="H358" s="4">
        <f t="shared" si="37"/>
        <v>3804.2249999999999</v>
      </c>
      <c r="I358" s="5">
        <v>2113.5</v>
      </c>
      <c r="J358" s="4">
        <f t="shared" si="41"/>
        <v>1690.7249999999999</v>
      </c>
      <c r="K358" s="4">
        <f t="shared" si="42"/>
        <v>18307.564999999999</v>
      </c>
      <c r="L358" s="3" t="s">
        <v>21</v>
      </c>
      <c r="M358" s="3">
        <v>8290</v>
      </c>
      <c r="N358" s="25">
        <f t="shared" si="43"/>
        <v>10403.5</v>
      </c>
      <c r="O358" s="28">
        <f t="shared" si="44"/>
        <v>10017.564999999999</v>
      </c>
      <c r="P358" s="9" t="s">
        <v>30</v>
      </c>
      <c r="Q358" s="2">
        <v>45391</v>
      </c>
      <c r="R358" s="38"/>
      <c r="S358" s="52"/>
      <c r="T358" s="4">
        <f t="shared" si="38"/>
        <v>2698.2000000000003</v>
      </c>
      <c r="U358" s="5">
        <v>0</v>
      </c>
      <c r="V358" s="4">
        <f t="shared" si="50"/>
        <v>2698.2000000000003</v>
      </c>
      <c r="W358" s="4">
        <f t="shared" si="46"/>
        <v>14101.499999999995</v>
      </c>
      <c r="X358" s="3"/>
      <c r="Y358" s="3"/>
      <c r="Z358" s="25">
        <f t="shared" si="47"/>
        <v>0</v>
      </c>
      <c r="AA358" s="72">
        <f t="shared" si="48"/>
        <v>14101.499999999995</v>
      </c>
      <c r="AB358" s="9" t="s">
        <v>30</v>
      </c>
      <c r="AC358" s="19">
        <v>45391</v>
      </c>
      <c r="AD358" s="41"/>
      <c r="AE358" s="42"/>
      <c r="AF358" s="4">
        <f t="shared" si="35"/>
        <v>7102.0249999999996</v>
      </c>
      <c r="AG358" s="3"/>
      <c r="AH358" s="8">
        <v>886.1</v>
      </c>
      <c r="AI358" s="4">
        <f t="shared" si="51"/>
        <v>6215.9249999999993</v>
      </c>
      <c r="AJ358" s="4">
        <f t="shared" si="39"/>
        <v>-102475.88499999999</v>
      </c>
      <c r="AK358" s="3" t="s">
        <v>102</v>
      </c>
      <c r="AL358" s="8">
        <f>(30608+1000)</f>
        <v>31608</v>
      </c>
      <c r="AM358" s="47"/>
      <c r="AN358" s="47"/>
      <c r="AO358" s="8"/>
      <c r="AP358" s="8"/>
      <c r="AQ358" s="47"/>
      <c r="AR358" s="47"/>
      <c r="AS358" s="8"/>
      <c r="AT358" s="8"/>
      <c r="AU358" s="47"/>
      <c r="AV358" s="47"/>
      <c r="AW358" s="8"/>
      <c r="AX358" s="8"/>
      <c r="AY358" s="47"/>
      <c r="AZ358" s="47"/>
      <c r="BA358" s="8" t="s">
        <v>101</v>
      </c>
      <c r="BB358" s="8">
        <f>(2000+175)</f>
        <v>2175</v>
      </c>
      <c r="BC358" s="47"/>
      <c r="BD358" s="47"/>
      <c r="BE358" s="8"/>
      <c r="BF358" s="8"/>
      <c r="BG358" s="47"/>
      <c r="BH358" s="47"/>
      <c r="BI358" s="3"/>
      <c r="BJ358" s="3"/>
      <c r="BK358" s="47"/>
      <c r="BL358" s="47"/>
      <c r="BM358" s="24">
        <f t="shared" si="40"/>
        <v>33783</v>
      </c>
      <c r="BN358" s="28">
        <f t="shared" si="36"/>
        <v>-136258.88500000001</v>
      </c>
      <c r="BO358" s="2">
        <v>45391</v>
      </c>
    </row>
    <row r="359" spans="4:67" hidden="1" x14ac:dyDescent="0.25">
      <c r="D359" s="9" t="s">
        <v>31</v>
      </c>
      <c r="E359" s="2">
        <v>45392</v>
      </c>
      <c r="F359" s="38"/>
      <c r="G359" s="51"/>
      <c r="H359" s="4">
        <f t="shared" si="37"/>
        <v>2776.2250000000004</v>
      </c>
      <c r="I359" s="5">
        <v>2009</v>
      </c>
      <c r="J359" s="4">
        <f t="shared" si="41"/>
        <v>767.22500000000036</v>
      </c>
      <c r="K359" s="4">
        <f t="shared" si="42"/>
        <v>10784.789999999999</v>
      </c>
      <c r="L359" s="3"/>
      <c r="M359" s="3"/>
      <c r="N359" s="25">
        <f t="shared" si="43"/>
        <v>2009</v>
      </c>
      <c r="O359" s="28">
        <f t="shared" si="44"/>
        <v>10784.789999999999</v>
      </c>
      <c r="P359" s="9" t="s">
        <v>31</v>
      </c>
      <c r="Q359" s="2">
        <v>45392</v>
      </c>
      <c r="R359" s="38"/>
      <c r="S359" s="52"/>
      <c r="T359" s="4">
        <f t="shared" si="38"/>
        <v>2380.9500000000003</v>
      </c>
      <c r="U359" s="5">
        <v>0</v>
      </c>
      <c r="V359" s="4">
        <f t="shared" si="50"/>
        <v>2380.9500000000003</v>
      </c>
      <c r="W359" s="4">
        <f t="shared" si="46"/>
        <v>16482.449999999993</v>
      </c>
      <c r="X359" s="3"/>
      <c r="Y359" s="3"/>
      <c r="Z359" s="25">
        <f t="shared" si="47"/>
        <v>0</v>
      </c>
      <c r="AA359" s="72">
        <f t="shared" si="48"/>
        <v>16482.449999999993</v>
      </c>
      <c r="AB359" s="9" t="s">
        <v>31</v>
      </c>
      <c r="AC359" s="19">
        <v>45392</v>
      </c>
      <c r="AD359" s="41"/>
      <c r="AE359" s="42"/>
      <c r="AF359" s="4">
        <f t="shared" si="35"/>
        <v>5686.2749999999996</v>
      </c>
      <c r="AG359" s="3"/>
      <c r="AH359" s="8">
        <v>443.8</v>
      </c>
      <c r="AI359" s="4">
        <f t="shared" si="51"/>
        <v>5242.4749999999995</v>
      </c>
      <c r="AJ359" s="4">
        <f t="shared" si="39"/>
        <v>-131016.41</v>
      </c>
      <c r="AK359" s="3" t="s">
        <v>89</v>
      </c>
      <c r="AL359" s="8">
        <f>(1000)</f>
        <v>1000</v>
      </c>
      <c r="AM359" s="47"/>
      <c r="AN359" s="47"/>
      <c r="AO359" s="8"/>
      <c r="AP359" s="8"/>
      <c r="AQ359" s="47"/>
      <c r="AR359" s="47"/>
      <c r="AS359" s="8"/>
      <c r="AT359" s="8"/>
      <c r="AU359" s="47"/>
      <c r="AV359" s="47"/>
      <c r="AW359" s="8"/>
      <c r="AX359" s="8"/>
      <c r="AY359" s="47"/>
      <c r="AZ359" s="47"/>
      <c r="BA359" s="8"/>
      <c r="BB359" s="8"/>
      <c r="BC359" s="47"/>
      <c r="BD359" s="47"/>
      <c r="BE359" s="8"/>
      <c r="BF359" s="8"/>
      <c r="BG359" s="47"/>
      <c r="BH359" s="47"/>
      <c r="BI359" s="3"/>
      <c r="BJ359" s="3"/>
      <c r="BK359" s="48" t="s">
        <v>16</v>
      </c>
      <c r="BL359" s="47"/>
      <c r="BM359" s="24">
        <f t="shared" si="40"/>
        <v>1000</v>
      </c>
      <c r="BN359" s="28">
        <f t="shared" si="36"/>
        <v>-132016.41</v>
      </c>
      <c r="BO359" s="2">
        <v>45392</v>
      </c>
    </row>
    <row r="360" spans="4:67" hidden="1" x14ac:dyDescent="0.25">
      <c r="D360" s="9" t="s">
        <v>32</v>
      </c>
      <c r="E360" s="2">
        <v>45393</v>
      </c>
      <c r="F360" s="38"/>
      <c r="G360" s="51"/>
      <c r="H360" s="4">
        <f t="shared" si="37"/>
        <v>2974.1</v>
      </c>
      <c r="I360" s="5">
        <v>1474</v>
      </c>
      <c r="J360" s="4">
        <f t="shared" si="41"/>
        <v>1500.1</v>
      </c>
      <c r="K360" s="4">
        <f t="shared" si="42"/>
        <v>12284.89</v>
      </c>
      <c r="L360" s="3"/>
      <c r="M360" s="3"/>
      <c r="N360" s="25">
        <f t="shared" si="43"/>
        <v>1474</v>
      </c>
      <c r="O360" s="28">
        <f t="shared" si="44"/>
        <v>12284.89</v>
      </c>
      <c r="P360" s="9" t="s">
        <v>32</v>
      </c>
      <c r="Q360" s="2">
        <v>45393</v>
      </c>
      <c r="R360" s="38"/>
      <c r="S360" s="52"/>
      <c r="T360" s="4">
        <f t="shared" si="38"/>
        <v>2674.8</v>
      </c>
      <c r="U360" s="5">
        <v>0</v>
      </c>
      <c r="V360" s="4">
        <f t="shared" si="50"/>
        <v>2674.8</v>
      </c>
      <c r="W360" s="4">
        <f t="shared" si="46"/>
        <v>19157.249999999993</v>
      </c>
      <c r="X360" s="3" t="s">
        <v>12</v>
      </c>
      <c r="Y360" s="3">
        <v>30321</v>
      </c>
      <c r="Z360" s="25">
        <f t="shared" si="47"/>
        <v>30321</v>
      </c>
      <c r="AA360" s="72">
        <f t="shared" si="48"/>
        <v>-11163.750000000007</v>
      </c>
      <c r="AB360" s="9" t="s">
        <v>32</v>
      </c>
      <c r="AC360" s="19">
        <v>45393</v>
      </c>
      <c r="AD360" s="41"/>
      <c r="AE360" s="42"/>
      <c r="AF360" s="4">
        <f t="shared" si="35"/>
        <v>6243.3</v>
      </c>
      <c r="AG360" s="3"/>
      <c r="AH360" s="8">
        <v>340.1</v>
      </c>
      <c r="AI360" s="4">
        <f t="shared" si="51"/>
        <v>5903.2</v>
      </c>
      <c r="AJ360" s="4">
        <f t="shared" si="39"/>
        <v>-126113.21</v>
      </c>
      <c r="AK360" s="3" t="s">
        <v>89</v>
      </c>
      <c r="AL360" s="8">
        <f>(1000)</f>
        <v>1000</v>
      </c>
      <c r="AM360" s="47" t="s">
        <v>103</v>
      </c>
      <c r="AN360" s="47">
        <f>(2000)</f>
        <v>2000</v>
      </c>
      <c r="AO360" s="8"/>
      <c r="AP360" s="8"/>
      <c r="AQ360" s="47"/>
      <c r="AR360" s="47"/>
      <c r="AS360" s="8"/>
      <c r="AT360" s="8"/>
      <c r="AU360" s="47"/>
      <c r="AV360" s="47"/>
      <c r="AW360" s="8"/>
      <c r="AX360" s="8"/>
      <c r="AY360" s="47"/>
      <c r="AZ360" s="47"/>
      <c r="BA360" s="8" t="s">
        <v>104</v>
      </c>
      <c r="BB360" s="8">
        <f>(129)</f>
        <v>129</v>
      </c>
      <c r="BC360" s="47"/>
      <c r="BD360" s="47"/>
      <c r="BE360" s="8"/>
      <c r="BF360" s="8"/>
      <c r="BG360" s="47"/>
      <c r="BH360" s="47"/>
      <c r="BI360" s="8"/>
      <c r="BJ360" s="3"/>
      <c r="BK360" s="47"/>
      <c r="BL360" s="47"/>
      <c r="BM360" s="24">
        <f t="shared" si="40"/>
        <v>3129</v>
      </c>
      <c r="BN360" s="28">
        <f t="shared" si="36"/>
        <v>-129242.21</v>
      </c>
      <c r="BO360" s="2">
        <v>45393</v>
      </c>
    </row>
    <row r="361" spans="4:67" hidden="1" x14ac:dyDescent="0.25">
      <c r="D361" s="9" t="s">
        <v>26</v>
      </c>
      <c r="E361" s="2">
        <v>45394</v>
      </c>
      <c r="F361" s="38"/>
      <c r="G361" s="51"/>
      <c r="H361" s="4">
        <f t="shared" si="37"/>
        <v>3284.1</v>
      </c>
      <c r="I361" s="5">
        <v>3048</v>
      </c>
      <c r="J361" s="4">
        <f t="shared" si="41"/>
        <v>236.09999999999991</v>
      </c>
      <c r="K361" s="4">
        <f t="shared" si="42"/>
        <v>12520.99</v>
      </c>
      <c r="L361" s="3"/>
      <c r="M361" s="3"/>
      <c r="N361" s="25">
        <f t="shared" si="43"/>
        <v>3048</v>
      </c>
      <c r="O361" s="28">
        <f t="shared" si="44"/>
        <v>12520.99</v>
      </c>
      <c r="P361" s="9" t="s">
        <v>26</v>
      </c>
      <c r="Q361" s="2">
        <v>45394</v>
      </c>
      <c r="R361" s="38"/>
      <c r="S361" s="52"/>
      <c r="T361" s="4">
        <f t="shared" si="38"/>
        <v>3766.05</v>
      </c>
      <c r="U361" s="5">
        <v>1384</v>
      </c>
      <c r="V361" s="4">
        <f t="shared" si="50"/>
        <v>2382.0500000000002</v>
      </c>
      <c r="W361" s="4">
        <f t="shared" si="46"/>
        <v>-8781.700000000008</v>
      </c>
      <c r="X361" s="3" t="s">
        <v>23</v>
      </c>
      <c r="Y361" s="3">
        <v>11867</v>
      </c>
      <c r="Z361" s="25">
        <f t="shared" si="47"/>
        <v>13251</v>
      </c>
      <c r="AA361" s="72">
        <f t="shared" si="48"/>
        <v>-20648.700000000008</v>
      </c>
      <c r="AB361" s="9" t="s">
        <v>26</v>
      </c>
      <c r="AC361" s="19">
        <v>45394</v>
      </c>
      <c r="AD361" s="41"/>
      <c r="AE361" s="42"/>
      <c r="AF361" s="4">
        <f t="shared" si="35"/>
        <v>7887.05</v>
      </c>
      <c r="AG361" s="3"/>
      <c r="AH361" s="8">
        <v>831.2</v>
      </c>
      <c r="AI361" s="4">
        <f t="shared" si="51"/>
        <v>7055.85</v>
      </c>
      <c r="AJ361" s="4">
        <f t="shared" si="39"/>
        <v>-122186.36</v>
      </c>
      <c r="AK361" s="3" t="s">
        <v>89</v>
      </c>
      <c r="AL361" s="8">
        <f>(1000)</f>
        <v>1000</v>
      </c>
      <c r="AM361" s="47"/>
      <c r="AN361" s="47"/>
      <c r="AO361" s="8"/>
      <c r="AP361" s="8"/>
      <c r="AQ361" s="47"/>
      <c r="AR361" s="47"/>
      <c r="AS361" s="8"/>
      <c r="AT361" s="8"/>
      <c r="AU361" s="47"/>
      <c r="AV361" s="47"/>
      <c r="AW361" s="8"/>
      <c r="AX361" s="8"/>
      <c r="AY361" s="47"/>
      <c r="AZ361" s="47"/>
      <c r="BA361" s="8"/>
      <c r="BB361" s="8"/>
      <c r="BC361" s="47"/>
      <c r="BD361" s="47"/>
      <c r="BE361" s="8"/>
      <c r="BF361" s="8"/>
      <c r="BG361" s="47"/>
      <c r="BH361" s="47"/>
      <c r="BI361" s="8"/>
      <c r="BJ361" s="3"/>
      <c r="BK361" s="48"/>
      <c r="BL361" s="47"/>
      <c r="BM361" s="24">
        <f t="shared" si="40"/>
        <v>1000</v>
      </c>
      <c r="BN361" s="28">
        <f t="shared" si="36"/>
        <v>-123186.36</v>
      </c>
      <c r="BO361" s="2">
        <v>45394</v>
      </c>
    </row>
    <row r="362" spans="4:67" hidden="1" x14ac:dyDescent="0.25">
      <c r="D362" s="9" t="s">
        <v>27</v>
      </c>
      <c r="E362" s="2">
        <v>45395</v>
      </c>
      <c r="F362" s="38"/>
      <c r="G362" s="51"/>
      <c r="H362" s="4">
        <f t="shared" si="37"/>
        <v>4245.05</v>
      </c>
      <c r="I362" s="5">
        <v>2072</v>
      </c>
      <c r="J362" s="4">
        <f t="shared" si="41"/>
        <v>2173.0500000000002</v>
      </c>
      <c r="K362" s="4">
        <f t="shared" si="42"/>
        <v>14694.04</v>
      </c>
      <c r="L362" s="3"/>
      <c r="M362" s="3"/>
      <c r="N362" s="25">
        <f t="shared" si="43"/>
        <v>2072</v>
      </c>
      <c r="O362" s="28">
        <f t="shared" si="44"/>
        <v>14694.04</v>
      </c>
      <c r="P362" s="9" t="s">
        <v>27</v>
      </c>
      <c r="Q362" s="2">
        <v>45395</v>
      </c>
      <c r="R362" s="38"/>
      <c r="S362" s="52"/>
      <c r="T362" s="4">
        <f t="shared" si="38"/>
        <v>5121</v>
      </c>
      <c r="U362" s="5">
        <v>1410</v>
      </c>
      <c r="V362" s="4">
        <f t="shared" si="50"/>
        <v>3711</v>
      </c>
      <c r="W362" s="4">
        <f t="shared" si="46"/>
        <v>-16937.700000000008</v>
      </c>
      <c r="X362" s="3"/>
      <c r="Y362" s="3"/>
      <c r="Z362" s="25">
        <f t="shared" si="47"/>
        <v>1410</v>
      </c>
      <c r="AA362" s="72">
        <f t="shared" si="48"/>
        <v>-16937.700000000008</v>
      </c>
      <c r="AB362" s="9" t="s">
        <v>27</v>
      </c>
      <c r="AC362" s="19">
        <v>45395</v>
      </c>
      <c r="AD362" s="41"/>
      <c r="AE362" s="42"/>
      <c r="AF362" s="4">
        <f t="shared" si="35"/>
        <v>10504.05</v>
      </c>
      <c r="AG362" s="3"/>
      <c r="AH362" s="8">
        <v>732</v>
      </c>
      <c r="AI362" s="4">
        <f t="shared" si="51"/>
        <v>9772.0499999999993</v>
      </c>
      <c r="AJ362" s="4">
        <f t="shared" si="39"/>
        <v>-113414.31</v>
      </c>
      <c r="AK362" s="3" t="s">
        <v>89</v>
      </c>
      <c r="AL362" s="8">
        <f>(1000)</f>
        <v>1000</v>
      </c>
      <c r="AM362" s="47"/>
      <c r="AN362" s="47"/>
      <c r="AO362" s="8"/>
      <c r="AP362" s="8"/>
      <c r="AQ362" s="47"/>
      <c r="AR362" s="47"/>
      <c r="AS362" s="8"/>
      <c r="AT362" s="8"/>
      <c r="AU362" s="47"/>
      <c r="AV362" s="47"/>
      <c r="AW362" s="8"/>
      <c r="AX362" s="8"/>
      <c r="AY362" s="47" t="s">
        <v>105</v>
      </c>
      <c r="AZ362" s="47">
        <f>(1000)</f>
        <v>1000</v>
      </c>
      <c r="BA362" s="8"/>
      <c r="BB362" s="8"/>
      <c r="BC362" s="47"/>
      <c r="BD362" s="47"/>
      <c r="BE362" s="8"/>
      <c r="BF362" s="8"/>
      <c r="BG362" s="47"/>
      <c r="BH362" s="47"/>
      <c r="BI362" s="8"/>
      <c r="BJ362" s="3"/>
      <c r="BK362" s="47"/>
      <c r="BL362" s="47"/>
      <c r="BM362" s="24">
        <f t="shared" si="40"/>
        <v>2000</v>
      </c>
      <c r="BN362" s="28">
        <f t="shared" si="36"/>
        <v>-115414.31</v>
      </c>
      <c r="BO362" s="2">
        <v>45395</v>
      </c>
    </row>
    <row r="363" spans="4:67" hidden="1" x14ac:dyDescent="0.25">
      <c r="D363" s="9" t="s">
        <v>28</v>
      </c>
      <c r="E363" s="2">
        <v>45396</v>
      </c>
      <c r="F363" s="38"/>
      <c r="G363" s="51"/>
      <c r="H363" s="4">
        <f t="shared" si="37"/>
        <v>3844.85</v>
      </c>
      <c r="I363" s="5">
        <v>1080</v>
      </c>
      <c r="J363" s="4">
        <f t="shared" si="41"/>
        <v>2764.85</v>
      </c>
      <c r="K363" s="4">
        <f t="shared" si="42"/>
        <v>17458.89</v>
      </c>
      <c r="L363" s="3"/>
      <c r="M363" s="3"/>
      <c r="N363" s="25">
        <f t="shared" si="43"/>
        <v>1080</v>
      </c>
      <c r="O363" s="28">
        <f t="shared" si="44"/>
        <v>17458.89</v>
      </c>
      <c r="P363" s="9" t="s">
        <v>28</v>
      </c>
      <c r="Q363" s="2">
        <v>45396</v>
      </c>
      <c r="R363" s="38"/>
      <c r="S363" s="52"/>
      <c r="T363" s="4">
        <f t="shared" si="38"/>
        <v>3966.75</v>
      </c>
      <c r="U363" s="5">
        <v>100</v>
      </c>
      <c r="V363" s="4">
        <f t="shared" si="50"/>
        <v>3866.75</v>
      </c>
      <c r="W363" s="4">
        <f t="shared" si="46"/>
        <v>-13070.950000000008</v>
      </c>
      <c r="X363" s="3"/>
      <c r="Y363" s="3"/>
      <c r="Z363" s="25">
        <f t="shared" si="47"/>
        <v>100</v>
      </c>
      <c r="AA363" s="72">
        <f t="shared" si="48"/>
        <v>-13070.950000000008</v>
      </c>
      <c r="AB363" s="9" t="s">
        <v>28</v>
      </c>
      <c r="AC363" s="19">
        <v>45396</v>
      </c>
      <c r="AD363" s="41"/>
      <c r="AE363" s="42"/>
      <c r="AF363" s="4">
        <f t="shared" si="35"/>
        <v>8693.1</v>
      </c>
      <c r="AG363" s="3"/>
      <c r="AH363" s="8">
        <v>509.4</v>
      </c>
      <c r="AI363" s="4">
        <f t="shared" si="51"/>
        <v>8183.7000000000007</v>
      </c>
      <c r="AJ363" s="4">
        <f t="shared" si="39"/>
        <v>-107230.61</v>
      </c>
      <c r="AK363" s="3" t="s">
        <v>89</v>
      </c>
      <c r="AL363" s="8">
        <f>(1000)</f>
        <v>1000</v>
      </c>
      <c r="AM363" s="47" t="s">
        <v>106</v>
      </c>
      <c r="AN363" s="47">
        <f>(2000)</f>
        <v>2000</v>
      </c>
      <c r="AO363" s="8"/>
      <c r="AP363" s="8"/>
      <c r="AQ363" s="47"/>
      <c r="AR363" s="47"/>
      <c r="AS363" s="8"/>
      <c r="AT363" s="8"/>
      <c r="AU363" s="47"/>
      <c r="AV363" s="47"/>
      <c r="AW363" s="8"/>
      <c r="AX363" s="8"/>
      <c r="AY363" s="47"/>
      <c r="AZ363" s="47"/>
      <c r="BA363" s="8" t="s">
        <v>107</v>
      </c>
      <c r="BB363" s="8">
        <f>(2000)</f>
        <v>2000</v>
      </c>
      <c r="BC363" s="47"/>
      <c r="BD363" s="47"/>
      <c r="BE363" s="8"/>
      <c r="BF363" s="8"/>
      <c r="BG363" s="47"/>
      <c r="BH363" s="47"/>
      <c r="BI363" s="8"/>
      <c r="BJ363" s="3"/>
      <c r="BK363" s="48" t="s">
        <v>38</v>
      </c>
      <c r="BL363" s="47"/>
      <c r="BM363" s="24">
        <f t="shared" si="40"/>
        <v>5000</v>
      </c>
      <c r="BN363" s="28">
        <f t="shared" si="36"/>
        <v>-112230.61</v>
      </c>
      <c r="BO363" s="2">
        <v>45396</v>
      </c>
    </row>
    <row r="364" spans="4:67" hidden="1" x14ac:dyDescent="0.25">
      <c r="D364" s="9" t="s">
        <v>29</v>
      </c>
      <c r="E364" s="2">
        <v>45397</v>
      </c>
      <c r="F364" s="38"/>
      <c r="G364" s="51"/>
      <c r="H364" s="4">
        <f t="shared" si="37"/>
        <v>3603.8500000000004</v>
      </c>
      <c r="I364" s="5">
        <v>1604.9</v>
      </c>
      <c r="J364" s="4">
        <f t="shared" si="41"/>
        <v>1998.9500000000003</v>
      </c>
      <c r="K364" s="4">
        <f t="shared" si="42"/>
        <v>19457.84</v>
      </c>
      <c r="L364" s="3"/>
      <c r="M364" s="3"/>
      <c r="N364" s="25">
        <f t="shared" si="43"/>
        <v>1604.9</v>
      </c>
      <c r="O364" s="28">
        <f t="shared" si="44"/>
        <v>19457.84</v>
      </c>
      <c r="P364" s="9" t="s">
        <v>29</v>
      </c>
      <c r="Q364" s="2">
        <v>45397</v>
      </c>
      <c r="R364" s="38"/>
      <c r="S364" s="52"/>
      <c r="T364" s="4">
        <f t="shared" si="38"/>
        <v>3424.5</v>
      </c>
      <c r="U364" s="5">
        <v>0</v>
      </c>
      <c r="V364" s="4">
        <f t="shared" si="50"/>
        <v>3424.5</v>
      </c>
      <c r="W364" s="4">
        <f t="shared" si="46"/>
        <v>-9646.450000000008</v>
      </c>
      <c r="X364" s="3"/>
      <c r="Y364" s="3"/>
      <c r="Z364" s="25">
        <f t="shared" si="47"/>
        <v>0</v>
      </c>
      <c r="AA364" s="72">
        <f t="shared" si="48"/>
        <v>-9646.450000000008</v>
      </c>
      <c r="AB364" s="9" t="s">
        <v>29</v>
      </c>
      <c r="AC364" s="19">
        <v>45397</v>
      </c>
      <c r="AD364" s="41"/>
      <c r="AE364" s="42"/>
      <c r="AF364" s="4">
        <f t="shared" si="35"/>
        <v>7789.35</v>
      </c>
      <c r="AG364" s="3"/>
      <c r="AH364" s="8">
        <v>668.5</v>
      </c>
      <c r="AI364" s="4">
        <f t="shared" si="51"/>
        <v>7120.85</v>
      </c>
      <c r="AJ364" s="4">
        <f t="shared" si="39"/>
        <v>-105109.75999999999</v>
      </c>
      <c r="AK364" s="3" t="s">
        <v>90</v>
      </c>
      <c r="AL364" s="8">
        <f>(4698.85+1000)</f>
        <v>5698.85</v>
      </c>
      <c r="AM364" s="47"/>
      <c r="AN364" s="47"/>
      <c r="AO364" s="8"/>
      <c r="AP364" s="8"/>
      <c r="AQ364" s="47"/>
      <c r="AR364" s="47"/>
      <c r="AS364" s="8"/>
      <c r="AT364" s="8"/>
      <c r="AU364" s="47"/>
      <c r="AV364" s="47"/>
      <c r="AW364" s="8"/>
      <c r="AX364" s="8"/>
      <c r="AY364" s="47"/>
      <c r="AZ364" s="47"/>
      <c r="BA364" s="8"/>
      <c r="BB364" s="8"/>
      <c r="BC364" s="47"/>
      <c r="BD364" s="47"/>
      <c r="BE364" s="8"/>
      <c r="BF364" s="8"/>
      <c r="BG364" s="47"/>
      <c r="BH364" s="47"/>
      <c r="BI364" s="3"/>
      <c r="BJ364" s="3"/>
      <c r="BK364" s="47"/>
      <c r="BL364" s="47"/>
      <c r="BM364" s="24">
        <f t="shared" si="40"/>
        <v>5698.85</v>
      </c>
      <c r="BN364" s="28">
        <f t="shared" si="36"/>
        <v>-110808.61</v>
      </c>
      <c r="BO364" s="2">
        <v>45397</v>
      </c>
    </row>
    <row r="365" spans="4:67" hidden="1" x14ac:dyDescent="0.25">
      <c r="D365" s="9" t="s">
        <v>30</v>
      </c>
      <c r="E365" s="2">
        <v>45398</v>
      </c>
      <c r="F365" s="38"/>
      <c r="G365" s="51"/>
      <c r="H365" s="4">
        <f t="shared" si="37"/>
        <v>2447.4</v>
      </c>
      <c r="I365" s="5">
        <v>2044.5</v>
      </c>
      <c r="J365" s="4">
        <f t="shared" si="41"/>
        <v>402.90000000000009</v>
      </c>
      <c r="K365" s="4">
        <f t="shared" si="42"/>
        <v>19860.740000000002</v>
      </c>
      <c r="L365" s="3" t="s">
        <v>24</v>
      </c>
      <c r="M365" s="3">
        <v>5591</v>
      </c>
      <c r="N365" s="25">
        <f t="shared" si="43"/>
        <v>7635.5</v>
      </c>
      <c r="O365" s="28">
        <f t="shared" si="44"/>
        <v>14269.740000000002</v>
      </c>
      <c r="P365" s="9" t="s">
        <v>30</v>
      </c>
      <c r="Q365" s="2">
        <v>45398</v>
      </c>
      <c r="R365" s="38"/>
      <c r="S365" s="52"/>
      <c r="T365" s="4">
        <f t="shared" si="38"/>
        <v>2124</v>
      </c>
      <c r="U365" s="5">
        <v>585</v>
      </c>
      <c r="V365" s="4">
        <f t="shared" si="50"/>
        <v>1539</v>
      </c>
      <c r="W365" s="4">
        <f t="shared" si="46"/>
        <v>-8107.450000000008</v>
      </c>
      <c r="X365" s="3"/>
      <c r="Y365" s="3"/>
      <c r="Z365" s="25">
        <f t="shared" si="47"/>
        <v>585</v>
      </c>
      <c r="AA365" s="72">
        <f t="shared" si="48"/>
        <v>-8107.450000000008</v>
      </c>
      <c r="AB365" s="9" t="s">
        <v>30</v>
      </c>
      <c r="AC365" s="19">
        <v>45398</v>
      </c>
      <c r="AD365" s="41"/>
      <c r="AE365" s="42"/>
      <c r="AF365" s="4">
        <f t="shared" si="35"/>
        <v>5043.3999999999996</v>
      </c>
      <c r="AG365" s="3"/>
      <c r="AH365" s="8">
        <v>472</v>
      </c>
      <c r="AI365" s="4">
        <f t="shared" si="51"/>
        <v>4571.3999999999996</v>
      </c>
      <c r="AJ365" s="4">
        <f t="shared" si="39"/>
        <v>-106237.21</v>
      </c>
      <c r="AK365" s="3" t="s">
        <v>90</v>
      </c>
      <c r="AL365" s="8">
        <f>(5094+1000)</f>
        <v>6094</v>
      </c>
      <c r="AM365" s="47"/>
      <c r="AN365" s="47"/>
      <c r="AO365" s="8"/>
      <c r="AP365" s="8"/>
      <c r="AQ365" s="47"/>
      <c r="AR365" s="47"/>
      <c r="AS365" s="8"/>
      <c r="AT365" s="8"/>
      <c r="AU365" s="47"/>
      <c r="AV365" s="47"/>
      <c r="AW365" s="8"/>
      <c r="AX365" s="8"/>
      <c r="AY365" s="47"/>
      <c r="AZ365" s="47"/>
      <c r="BA365" s="8" t="s">
        <v>108</v>
      </c>
      <c r="BB365" s="8">
        <f>(231.1)</f>
        <v>231.1</v>
      </c>
      <c r="BC365" s="47"/>
      <c r="BD365" s="47"/>
      <c r="BE365" s="8"/>
      <c r="BF365" s="8"/>
      <c r="BG365" s="47"/>
      <c r="BH365" s="47"/>
      <c r="BI365" s="8"/>
      <c r="BJ365" s="3"/>
      <c r="BK365" s="47" t="s">
        <v>74</v>
      </c>
      <c r="BL365" s="47">
        <v>1425</v>
      </c>
      <c r="BM365" s="24">
        <f t="shared" si="40"/>
        <v>7750.1</v>
      </c>
      <c r="BN365" s="28">
        <f t="shared" si="36"/>
        <v>-113987.31000000001</v>
      </c>
      <c r="BO365" s="2">
        <v>45398</v>
      </c>
    </row>
    <row r="366" spans="4:67" hidden="1" x14ac:dyDescent="0.25">
      <c r="D366" s="9" t="s">
        <v>31</v>
      </c>
      <c r="E366" s="2">
        <v>45399</v>
      </c>
      <c r="F366" s="38"/>
      <c r="G366" s="51"/>
      <c r="H366" s="4">
        <f t="shared" si="37"/>
        <v>2377.9749999999999</v>
      </c>
      <c r="I366" s="5">
        <v>2011.1</v>
      </c>
      <c r="J366" s="4">
        <f t="shared" si="41"/>
        <v>366.875</v>
      </c>
      <c r="K366" s="4">
        <f t="shared" si="42"/>
        <v>14636.615000000002</v>
      </c>
      <c r="L366" s="3"/>
      <c r="M366" s="3"/>
      <c r="N366" s="25">
        <f t="shared" si="43"/>
        <v>2011.1</v>
      </c>
      <c r="O366" s="28">
        <f t="shared" si="44"/>
        <v>14636.615000000002</v>
      </c>
      <c r="P366" s="9" t="s">
        <v>31</v>
      </c>
      <c r="Q366" s="2">
        <v>45399</v>
      </c>
      <c r="R366" s="38"/>
      <c r="S366" s="52"/>
      <c r="T366" s="4">
        <f t="shared" si="38"/>
        <v>4432.95</v>
      </c>
      <c r="U366" s="5">
        <v>0</v>
      </c>
      <c r="V366" s="4">
        <f t="shared" si="50"/>
        <v>4432.95</v>
      </c>
      <c r="W366" s="4">
        <f t="shared" si="46"/>
        <v>-3674.5000000000082</v>
      </c>
      <c r="X366" s="3" t="s">
        <v>83</v>
      </c>
      <c r="Y366" s="3">
        <f>(51920)</f>
        <v>51920</v>
      </c>
      <c r="Z366" s="25">
        <f t="shared" si="47"/>
        <v>51920</v>
      </c>
      <c r="AA366" s="72">
        <f t="shared" si="48"/>
        <v>-55594.500000000007</v>
      </c>
      <c r="AB366" s="9" t="s">
        <v>31</v>
      </c>
      <c r="AC366" s="19">
        <v>45399</v>
      </c>
      <c r="AD366" s="41"/>
      <c r="AE366" s="42"/>
      <c r="AF366" s="4">
        <f t="shared" si="35"/>
        <v>7796.0250000000005</v>
      </c>
      <c r="AG366" s="3"/>
      <c r="AH366" s="8">
        <v>835.4</v>
      </c>
      <c r="AI366" s="4">
        <f t="shared" si="51"/>
        <v>6960.6250000000009</v>
      </c>
      <c r="AJ366" s="4">
        <f t="shared" si="39"/>
        <v>-107026.68500000001</v>
      </c>
      <c r="AK366" s="3" t="s">
        <v>89</v>
      </c>
      <c r="AL366" s="8">
        <f>(1000)</f>
        <v>1000</v>
      </c>
      <c r="AM366" s="47"/>
      <c r="AN366" s="47"/>
      <c r="AO366" s="8"/>
      <c r="AP366" s="8"/>
      <c r="AQ366" s="47"/>
      <c r="AR366" s="47"/>
      <c r="AS366" s="8"/>
      <c r="AT366" s="8"/>
      <c r="AU366" s="47"/>
      <c r="AV366" s="47"/>
      <c r="AW366" s="8"/>
      <c r="AX366" s="8"/>
      <c r="AY366" s="47"/>
      <c r="AZ366" s="47"/>
      <c r="BA366" s="8"/>
      <c r="BB366" s="8"/>
      <c r="BC366" s="47"/>
      <c r="BD366" s="47"/>
      <c r="BE366" s="8"/>
      <c r="BF366" s="8"/>
      <c r="BG366" s="47"/>
      <c r="BH366" s="47"/>
      <c r="BI366" s="8"/>
      <c r="BJ366" s="3"/>
      <c r="BK366" s="47"/>
      <c r="BL366" s="47"/>
      <c r="BM366" s="24">
        <f t="shared" si="40"/>
        <v>1000</v>
      </c>
      <c r="BN366" s="28">
        <f t="shared" si="36"/>
        <v>-108026.68500000001</v>
      </c>
      <c r="BO366" s="2">
        <v>45399</v>
      </c>
    </row>
    <row r="367" spans="4:67" hidden="1" x14ac:dyDescent="0.25">
      <c r="D367" s="9" t="s">
        <v>32</v>
      </c>
      <c r="E367" s="2">
        <v>45400</v>
      </c>
      <c r="F367" s="38"/>
      <c r="G367" s="51"/>
      <c r="H367" s="4">
        <f t="shared" si="37"/>
        <v>3718.3249999999998</v>
      </c>
      <c r="I367" s="5">
        <v>0</v>
      </c>
      <c r="J367" s="4">
        <f t="shared" si="41"/>
        <v>3718.3249999999998</v>
      </c>
      <c r="K367" s="4">
        <f t="shared" si="42"/>
        <v>18354.940000000002</v>
      </c>
      <c r="L367" s="3"/>
      <c r="M367" s="3"/>
      <c r="N367" s="25">
        <f t="shared" si="43"/>
        <v>0</v>
      </c>
      <c r="O367" s="28">
        <f t="shared" si="44"/>
        <v>18354.940000000002</v>
      </c>
      <c r="P367" s="9" t="s">
        <v>32</v>
      </c>
      <c r="Q367" s="2">
        <v>45400</v>
      </c>
      <c r="R367" s="38"/>
      <c r="S367" s="52"/>
      <c r="T367" s="4">
        <f t="shared" si="38"/>
        <v>1589.8500000000001</v>
      </c>
      <c r="U367" s="5">
        <v>0</v>
      </c>
      <c r="V367" s="4">
        <f t="shared" si="50"/>
        <v>1589.8500000000001</v>
      </c>
      <c r="W367" s="4">
        <f t="shared" si="46"/>
        <v>-54004.650000000009</v>
      </c>
      <c r="X367" s="3"/>
      <c r="Y367" s="3"/>
      <c r="Z367" s="25">
        <f t="shared" si="47"/>
        <v>0</v>
      </c>
      <c r="AA367" s="72">
        <f t="shared" si="48"/>
        <v>-54004.650000000009</v>
      </c>
      <c r="AB367" s="9" t="s">
        <v>32</v>
      </c>
      <c r="AC367" s="19">
        <v>45400</v>
      </c>
      <c r="AD367" s="41"/>
      <c r="AE367" s="42"/>
      <c r="AF367" s="4">
        <f t="shared" si="35"/>
        <v>5661.4749999999995</v>
      </c>
      <c r="AG367" s="3"/>
      <c r="AH367" s="8">
        <v>336</v>
      </c>
      <c r="AI367" s="4">
        <f t="shared" si="51"/>
        <v>5325.4749999999995</v>
      </c>
      <c r="AJ367" s="4">
        <f t="shared" si="39"/>
        <v>-102701.21</v>
      </c>
      <c r="AK367" s="3" t="s">
        <v>93</v>
      </c>
      <c r="AL367" s="8">
        <f>(1440+1000)</f>
        <v>2440</v>
      </c>
      <c r="AM367" s="47" t="s">
        <v>82</v>
      </c>
      <c r="AN367" s="47">
        <f>(16100+7000)</f>
        <v>23100</v>
      </c>
      <c r="AO367" s="8"/>
      <c r="AP367" s="8"/>
      <c r="AQ367" s="47"/>
      <c r="AR367" s="47"/>
      <c r="AS367" s="8"/>
      <c r="AT367" s="8"/>
      <c r="AU367" s="47"/>
      <c r="AV367" s="47"/>
      <c r="AW367" s="8"/>
      <c r="AX367" s="8"/>
      <c r="AY367" s="47"/>
      <c r="AZ367" s="47"/>
      <c r="BA367" s="8" t="s">
        <v>109</v>
      </c>
      <c r="BB367" s="8">
        <f>(1440)</f>
        <v>1440</v>
      </c>
      <c r="BC367" s="47"/>
      <c r="BD367" s="47"/>
      <c r="BE367" s="8"/>
      <c r="BF367" s="8"/>
      <c r="BG367" s="47"/>
      <c r="BH367" s="47"/>
      <c r="BI367" s="3"/>
      <c r="BJ367" s="3"/>
      <c r="BK367" s="47"/>
      <c r="BL367" s="47"/>
      <c r="BM367" s="24">
        <f t="shared" si="40"/>
        <v>26980</v>
      </c>
      <c r="BN367" s="28">
        <f t="shared" si="36"/>
        <v>-129681.21</v>
      </c>
      <c r="BO367" s="2">
        <v>45400</v>
      </c>
    </row>
    <row r="368" spans="4:67" hidden="1" x14ac:dyDescent="0.25">
      <c r="D368" s="9" t="s">
        <v>26</v>
      </c>
      <c r="E368" s="2">
        <v>45401</v>
      </c>
      <c r="F368" s="38"/>
      <c r="G368" s="51"/>
      <c r="H368" s="4">
        <f t="shared" si="37"/>
        <v>2791.7249999999999</v>
      </c>
      <c r="I368" s="5">
        <v>1976.2</v>
      </c>
      <c r="J368" s="4">
        <f t="shared" si="41"/>
        <v>815.52499999999986</v>
      </c>
      <c r="K368" s="4">
        <f t="shared" si="42"/>
        <v>19170.465000000004</v>
      </c>
      <c r="L368" s="3"/>
      <c r="M368" s="3"/>
      <c r="N368" s="25">
        <f t="shared" si="43"/>
        <v>1976.2</v>
      </c>
      <c r="O368" s="28">
        <f t="shared" si="44"/>
        <v>19170.465000000004</v>
      </c>
      <c r="P368" s="9" t="s">
        <v>26</v>
      </c>
      <c r="Q368" s="2">
        <v>45401</v>
      </c>
      <c r="R368" s="38"/>
      <c r="S368" s="52"/>
      <c r="T368" s="4">
        <f t="shared" si="38"/>
        <v>2584.8000000000002</v>
      </c>
      <c r="U368" s="5">
        <v>0</v>
      </c>
      <c r="V368" s="4">
        <f t="shared" si="50"/>
        <v>2584.8000000000002</v>
      </c>
      <c r="W368" s="4">
        <f t="shared" si="46"/>
        <v>-51419.850000000006</v>
      </c>
      <c r="X368" s="3"/>
      <c r="Y368" s="3"/>
      <c r="Z368" s="25">
        <f t="shared" si="47"/>
        <v>0</v>
      </c>
      <c r="AA368" s="72">
        <f t="shared" si="48"/>
        <v>-51419.850000000006</v>
      </c>
      <c r="AB368" s="9" t="s">
        <v>26</v>
      </c>
      <c r="AC368" s="19">
        <v>45401</v>
      </c>
      <c r="AD368" s="41"/>
      <c r="AE368" s="42"/>
      <c r="AF368" s="4">
        <f t="shared" si="35"/>
        <v>5950.9250000000002</v>
      </c>
      <c r="AG368" s="3"/>
      <c r="AH368" s="8">
        <v>380.8</v>
      </c>
      <c r="AI368" s="4">
        <f t="shared" si="51"/>
        <v>5570.125</v>
      </c>
      <c r="AJ368" s="4">
        <f t="shared" si="39"/>
        <v>-124111.08500000001</v>
      </c>
      <c r="AK368" s="3" t="s">
        <v>90</v>
      </c>
      <c r="AL368" s="8">
        <f>(4380.9+1000)</f>
        <v>5380.9</v>
      </c>
      <c r="AM368" s="47" t="s">
        <v>81</v>
      </c>
      <c r="AN368" s="47">
        <f>(8000)</f>
        <v>8000</v>
      </c>
      <c r="AO368" s="8"/>
      <c r="AP368" s="8"/>
      <c r="AQ368" s="47"/>
      <c r="AR368" s="47"/>
      <c r="AS368" s="8"/>
      <c r="AT368" s="8"/>
      <c r="AU368" s="47"/>
      <c r="AV368" s="47"/>
      <c r="AW368" s="8"/>
      <c r="AX368" s="8"/>
      <c r="AY368" s="47"/>
      <c r="AZ368" s="47"/>
      <c r="BA368" s="8" t="s">
        <v>110</v>
      </c>
      <c r="BB368" s="8">
        <f>(2000)</f>
        <v>2000</v>
      </c>
      <c r="BC368" s="47"/>
      <c r="BD368" s="47"/>
      <c r="BE368" s="8"/>
      <c r="BF368" s="8"/>
      <c r="BG368" s="47"/>
      <c r="BH368" s="47"/>
      <c r="BI368" s="8"/>
      <c r="BJ368" s="3"/>
      <c r="BK368" s="48" t="s">
        <v>6</v>
      </c>
      <c r="BL368" s="47"/>
      <c r="BM368" s="24">
        <f t="shared" si="40"/>
        <v>15380.9</v>
      </c>
      <c r="BN368" s="28">
        <f t="shared" si="36"/>
        <v>-139491.98500000002</v>
      </c>
      <c r="BO368" s="2">
        <v>45401</v>
      </c>
    </row>
    <row r="369" spans="4:67" hidden="1" x14ac:dyDescent="0.25">
      <c r="D369" s="9" t="s">
        <v>27</v>
      </c>
      <c r="E369" s="2">
        <v>45402</v>
      </c>
      <c r="F369" s="38"/>
      <c r="G369" s="51"/>
      <c r="H369" s="4">
        <f t="shared" si="37"/>
        <v>2881.8249999999998</v>
      </c>
      <c r="I369" s="5">
        <v>2034</v>
      </c>
      <c r="J369" s="4">
        <f t="shared" si="41"/>
        <v>847.82499999999982</v>
      </c>
      <c r="K369" s="4">
        <f t="shared" si="42"/>
        <v>20018.290000000005</v>
      </c>
      <c r="L369" s="3"/>
      <c r="M369" s="3"/>
      <c r="N369" s="25">
        <f t="shared" si="43"/>
        <v>2034</v>
      </c>
      <c r="O369" s="28">
        <f t="shared" si="44"/>
        <v>20018.290000000005</v>
      </c>
      <c r="P369" s="9" t="s">
        <v>27</v>
      </c>
      <c r="Q369" s="2">
        <v>45402</v>
      </c>
      <c r="R369" s="38"/>
      <c r="S369" s="52"/>
      <c r="T369" s="4">
        <f t="shared" si="38"/>
        <v>2643.75</v>
      </c>
      <c r="U369" s="5">
        <v>1129</v>
      </c>
      <c r="V369" s="4">
        <f t="shared" si="50"/>
        <v>1514.75</v>
      </c>
      <c r="W369" s="4">
        <f t="shared" si="46"/>
        <v>-49905.100000000006</v>
      </c>
      <c r="X369" s="3"/>
      <c r="Y369" s="3"/>
      <c r="Z369" s="25">
        <f t="shared" si="47"/>
        <v>1129</v>
      </c>
      <c r="AA369" s="72">
        <f t="shared" si="48"/>
        <v>-49905.100000000006</v>
      </c>
      <c r="AB369" s="9" t="s">
        <v>69</v>
      </c>
      <c r="AC369" s="19">
        <v>45402</v>
      </c>
      <c r="AD369" s="41"/>
      <c r="AE369" s="42"/>
      <c r="AF369" s="4">
        <f t="shared" si="35"/>
        <v>6113.0750000000007</v>
      </c>
      <c r="AG369" s="3"/>
      <c r="AH369" s="8">
        <v>583</v>
      </c>
      <c r="AI369" s="4">
        <f t="shared" si="51"/>
        <v>5530.0750000000007</v>
      </c>
      <c r="AJ369" s="4">
        <f t="shared" si="39"/>
        <v>-133961.91</v>
      </c>
      <c r="AK369" s="3" t="s">
        <v>89</v>
      </c>
      <c r="AL369" s="8">
        <f>(1000)</f>
        <v>1000</v>
      </c>
      <c r="AM369" s="47"/>
      <c r="AN369" s="47"/>
      <c r="AO369" s="8"/>
      <c r="AP369" s="8"/>
      <c r="AQ369" s="47"/>
      <c r="AR369" s="47"/>
      <c r="AS369" s="8"/>
      <c r="AT369" s="8"/>
      <c r="AU369" s="47"/>
      <c r="AV369" s="47"/>
      <c r="AW369" s="8"/>
      <c r="AX369" s="8"/>
      <c r="AY369" s="47"/>
      <c r="AZ369" s="47"/>
      <c r="BA369" s="8"/>
      <c r="BB369" s="8"/>
      <c r="BC369" s="47"/>
      <c r="BD369" s="47"/>
      <c r="BE369" s="8"/>
      <c r="BF369" s="8"/>
      <c r="BG369" s="47"/>
      <c r="BH369" s="47"/>
      <c r="BI369" s="3"/>
      <c r="BJ369" s="3"/>
      <c r="BK369" s="47" t="s">
        <v>50</v>
      </c>
      <c r="BL369" s="47">
        <f>(3000)</f>
        <v>3000</v>
      </c>
      <c r="BM369" s="24">
        <f t="shared" si="40"/>
        <v>4000</v>
      </c>
      <c r="BN369" s="28">
        <f t="shared" si="36"/>
        <v>-137961.91</v>
      </c>
      <c r="BO369" s="2">
        <v>45402</v>
      </c>
    </row>
    <row r="370" spans="4:67" hidden="1" x14ac:dyDescent="0.25">
      <c r="D370" s="9" t="s">
        <v>28</v>
      </c>
      <c r="E370" s="2">
        <v>45403</v>
      </c>
      <c r="F370" s="38"/>
      <c r="G370" s="51"/>
      <c r="H370" s="4">
        <f t="shared" si="37"/>
        <v>3285.6499999999996</v>
      </c>
      <c r="I370" s="5">
        <v>0</v>
      </c>
      <c r="J370" s="4">
        <f t="shared" si="41"/>
        <v>3285.6499999999996</v>
      </c>
      <c r="K370" s="4">
        <f t="shared" si="42"/>
        <v>23303.940000000002</v>
      </c>
      <c r="L370" s="3" t="s">
        <v>9</v>
      </c>
      <c r="M370" s="3">
        <f>(5000)</f>
        <v>5000</v>
      </c>
      <c r="N370" s="25">
        <f t="shared" si="43"/>
        <v>5000</v>
      </c>
      <c r="O370" s="28">
        <f t="shared" si="44"/>
        <v>18303.940000000002</v>
      </c>
      <c r="P370" s="9" t="s">
        <v>28</v>
      </c>
      <c r="Q370" s="2">
        <v>45403</v>
      </c>
      <c r="R370" s="38"/>
      <c r="S370" s="52"/>
      <c r="T370" s="4">
        <f t="shared" si="38"/>
        <v>3312</v>
      </c>
      <c r="U370" s="5">
        <v>1364</v>
      </c>
      <c r="V370" s="4">
        <f t="shared" si="50"/>
        <v>1948</v>
      </c>
      <c r="W370" s="4">
        <f t="shared" si="46"/>
        <v>-47957.100000000006</v>
      </c>
      <c r="X370" s="3"/>
      <c r="Y370" s="3"/>
      <c r="Z370" s="25">
        <f t="shared" si="47"/>
        <v>1364</v>
      </c>
      <c r="AA370" s="72">
        <f t="shared" si="48"/>
        <v>-47957.100000000006</v>
      </c>
      <c r="AB370" s="9" t="s">
        <v>28</v>
      </c>
      <c r="AC370" s="19">
        <v>45403</v>
      </c>
      <c r="AD370" s="41"/>
      <c r="AE370" s="42"/>
      <c r="AF370" s="4">
        <f t="shared" si="35"/>
        <v>7333.65</v>
      </c>
      <c r="AG370" s="3"/>
      <c r="AH370" s="8">
        <v>525.1</v>
      </c>
      <c r="AI370" s="4">
        <f t="shared" si="51"/>
        <v>6808.5499999999993</v>
      </c>
      <c r="AJ370" s="4">
        <f t="shared" si="39"/>
        <v>-131153.36000000002</v>
      </c>
      <c r="AK370" s="8" t="s">
        <v>113</v>
      </c>
      <c r="AL370" s="8">
        <f>(9369+1000)</f>
        <v>10369</v>
      </c>
      <c r="AM370" s="47"/>
      <c r="AN370" s="47"/>
      <c r="AO370" s="8"/>
      <c r="AP370" s="8"/>
      <c r="AQ370" s="47"/>
      <c r="AR370" s="47"/>
      <c r="AS370" s="8"/>
      <c r="AT370" s="8"/>
      <c r="AU370" s="47"/>
      <c r="AV370" s="47"/>
      <c r="AW370" s="8"/>
      <c r="AX370" s="8"/>
      <c r="AY370" s="47" t="s">
        <v>87</v>
      </c>
      <c r="AZ370" s="47">
        <f>(1279)</f>
        <v>1279</v>
      </c>
      <c r="BA370" s="3" t="s">
        <v>84</v>
      </c>
      <c r="BB370" s="8">
        <f>(500)</f>
        <v>500</v>
      </c>
      <c r="BC370" s="47"/>
      <c r="BD370" s="47"/>
      <c r="BE370" s="8"/>
      <c r="BF370" s="8"/>
      <c r="BG370" s="47"/>
      <c r="BH370" s="47"/>
      <c r="BI370" s="3"/>
      <c r="BJ370" s="3"/>
      <c r="BK370" s="47"/>
      <c r="BL370" s="47"/>
      <c r="BM370" s="24">
        <f t="shared" si="40"/>
        <v>12148</v>
      </c>
      <c r="BN370" s="28">
        <f t="shared" si="36"/>
        <v>-143301.36000000002</v>
      </c>
      <c r="BO370" s="2">
        <v>45403</v>
      </c>
    </row>
    <row r="371" spans="4:67" hidden="1" x14ac:dyDescent="0.25">
      <c r="D371" s="9" t="s">
        <v>29</v>
      </c>
      <c r="E371" s="2">
        <v>45404</v>
      </c>
      <c r="F371" s="38"/>
      <c r="G371" s="51"/>
      <c r="H371" s="4">
        <f t="shared" si="37"/>
        <v>2947.8</v>
      </c>
      <c r="I371" s="5">
        <v>2081.1999999999998</v>
      </c>
      <c r="J371" s="4">
        <f t="shared" si="41"/>
        <v>866.60000000000036</v>
      </c>
      <c r="K371" s="4">
        <f t="shared" si="42"/>
        <v>19170.54</v>
      </c>
      <c r="L371" s="3"/>
      <c r="M371" s="3"/>
      <c r="N371" s="25">
        <f t="shared" si="43"/>
        <v>2081.1999999999998</v>
      </c>
      <c r="O371" s="28">
        <f t="shared" si="44"/>
        <v>19170.54</v>
      </c>
      <c r="P371" s="9" t="s">
        <v>29</v>
      </c>
      <c r="Q371" s="2">
        <v>45404</v>
      </c>
      <c r="R371" s="38"/>
      <c r="S371" s="52"/>
      <c r="T371" s="4">
        <f t="shared" si="38"/>
        <v>4015.8</v>
      </c>
      <c r="U371" s="5">
        <v>0</v>
      </c>
      <c r="V371" s="4">
        <f t="shared" si="50"/>
        <v>4015.8</v>
      </c>
      <c r="W371" s="4">
        <f t="shared" si="46"/>
        <v>-43941.3</v>
      </c>
      <c r="X371" s="3"/>
      <c r="Y371" s="3"/>
      <c r="Z371" s="25">
        <f t="shared" si="47"/>
        <v>0</v>
      </c>
      <c r="AA371" s="72">
        <f t="shared" si="48"/>
        <v>-43941.3</v>
      </c>
      <c r="AB371" s="9" t="s">
        <v>29</v>
      </c>
      <c r="AC371" s="19">
        <v>45404</v>
      </c>
      <c r="AD371" s="41"/>
      <c r="AE371" s="42"/>
      <c r="AF371" s="4">
        <f t="shared" si="35"/>
        <v>7855.9999999999991</v>
      </c>
      <c r="AG371" s="3"/>
      <c r="AH371" s="8">
        <v>1113.0999999999999</v>
      </c>
      <c r="AI371" s="4">
        <f t="shared" si="51"/>
        <v>6742.9</v>
      </c>
      <c r="AJ371" s="4">
        <f t="shared" si="39"/>
        <v>-136558.46000000002</v>
      </c>
      <c r="AK371" s="3" t="s">
        <v>115</v>
      </c>
      <c r="AL371" s="8">
        <f>(1000+2000+1000)</f>
        <v>4000</v>
      </c>
      <c r="AM371" s="48" t="s">
        <v>114</v>
      </c>
      <c r="AN371" s="47">
        <f>(8035.2+3500+1800+1800)</f>
        <v>15135.2</v>
      </c>
      <c r="AO371" s="8"/>
      <c r="AP371" s="8"/>
      <c r="AQ371" s="47"/>
      <c r="AR371" s="47"/>
      <c r="AS371" s="8"/>
      <c r="AT371" s="8"/>
      <c r="AU371" s="47"/>
      <c r="AV371" s="47"/>
      <c r="AW371" s="8"/>
      <c r="AX371" s="8"/>
      <c r="AY371" s="47"/>
      <c r="AZ371" s="47"/>
      <c r="BA371" s="8"/>
      <c r="BB371" s="8"/>
      <c r="BC371" s="47"/>
      <c r="BD371" s="47"/>
      <c r="BE371" s="8"/>
      <c r="BF371" s="8"/>
      <c r="BG371" s="47"/>
      <c r="BH371" s="47"/>
      <c r="BI371" s="8"/>
      <c r="BJ371" s="3"/>
      <c r="BK371" s="47"/>
      <c r="BL371" s="47"/>
      <c r="BM371" s="24">
        <f t="shared" si="40"/>
        <v>19135.2</v>
      </c>
      <c r="BN371" s="28">
        <f t="shared" si="36"/>
        <v>-155693.66000000003</v>
      </c>
      <c r="BO371" s="2">
        <v>45404</v>
      </c>
    </row>
    <row r="372" spans="4:67" hidden="1" x14ac:dyDescent="0.25">
      <c r="D372" s="9" t="s">
        <v>30</v>
      </c>
      <c r="E372" s="2">
        <v>45405</v>
      </c>
      <c r="F372" s="38"/>
      <c r="G372" s="51"/>
      <c r="H372" s="4">
        <f t="shared" si="37"/>
        <v>2100.8249999999998</v>
      </c>
      <c r="I372" s="5">
        <v>2066</v>
      </c>
      <c r="J372" s="4">
        <f t="shared" si="41"/>
        <v>34.824999999999818</v>
      </c>
      <c r="K372" s="4">
        <f t="shared" si="42"/>
        <v>19205.365000000002</v>
      </c>
      <c r="L372" s="3" t="s">
        <v>23</v>
      </c>
      <c r="M372" s="3">
        <v>10788</v>
      </c>
      <c r="N372" s="25">
        <f t="shared" si="43"/>
        <v>12854</v>
      </c>
      <c r="O372" s="28">
        <f t="shared" si="44"/>
        <v>8417.3650000000016</v>
      </c>
      <c r="P372" s="9" t="s">
        <v>30</v>
      </c>
      <c r="Q372" s="2">
        <v>45405</v>
      </c>
      <c r="R372" s="38"/>
      <c r="S372" s="52"/>
      <c r="T372" s="4">
        <f t="shared" si="38"/>
        <v>2600.5500000000002</v>
      </c>
      <c r="U372" s="5">
        <v>400</v>
      </c>
      <c r="V372" s="4">
        <f t="shared" si="50"/>
        <v>2200.5500000000002</v>
      </c>
      <c r="W372" s="4">
        <f t="shared" si="46"/>
        <v>-41740.75</v>
      </c>
      <c r="X372" s="3"/>
      <c r="Y372" s="3"/>
      <c r="Z372" s="25">
        <f t="shared" si="47"/>
        <v>400</v>
      </c>
      <c r="AA372" s="72">
        <f t="shared" si="48"/>
        <v>-41740.75</v>
      </c>
      <c r="AB372" s="9" t="s">
        <v>30</v>
      </c>
      <c r="AC372" s="19">
        <v>45405</v>
      </c>
      <c r="AD372" s="41"/>
      <c r="AE372" s="42"/>
      <c r="AF372" s="4">
        <f t="shared" si="35"/>
        <v>5279.2749999999996</v>
      </c>
      <c r="AG372" s="3"/>
      <c r="AH372" s="8">
        <v>370</v>
      </c>
      <c r="AI372" s="4">
        <f t="shared" si="51"/>
        <v>4909.2749999999996</v>
      </c>
      <c r="AJ372" s="4">
        <f t="shared" si="39"/>
        <v>-150784.38500000004</v>
      </c>
      <c r="AK372" s="3" t="s">
        <v>117</v>
      </c>
      <c r="AL372" s="8">
        <f>(1000+1500)</f>
        <v>2500</v>
      </c>
      <c r="AM372" s="48" t="s">
        <v>111</v>
      </c>
      <c r="AN372" s="47">
        <f>(13600)</f>
        <v>13600</v>
      </c>
      <c r="AO372" s="8"/>
      <c r="AP372" s="8"/>
      <c r="AQ372" s="47"/>
      <c r="AR372" s="47"/>
      <c r="AS372" s="8"/>
      <c r="AT372" s="8"/>
      <c r="AU372" s="47"/>
      <c r="AV372" s="47"/>
      <c r="AW372" s="8"/>
      <c r="AX372" s="8"/>
      <c r="AY372" s="47"/>
      <c r="AZ372" s="47"/>
      <c r="BA372" s="8" t="s">
        <v>116</v>
      </c>
      <c r="BB372" s="8">
        <f>(552.54+350)</f>
        <v>902.54</v>
      </c>
      <c r="BC372" s="47"/>
      <c r="BD372" s="47"/>
      <c r="BE372" s="8"/>
      <c r="BF372" s="8"/>
      <c r="BG372" s="47"/>
      <c r="BH372" s="47"/>
      <c r="BI372" s="3"/>
      <c r="BJ372" s="3"/>
      <c r="BK372" s="47"/>
      <c r="BL372" s="47"/>
      <c r="BM372" s="24">
        <f t="shared" si="40"/>
        <v>17002.54</v>
      </c>
      <c r="BN372" s="28">
        <f t="shared" si="36"/>
        <v>-167786.92500000005</v>
      </c>
      <c r="BO372" s="2">
        <v>45405</v>
      </c>
    </row>
    <row r="373" spans="4:67" hidden="1" x14ac:dyDescent="0.25">
      <c r="D373" s="9" t="s">
        <v>31</v>
      </c>
      <c r="E373" s="2">
        <v>45406</v>
      </c>
      <c r="F373" s="38"/>
      <c r="G373" s="52"/>
      <c r="H373" s="4">
        <f t="shared" si="37"/>
        <v>1750.425</v>
      </c>
      <c r="I373" s="5">
        <v>6518.1</v>
      </c>
      <c r="J373" s="4">
        <f t="shared" si="41"/>
        <v>-4767.6750000000002</v>
      </c>
      <c r="K373" s="4">
        <f t="shared" si="42"/>
        <v>3649.6900000000014</v>
      </c>
      <c r="L373" s="3"/>
      <c r="M373" s="3"/>
      <c r="N373" s="25">
        <f t="shared" si="43"/>
        <v>6518.1</v>
      </c>
      <c r="O373" s="28">
        <f t="shared" si="44"/>
        <v>3649.6900000000014</v>
      </c>
      <c r="P373" s="9" t="s">
        <v>31</v>
      </c>
      <c r="Q373" s="2">
        <v>45406</v>
      </c>
      <c r="R373" s="38"/>
      <c r="S373" s="52"/>
      <c r="T373" s="4">
        <f t="shared" si="38"/>
        <v>2350.8000000000002</v>
      </c>
      <c r="U373" s="5">
        <v>0</v>
      </c>
      <c r="V373" s="4">
        <f t="shared" si="50"/>
        <v>2350.8000000000002</v>
      </c>
      <c r="W373" s="4">
        <f t="shared" si="46"/>
        <v>-39389.949999999997</v>
      </c>
      <c r="X373" s="3"/>
      <c r="Y373" s="3"/>
      <c r="Z373" s="25">
        <f t="shared" si="47"/>
        <v>0</v>
      </c>
      <c r="AA373" s="72">
        <f t="shared" si="48"/>
        <v>-39389.949999999997</v>
      </c>
      <c r="AB373" s="9" t="s">
        <v>31</v>
      </c>
      <c r="AC373" s="19">
        <v>45406</v>
      </c>
      <c r="AD373" s="41"/>
      <c r="AE373" s="42"/>
      <c r="AF373" s="4">
        <f t="shared" si="35"/>
        <v>4623.625</v>
      </c>
      <c r="AG373" s="3"/>
      <c r="AH373" s="8">
        <v>302</v>
      </c>
      <c r="AI373" s="4">
        <f t="shared" si="51"/>
        <v>4321.625</v>
      </c>
      <c r="AJ373" s="4">
        <f t="shared" si="39"/>
        <v>-163465.30000000005</v>
      </c>
      <c r="AK373" s="3" t="s">
        <v>89</v>
      </c>
      <c r="AL373" s="8">
        <f>(1000)</f>
        <v>1000</v>
      </c>
      <c r="AM373" s="48"/>
      <c r="AN373" s="47"/>
      <c r="AO373" s="8"/>
      <c r="AP373" s="8"/>
      <c r="AQ373" s="47"/>
      <c r="AR373" s="47"/>
      <c r="AS373" s="8"/>
      <c r="AT373" s="8"/>
      <c r="AU373" s="47"/>
      <c r="AV373" s="47"/>
      <c r="AW373" s="8"/>
      <c r="AX373" s="8"/>
      <c r="AY373" s="47" t="s">
        <v>105</v>
      </c>
      <c r="AZ373" s="47">
        <f>(2896)</f>
        <v>2896</v>
      </c>
      <c r="BA373" s="8" t="s">
        <v>118</v>
      </c>
      <c r="BB373" s="8">
        <f>(2650+400+200)</f>
        <v>3250</v>
      </c>
      <c r="BC373" s="47"/>
      <c r="BD373" s="47"/>
      <c r="BE373" s="8"/>
      <c r="BF373" s="8"/>
      <c r="BG373" s="47"/>
      <c r="BH373" s="47"/>
      <c r="BI373" s="8"/>
      <c r="BJ373" s="3"/>
      <c r="BK373" s="47" t="s">
        <v>119</v>
      </c>
      <c r="BL373" s="47">
        <f>(300)</f>
        <v>300</v>
      </c>
      <c r="BM373" s="24">
        <f t="shared" si="40"/>
        <v>7446</v>
      </c>
      <c r="BN373" s="28">
        <f t="shared" si="36"/>
        <v>-170911.30000000005</v>
      </c>
      <c r="BO373" s="2">
        <v>45406</v>
      </c>
    </row>
    <row r="374" spans="4:67" hidden="1" x14ac:dyDescent="0.25">
      <c r="D374" s="9" t="s">
        <v>32</v>
      </c>
      <c r="E374" s="2">
        <v>45407</v>
      </c>
      <c r="F374" s="38"/>
      <c r="G374" s="51"/>
      <c r="H374" s="4">
        <f t="shared" si="37"/>
        <v>2353.1750000000002</v>
      </c>
      <c r="I374" s="5">
        <v>10959</v>
      </c>
      <c r="J374" s="4">
        <f t="shared" si="41"/>
        <v>-8605.8250000000007</v>
      </c>
      <c r="K374" s="4">
        <f t="shared" si="42"/>
        <v>-4956.1349999999993</v>
      </c>
      <c r="L374" s="3" t="s">
        <v>120</v>
      </c>
      <c r="M374" s="3">
        <f>(14482.8+3000)</f>
        <v>17482.8</v>
      </c>
      <c r="N374" s="25">
        <f t="shared" si="43"/>
        <v>28441.8</v>
      </c>
      <c r="O374" s="28">
        <f t="shared" si="44"/>
        <v>-22438.934999999998</v>
      </c>
      <c r="P374" s="9" t="s">
        <v>32</v>
      </c>
      <c r="Q374" s="2">
        <v>45407</v>
      </c>
      <c r="R374" s="38"/>
      <c r="S374" s="52"/>
      <c r="T374" s="4">
        <f t="shared" si="38"/>
        <v>1877.4</v>
      </c>
      <c r="U374" s="5">
        <v>0</v>
      </c>
      <c r="V374" s="4">
        <f t="shared" si="50"/>
        <v>1877.4</v>
      </c>
      <c r="W374" s="4">
        <f t="shared" si="46"/>
        <v>-37512.549999999996</v>
      </c>
      <c r="X374" s="3"/>
      <c r="Y374" s="3"/>
      <c r="Z374" s="25">
        <f t="shared" si="47"/>
        <v>0</v>
      </c>
      <c r="AA374" s="72">
        <f t="shared" si="48"/>
        <v>-37512.549999999996</v>
      </c>
      <c r="AB374" s="9" t="s">
        <v>32</v>
      </c>
      <c r="AC374" s="19">
        <v>45407</v>
      </c>
      <c r="AD374" s="41"/>
      <c r="AE374" s="42"/>
      <c r="AF374" s="4">
        <f t="shared" si="35"/>
        <v>4647.7749999999996</v>
      </c>
      <c r="AG374" s="3"/>
      <c r="AH374" s="8">
        <v>417</v>
      </c>
      <c r="AI374" s="4">
        <f t="shared" si="51"/>
        <v>4230.7749999999996</v>
      </c>
      <c r="AJ374" s="4">
        <f t="shared" si="39"/>
        <v>-166680.52500000005</v>
      </c>
      <c r="AK374" s="3" t="s">
        <v>122</v>
      </c>
      <c r="AL374" s="8">
        <f>(1000+2000)</f>
        <v>3000</v>
      </c>
      <c r="AM374" s="47"/>
      <c r="AN374" s="47"/>
      <c r="AO374" s="8"/>
      <c r="AP374" s="8"/>
      <c r="AQ374" s="47"/>
      <c r="AR374" s="47"/>
      <c r="AS374" s="8"/>
      <c r="AT374" s="8"/>
      <c r="AU374" s="47"/>
      <c r="AV374" s="47"/>
      <c r="AW374" s="8"/>
      <c r="AX374" s="8"/>
      <c r="AY374" s="47" t="s">
        <v>105</v>
      </c>
      <c r="AZ374" s="47">
        <f>(1000)</f>
        <v>1000</v>
      </c>
      <c r="BA374" s="8"/>
      <c r="BB374" s="8"/>
      <c r="BC374" s="47"/>
      <c r="BD374" s="47"/>
      <c r="BE374" s="8"/>
      <c r="BF374" s="8"/>
      <c r="BG374" s="47"/>
      <c r="BH374" s="47"/>
      <c r="BI374" s="8"/>
      <c r="BJ374" s="3"/>
      <c r="BK374" s="47" t="s">
        <v>46</v>
      </c>
      <c r="BL374" s="47">
        <f>(3000)</f>
        <v>3000</v>
      </c>
      <c r="BM374" s="24">
        <f t="shared" si="40"/>
        <v>7000</v>
      </c>
      <c r="BN374" s="28">
        <f t="shared" si="36"/>
        <v>-173680.52500000005</v>
      </c>
      <c r="BO374" s="2">
        <v>45407</v>
      </c>
    </row>
    <row r="375" spans="4:67" hidden="1" x14ac:dyDescent="0.25">
      <c r="D375" s="9" t="s">
        <v>26</v>
      </c>
      <c r="E375" s="2">
        <v>45408</v>
      </c>
      <c r="F375" s="38"/>
      <c r="G375" s="52"/>
      <c r="H375" s="4">
        <f t="shared" si="37"/>
        <v>3211.95</v>
      </c>
      <c r="I375" s="5">
        <v>7846.1</v>
      </c>
      <c r="J375" s="4">
        <f t="shared" si="41"/>
        <v>-4634.1500000000005</v>
      </c>
      <c r="K375" s="4">
        <f t="shared" si="42"/>
        <v>-27073.084999999999</v>
      </c>
      <c r="L375" s="3" t="s">
        <v>124</v>
      </c>
      <c r="M375" s="3">
        <f>(5600+5817+1038.4)</f>
        <v>12455.4</v>
      </c>
      <c r="N375" s="25">
        <f t="shared" si="43"/>
        <v>20301.5</v>
      </c>
      <c r="O375" s="28">
        <f t="shared" si="44"/>
        <v>-39528.485000000001</v>
      </c>
      <c r="P375" s="9" t="s">
        <v>26</v>
      </c>
      <c r="Q375" s="2">
        <v>45408</v>
      </c>
      <c r="R375" s="38"/>
      <c r="S375" s="52"/>
      <c r="T375" s="4">
        <f t="shared" si="38"/>
        <v>1655.1000000000001</v>
      </c>
      <c r="U375" s="5"/>
      <c r="V375" s="4">
        <f t="shared" si="50"/>
        <v>1655.1000000000001</v>
      </c>
      <c r="W375" s="4">
        <f t="shared" si="46"/>
        <v>-35857.449999999997</v>
      </c>
      <c r="X375" s="3" t="s">
        <v>66</v>
      </c>
      <c r="Y375" s="3">
        <v>2800</v>
      </c>
      <c r="Z375" s="25">
        <f t="shared" si="47"/>
        <v>2800</v>
      </c>
      <c r="AA375" s="72">
        <f t="shared" si="48"/>
        <v>-38657.449999999997</v>
      </c>
      <c r="AB375" s="9" t="s">
        <v>26</v>
      </c>
      <c r="AC375" s="19">
        <v>45408</v>
      </c>
      <c r="AD375" s="41"/>
      <c r="AE375" s="42"/>
      <c r="AF375" s="4">
        <f t="shared" si="35"/>
        <v>5234.8499999999995</v>
      </c>
      <c r="AG375" s="3"/>
      <c r="AH375" s="8">
        <v>476.1</v>
      </c>
      <c r="AI375" s="4">
        <f t="shared" si="51"/>
        <v>4758.7499999999991</v>
      </c>
      <c r="AJ375" s="4">
        <f t="shared" si="39"/>
        <v>-168921.77500000005</v>
      </c>
      <c r="AK375" s="3" t="s">
        <v>89</v>
      </c>
      <c r="AL375" s="8">
        <f>(1000)</f>
        <v>1000</v>
      </c>
      <c r="AM375" s="47"/>
      <c r="AN375" s="47"/>
      <c r="AO375" s="8"/>
      <c r="AP375" s="8"/>
      <c r="AQ375" s="47"/>
      <c r="AR375" s="47"/>
      <c r="AS375" s="8"/>
      <c r="AT375" s="8"/>
      <c r="AU375" s="47"/>
      <c r="AV375" s="47"/>
      <c r="AW375" s="8"/>
      <c r="AX375" s="8"/>
      <c r="AY375" s="47"/>
      <c r="AZ375" s="47"/>
      <c r="BA375" s="8" t="s">
        <v>123</v>
      </c>
      <c r="BB375" s="8">
        <f>(457+519)</f>
        <v>976</v>
      </c>
      <c r="BC375" s="47"/>
      <c r="BD375" s="47"/>
      <c r="BE375" s="8"/>
      <c r="BF375" s="8"/>
      <c r="BG375" s="47"/>
      <c r="BH375" s="47"/>
      <c r="BI375" s="8"/>
      <c r="BJ375" s="3"/>
      <c r="BK375" s="48"/>
      <c r="BL375" s="47"/>
      <c r="BM375" s="24">
        <f t="shared" si="40"/>
        <v>1976</v>
      </c>
      <c r="BN375" s="28">
        <f t="shared" si="36"/>
        <v>-170897.77500000005</v>
      </c>
      <c r="BO375" s="2">
        <v>45408</v>
      </c>
    </row>
    <row r="376" spans="4:67" hidden="1" x14ac:dyDescent="0.25">
      <c r="D376" s="9" t="s">
        <v>27</v>
      </c>
      <c r="E376" s="2">
        <v>45409</v>
      </c>
      <c r="F376" s="38"/>
      <c r="G376" s="51"/>
      <c r="H376" s="4">
        <f t="shared" si="37"/>
        <v>2197.8500000000004</v>
      </c>
      <c r="I376" s="5">
        <v>5346</v>
      </c>
      <c r="J376" s="4">
        <f t="shared" si="41"/>
        <v>-3148.1499999999996</v>
      </c>
      <c r="K376" s="4">
        <f t="shared" si="42"/>
        <v>-42676.635000000002</v>
      </c>
      <c r="L376" s="3" t="s">
        <v>9</v>
      </c>
      <c r="M376" s="3">
        <f>(4978)</f>
        <v>4978</v>
      </c>
      <c r="N376" s="25">
        <f t="shared" si="43"/>
        <v>10324</v>
      </c>
      <c r="O376" s="28">
        <f t="shared" si="44"/>
        <v>-47654.635000000002</v>
      </c>
      <c r="P376" s="9" t="s">
        <v>27</v>
      </c>
      <c r="Q376" s="2">
        <v>45409</v>
      </c>
      <c r="R376" s="38"/>
      <c r="S376" s="52"/>
      <c r="T376" s="4">
        <f t="shared" si="38"/>
        <v>2260.71</v>
      </c>
      <c r="U376" s="5"/>
      <c r="V376" s="4">
        <f t="shared" si="50"/>
        <v>2260.71</v>
      </c>
      <c r="W376" s="4">
        <f t="shared" si="46"/>
        <v>-36396.74</v>
      </c>
      <c r="X376" s="3"/>
      <c r="Y376" s="3"/>
      <c r="Z376" s="25">
        <f t="shared" si="47"/>
        <v>0</v>
      </c>
      <c r="AA376" s="72">
        <f t="shared" si="48"/>
        <v>-36396.74</v>
      </c>
      <c r="AB376" s="9" t="s">
        <v>27</v>
      </c>
      <c r="AC376" s="19">
        <v>45409</v>
      </c>
      <c r="AD376" s="41"/>
      <c r="AE376" s="43"/>
      <c r="AF376" s="4">
        <f t="shared" si="35"/>
        <v>4960.9399999999996</v>
      </c>
      <c r="AG376" s="3"/>
      <c r="AH376" s="8">
        <v>407</v>
      </c>
      <c r="AI376" s="4">
        <f t="shared" si="51"/>
        <v>4553.9399999999996</v>
      </c>
      <c r="AJ376" s="4">
        <f t="shared" si="39"/>
        <v>-166343.83500000005</v>
      </c>
      <c r="AK376" s="3" t="s">
        <v>89</v>
      </c>
      <c r="AL376" s="8">
        <f>(1000)</f>
        <v>1000</v>
      </c>
      <c r="AM376" s="47"/>
      <c r="AN376" s="47"/>
      <c r="AO376" s="8"/>
      <c r="AP376" s="8"/>
      <c r="AQ376" s="47"/>
      <c r="AR376" s="47"/>
      <c r="AS376" s="8"/>
      <c r="AT376" s="8"/>
      <c r="AU376" s="47"/>
      <c r="AV376" s="47"/>
      <c r="AW376" s="8"/>
      <c r="AX376" s="8"/>
      <c r="AY376" s="48" t="s">
        <v>105</v>
      </c>
      <c r="AZ376" s="47">
        <f>(1000)</f>
        <v>1000</v>
      </c>
      <c r="BA376" s="8" t="s">
        <v>125</v>
      </c>
      <c r="BB376" s="8">
        <f>(500+6400)</f>
        <v>6900</v>
      </c>
      <c r="BC376" s="47"/>
      <c r="BD376" s="47"/>
      <c r="BE376" s="8"/>
      <c r="BF376" s="8"/>
      <c r="BG376" s="47"/>
      <c r="BH376" s="47"/>
      <c r="BI376" s="3"/>
      <c r="BJ376" s="3"/>
      <c r="BK376" s="48" t="s">
        <v>6</v>
      </c>
      <c r="BL376" s="47">
        <f>(500+1000+500)</f>
        <v>2000</v>
      </c>
      <c r="BM376" s="24">
        <f t="shared" si="40"/>
        <v>10900</v>
      </c>
      <c r="BN376" s="28">
        <f t="shared" si="36"/>
        <v>-177243.83500000005</v>
      </c>
      <c r="BO376" s="2">
        <v>45409</v>
      </c>
    </row>
    <row r="377" spans="4:67" hidden="1" x14ac:dyDescent="0.25">
      <c r="D377" s="9" t="s">
        <v>28</v>
      </c>
      <c r="E377" s="2">
        <v>45410</v>
      </c>
      <c r="F377" s="38"/>
      <c r="G377" s="51"/>
      <c r="H377" s="4">
        <f t="shared" si="37"/>
        <v>2654.6750000000002</v>
      </c>
      <c r="I377" s="5">
        <v>0</v>
      </c>
      <c r="J377" s="4">
        <f t="shared" si="41"/>
        <v>2654.6750000000002</v>
      </c>
      <c r="K377" s="4">
        <f t="shared" si="42"/>
        <v>-44999.96</v>
      </c>
      <c r="L377" s="3"/>
      <c r="M377" s="3"/>
      <c r="N377" s="25">
        <f t="shared" si="43"/>
        <v>0</v>
      </c>
      <c r="O377" s="28">
        <f t="shared" si="44"/>
        <v>-44999.96</v>
      </c>
      <c r="P377" s="9" t="s">
        <v>28</v>
      </c>
      <c r="Q377" s="2">
        <v>45410</v>
      </c>
      <c r="R377" s="38"/>
      <c r="S377" s="52"/>
      <c r="T377" s="4">
        <f t="shared" si="38"/>
        <v>4105.8</v>
      </c>
      <c r="U377" s="5"/>
      <c r="V377" s="4">
        <f t="shared" si="50"/>
        <v>4105.8</v>
      </c>
      <c r="W377" s="4">
        <f t="shared" si="46"/>
        <v>-32290.94</v>
      </c>
      <c r="X377" s="3"/>
      <c r="Y377" s="3"/>
      <c r="Z377" s="25">
        <f t="shared" si="47"/>
        <v>0</v>
      </c>
      <c r="AA377" s="72">
        <f t="shared" si="48"/>
        <v>-32290.94</v>
      </c>
      <c r="AB377" s="9" t="s">
        <v>28</v>
      </c>
      <c r="AC377" s="19">
        <v>45410</v>
      </c>
      <c r="AD377" s="41"/>
      <c r="AE377" s="42"/>
      <c r="AF377" s="4">
        <f t="shared" si="35"/>
        <v>7672.8749999999991</v>
      </c>
      <c r="AG377" s="3"/>
      <c r="AH377" s="8">
        <v>563</v>
      </c>
      <c r="AI377" s="4">
        <f t="shared" si="51"/>
        <v>7109.8749999999991</v>
      </c>
      <c r="AJ377" s="4">
        <f t="shared" si="39"/>
        <v>-170133.96000000005</v>
      </c>
      <c r="AK377" s="3" t="s">
        <v>93</v>
      </c>
      <c r="AL377" s="8">
        <f>(1000)</f>
        <v>1000</v>
      </c>
      <c r="AM377" s="47"/>
      <c r="AN377" s="47"/>
      <c r="AO377" s="8"/>
      <c r="AP377" s="8"/>
      <c r="AQ377" s="47"/>
      <c r="AR377" s="47"/>
      <c r="AS377" s="8"/>
      <c r="AT377" s="8"/>
      <c r="AU377" s="47"/>
      <c r="AV377" s="47"/>
      <c r="AW377" s="8"/>
      <c r="AX377" s="8"/>
      <c r="AY377" s="47"/>
      <c r="AZ377" s="47"/>
      <c r="BA377" s="8"/>
      <c r="BB377" s="8"/>
      <c r="BC377" s="47"/>
      <c r="BD377" s="47"/>
      <c r="BE377" s="8"/>
      <c r="BF377" s="8"/>
      <c r="BG377" s="47"/>
      <c r="BH377" s="47"/>
      <c r="BI377" s="3"/>
      <c r="BJ377" s="3"/>
      <c r="BK377" s="47"/>
      <c r="BL377" s="47"/>
      <c r="BM377" s="24">
        <f t="shared" si="40"/>
        <v>1000</v>
      </c>
      <c r="BN377" s="28">
        <f t="shared" si="36"/>
        <v>-171133.96000000005</v>
      </c>
      <c r="BO377" s="2">
        <v>45410</v>
      </c>
    </row>
    <row r="378" spans="4:67" hidden="1" x14ac:dyDescent="0.25">
      <c r="D378" s="9" t="s">
        <v>29</v>
      </c>
      <c r="E378" s="2">
        <v>45411</v>
      </c>
      <c r="F378" s="38"/>
      <c r="G378" s="51"/>
      <c r="H378" s="4">
        <f t="shared" si="37"/>
        <v>2940.0749999999998</v>
      </c>
      <c r="I378" s="5">
        <v>3669</v>
      </c>
      <c r="J378" s="4">
        <f t="shared" si="41"/>
        <v>-728.92500000000018</v>
      </c>
      <c r="K378" s="4">
        <f t="shared" si="42"/>
        <v>-45728.885000000002</v>
      </c>
      <c r="L378" s="3"/>
      <c r="M378" s="3"/>
      <c r="N378" s="25">
        <f t="shared" si="43"/>
        <v>3669</v>
      </c>
      <c r="O378" s="28">
        <f t="shared" si="44"/>
        <v>-45728.885000000002</v>
      </c>
      <c r="P378" s="9" t="s">
        <v>29</v>
      </c>
      <c r="Q378" s="2">
        <v>45411</v>
      </c>
      <c r="R378" s="38"/>
      <c r="S378" s="52"/>
      <c r="T378" s="4">
        <f t="shared" si="38"/>
        <v>3427.2000000000003</v>
      </c>
      <c r="U378" s="5"/>
      <c r="V378" s="4">
        <f t="shared" si="50"/>
        <v>3427.2000000000003</v>
      </c>
      <c r="W378" s="4">
        <f t="shared" si="46"/>
        <v>-28863.739999999998</v>
      </c>
      <c r="X378" s="3"/>
      <c r="Y378" s="3"/>
      <c r="Z378" s="25">
        <f t="shared" si="47"/>
        <v>0</v>
      </c>
      <c r="AA378" s="72">
        <f t="shared" si="48"/>
        <v>-28863.739999999998</v>
      </c>
      <c r="AB378" s="9" t="s">
        <v>29</v>
      </c>
      <c r="AC378" s="19">
        <v>45411</v>
      </c>
      <c r="AD378" s="41"/>
      <c r="AE378" s="42"/>
      <c r="AF378" s="4">
        <f t="shared" si="35"/>
        <v>7128.875</v>
      </c>
      <c r="AG378" s="3"/>
      <c r="AH378" s="8">
        <v>434</v>
      </c>
      <c r="AI378" s="4">
        <f t="shared" si="51"/>
        <v>6694.875</v>
      </c>
      <c r="AJ378" s="4">
        <f t="shared" si="39"/>
        <v>-164439.08500000005</v>
      </c>
      <c r="AK378" s="3" t="s">
        <v>89</v>
      </c>
      <c r="AL378" s="8">
        <f>(1000)</f>
        <v>1000</v>
      </c>
      <c r="AM378" s="48"/>
      <c r="AN378" s="47"/>
      <c r="AO378" s="8"/>
      <c r="AP378" s="8"/>
      <c r="AQ378" s="47"/>
      <c r="AR378" s="47"/>
      <c r="AS378" s="8"/>
      <c r="AT378" s="8"/>
      <c r="AU378" s="47"/>
      <c r="AV378" s="47"/>
      <c r="AW378" s="8"/>
      <c r="AX378" s="8"/>
      <c r="AY378" s="48" t="s">
        <v>105</v>
      </c>
      <c r="AZ378" s="47">
        <f>(1000)</f>
        <v>1000</v>
      </c>
      <c r="BA378" s="8"/>
      <c r="BB378" s="8"/>
      <c r="BC378" s="47"/>
      <c r="BD378" s="47"/>
      <c r="BE378" s="8"/>
      <c r="BF378" s="8"/>
      <c r="BG378" s="47"/>
      <c r="BH378" s="47"/>
      <c r="BI378" s="8"/>
      <c r="BJ378" s="3"/>
      <c r="BK378" s="47"/>
      <c r="BL378" s="47"/>
      <c r="BM378" s="24">
        <f t="shared" si="40"/>
        <v>2000</v>
      </c>
      <c r="BN378" s="28">
        <f t="shared" si="36"/>
        <v>-166439.08500000005</v>
      </c>
      <c r="BO378" s="2">
        <v>45411</v>
      </c>
    </row>
    <row r="379" spans="4:67" s="13" customFormat="1" hidden="1" x14ac:dyDescent="0.25">
      <c r="D379" s="13" t="s">
        <v>30</v>
      </c>
      <c r="E379" s="10">
        <v>45412</v>
      </c>
      <c r="F379" s="10"/>
      <c r="G379" s="54"/>
      <c r="H379" s="11">
        <f t="shared" si="37"/>
        <v>2354.75</v>
      </c>
      <c r="I379" s="12">
        <v>4635</v>
      </c>
      <c r="J379" s="11">
        <f t="shared" si="41"/>
        <v>-2280.25</v>
      </c>
      <c r="K379" s="11">
        <f t="shared" si="42"/>
        <v>-48009.135000000002</v>
      </c>
      <c r="L379" s="11" t="s">
        <v>128</v>
      </c>
      <c r="M379" s="11">
        <f>(78)</f>
        <v>78</v>
      </c>
      <c r="N379" s="26">
        <f t="shared" si="43"/>
        <v>4713</v>
      </c>
      <c r="O379" s="11">
        <f t="shared" si="44"/>
        <v>-48087.135000000002</v>
      </c>
      <c r="P379" s="13" t="s">
        <v>30</v>
      </c>
      <c r="Q379" s="10">
        <v>45412</v>
      </c>
      <c r="R379" s="10"/>
      <c r="S379" s="53"/>
      <c r="T379" s="11">
        <f t="shared" si="38"/>
        <v>5022</v>
      </c>
      <c r="U379" s="12">
        <v>875</v>
      </c>
      <c r="V379" s="11">
        <f t="shared" si="50"/>
        <v>4147</v>
      </c>
      <c r="W379" s="11">
        <f t="shared" si="46"/>
        <v>-24716.739999999998</v>
      </c>
      <c r="X379" s="11"/>
      <c r="Y379" s="11"/>
      <c r="Z379" s="26">
        <f t="shared" si="47"/>
        <v>875</v>
      </c>
      <c r="AA379" s="53">
        <f t="shared" si="48"/>
        <v>-24716.739999999998</v>
      </c>
      <c r="AB379" s="13" t="s">
        <v>30</v>
      </c>
      <c r="AC379" s="20">
        <v>45412</v>
      </c>
      <c r="AD379" s="14"/>
      <c r="AE379" s="27"/>
      <c r="AF379" s="11">
        <f t="shared" si="35"/>
        <v>8492.75</v>
      </c>
      <c r="AG379" s="11"/>
      <c r="AH379" s="15">
        <v>780</v>
      </c>
      <c r="AI379" s="11">
        <f t="shared" si="51"/>
        <v>7712.75</v>
      </c>
      <c r="AJ379" s="11">
        <f t="shared" si="39"/>
        <v>-158726.33500000005</v>
      </c>
      <c r="AK379" s="15" t="s">
        <v>126</v>
      </c>
      <c r="AL379" s="15">
        <f>(1000+2472)</f>
        <v>3472</v>
      </c>
      <c r="AM379" s="15" t="s">
        <v>70</v>
      </c>
      <c r="AN379" s="15">
        <v>1707</v>
      </c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 t="s">
        <v>127</v>
      </c>
      <c r="BB379" s="15">
        <v>1000</v>
      </c>
      <c r="BC379" s="15"/>
      <c r="BD379" s="15"/>
      <c r="BE379" s="15"/>
      <c r="BF379" s="15"/>
      <c r="BG379" s="15"/>
      <c r="BH379" s="15"/>
      <c r="BI379" s="15"/>
      <c r="BJ379" s="11"/>
      <c r="BK379" s="15"/>
      <c r="BL379" s="15"/>
      <c r="BM379" s="23">
        <f t="shared" si="40"/>
        <v>6179</v>
      </c>
      <c r="BN379" s="11">
        <f t="shared" si="36"/>
        <v>-164905.33500000005</v>
      </c>
      <c r="BO379" s="10">
        <v>45412</v>
      </c>
    </row>
    <row r="380" spans="4:67" hidden="1" x14ac:dyDescent="0.25">
      <c r="D380" s="9" t="s">
        <v>31</v>
      </c>
      <c r="E380" s="2">
        <v>45413</v>
      </c>
      <c r="F380" s="38"/>
      <c r="G380" s="51"/>
      <c r="H380" s="4">
        <f t="shared" si="37"/>
        <v>1787.3</v>
      </c>
      <c r="I380" s="5">
        <v>0</v>
      </c>
      <c r="J380" s="4">
        <f t="shared" si="41"/>
        <v>1787.3</v>
      </c>
      <c r="K380" s="4">
        <f t="shared" si="42"/>
        <v>-46299.834999999999</v>
      </c>
      <c r="L380" s="3"/>
      <c r="M380" s="3"/>
      <c r="N380" s="25">
        <f t="shared" si="43"/>
        <v>0</v>
      </c>
      <c r="O380" s="28">
        <f t="shared" si="44"/>
        <v>-46299.834999999999</v>
      </c>
      <c r="P380" s="9" t="s">
        <v>31</v>
      </c>
      <c r="Q380" s="2">
        <v>45413</v>
      </c>
      <c r="R380" s="38"/>
      <c r="S380" s="52"/>
      <c r="T380" s="4">
        <f t="shared" si="38"/>
        <v>6030.45</v>
      </c>
      <c r="U380" s="5">
        <v>866</v>
      </c>
      <c r="V380" s="4">
        <f t="shared" si="50"/>
        <v>5164.45</v>
      </c>
      <c r="W380" s="4">
        <f t="shared" si="46"/>
        <v>-19552.289999999997</v>
      </c>
      <c r="X380" s="3"/>
      <c r="Y380" s="3"/>
      <c r="Z380" s="25">
        <f t="shared" si="47"/>
        <v>866</v>
      </c>
      <c r="AA380" s="72">
        <f t="shared" si="48"/>
        <v>-19552.289999999997</v>
      </c>
      <c r="AB380" s="9" t="s">
        <v>31</v>
      </c>
      <c r="AC380" s="19">
        <v>45413</v>
      </c>
      <c r="AD380" s="41"/>
      <c r="AE380" s="42"/>
      <c r="AF380" s="4">
        <f t="shared" si="35"/>
        <v>9157.8499999999985</v>
      </c>
      <c r="AG380" s="3"/>
      <c r="AH380" s="8">
        <v>958</v>
      </c>
      <c r="AI380" s="4">
        <f t="shared" si="51"/>
        <v>8199.8499999999985</v>
      </c>
      <c r="AJ380" s="4">
        <f t="shared" si="39"/>
        <v>-156705.48500000004</v>
      </c>
      <c r="AK380" s="8" t="s">
        <v>89</v>
      </c>
      <c r="AL380" s="8">
        <f>(1000)</f>
        <v>1000</v>
      </c>
      <c r="AM380" s="47"/>
      <c r="AN380" s="47"/>
      <c r="AO380" s="8"/>
      <c r="AP380" s="8"/>
      <c r="AQ380" s="47"/>
      <c r="AR380" s="47"/>
      <c r="AS380" s="8"/>
      <c r="AT380" s="8"/>
      <c r="AU380" s="47"/>
      <c r="AV380" s="47"/>
      <c r="AW380" s="8"/>
      <c r="AX380" s="8"/>
      <c r="AY380" s="47"/>
      <c r="AZ380" s="47"/>
      <c r="BA380" s="8"/>
      <c r="BB380" s="8"/>
      <c r="BC380" s="47"/>
      <c r="BD380" s="47"/>
      <c r="BE380" s="8"/>
      <c r="BF380" s="8"/>
      <c r="BG380" s="47"/>
      <c r="BH380" s="47"/>
      <c r="BI380" s="3"/>
      <c r="BJ380" s="3"/>
      <c r="BK380" s="47" t="s">
        <v>51</v>
      </c>
      <c r="BL380" s="47">
        <f>(13600)</f>
        <v>13600</v>
      </c>
      <c r="BM380" s="24">
        <f t="shared" si="40"/>
        <v>14600</v>
      </c>
      <c r="BN380" s="28">
        <f t="shared" si="36"/>
        <v>-171305.48500000004</v>
      </c>
      <c r="BO380" s="2">
        <v>45413</v>
      </c>
    </row>
    <row r="381" spans="4:67" hidden="1" x14ac:dyDescent="0.25">
      <c r="D381" s="9" t="s">
        <v>32</v>
      </c>
      <c r="E381" s="2">
        <v>45414</v>
      </c>
      <c r="F381" s="38"/>
      <c r="G381" s="51"/>
      <c r="H381" s="4">
        <f t="shared" si="37"/>
        <v>1059</v>
      </c>
      <c r="I381" s="5">
        <v>1004.5</v>
      </c>
      <c r="J381" s="4">
        <f t="shared" si="41"/>
        <v>54.5</v>
      </c>
      <c r="K381" s="4">
        <f t="shared" si="42"/>
        <v>-46245.334999999999</v>
      </c>
      <c r="L381" s="3" t="s">
        <v>121</v>
      </c>
      <c r="M381" s="3">
        <v>3600</v>
      </c>
      <c r="N381" s="25">
        <f t="shared" si="43"/>
        <v>4604.5</v>
      </c>
      <c r="O381" s="28">
        <f t="shared" si="44"/>
        <v>-49845.334999999999</v>
      </c>
      <c r="P381" s="9" t="s">
        <v>32</v>
      </c>
      <c r="Q381" s="2">
        <v>45414</v>
      </c>
      <c r="R381" s="38"/>
      <c r="S381" s="52"/>
      <c r="T381" s="4">
        <f t="shared" si="38"/>
        <v>4216.95</v>
      </c>
      <c r="U381" s="5"/>
      <c r="V381" s="4">
        <f t="shared" si="50"/>
        <v>4216.95</v>
      </c>
      <c r="W381" s="4">
        <f t="shared" si="46"/>
        <v>-15335.339999999997</v>
      </c>
      <c r="X381" s="3" t="s">
        <v>112</v>
      </c>
      <c r="Y381" s="3">
        <f>(35019)</f>
        <v>35019</v>
      </c>
      <c r="Z381" s="25">
        <f t="shared" si="47"/>
        <v>35019</v>
      </c>
      <c r="AA381" s="72">
        <f t="shared" si="48"/>
        <v>-50354.34</v>
      </c>
      <c r="AB381" s="9" t="s">
        <v>32</v>
      </c>
      <c r="AC381" s="19">
        <v>45414</v>
      </c>
      <c r="AD381" s="41"/>
      <c r="AE381" s="42"/>
      <c r="AF381" s="4">
        <f t="shared" si="35"/>
        <v>6213.05</v>
      </c>
      <c r="AG381" s="3"/>
      <c r="AH381" s="8">
        <v>739</v>
      </c>
      <c r="AI381" s="4">
        <f t="shared" si="51"/>
        <v>5474.05</v>
      </c>
      <c r="AJ381" s="4">
        <f t="shared" si="39"/>
        <v>-165831.43500000006</v>
      </c>
      <c r="AK381" s="8" t="s">
        <v>89</v>
      </c>
      <c r="AL381" s="8">
        <f>(1000)</f>
        <v>1000</v>
      </c>
      <c r="AM381" s="47" t="s">
        <v>129</v>
      </c>
      <c r="AN381" s="47">
        <f>(8000+2000)</f>
        <v>10000</v>
      </c>
      <c r="AO381" s="8"/>
      <c r="AP381" s="8"/>
      <c r="AQ381" s="47"/>
      <c r="AR381" s="47"/>
      <c r="AS381" s="8"/>
      <c r="AT381" s="8"/>
      <c r="AU381" s="47"/>
      <c r="AV381" s="47"/>
      <c r="AW381" s="8"/>
      <c r="AX381" s="8"/>
      <c r="AY381" s="47"/>
      <c r="AZ381" s="47"/>
      <c r="BA381" s="8" t="s">
        <v>78</v>
      </c>
      <c r="BB381" s="8">
        <f>(1717+220)</f>
        <v>1937</v>
      </c>
      <c r="BC381" s="47"/>
      <c r="BD381" s="47"/>
      <c r="BE381" s="8"/>
      <c r="BF381" s="8"/>
      <c r="BG381" s="47"/>
      <c r="BH381" s="47"/>
      <c r="BI381" s="8"/>
      <c r="BJ381" s="3"/>
      <c r="BK381" s="47"/>
      <c r="BL381" s="47"/>
      <c r="BM381" s="24">
        <f t="shared" si="40"/>
        <v>12937</v>
      </c>
      <c r="BN381" s="28">
        <f t="shared" si="36"/>
        <v>-178768.43500000006</v>
      </c>
      <c r="BO381" s="2">
        <v>45414</v>
      </c>
    </row>
    <row r="382" spans="4:67" hidden="1" x14ac:dyDescent="0.25">
      <c r="D382" s="9" t="s">
        <v>26</v>
      </c>
      <c r="E382" s="2">
        <v>45415</v>
      </c>
      <c r="F382" s="38"/>
      <c r="G382" s="51"/>
      <c r="H382" s="4">
        <f t="shared" si="37"/>
        <v>1763.325</v>
      </c>
      <c r="I382" s="5">
        <v>1350</v>
      </c>
      <c r="J382" s="4">
        <f t="shared" si="41"/>
        <v>413.32500000000005</v>
      </c>
      <c r="K382" s="4">
        <f t="shared" si="42"/>
        <v>-49432.01</v>
      </c>
      <c r="L382" s="3"/>
      <c r="M382" s="3"/>
      <c r="N382" s="25">
        <f t="shared" si="43"/>
        <v>1350</v>
      </c>
      <c r="O382" s="28">
        <f t="shared" si="44"/>
        <v>-49432.01</v>
      </c>
      <c r="P382" s="9" t="s">
        <v>26</v>
      </c>
      <c r="Q382" s="2">
        <v>45415</v>
      </c>
      <c r="R382" s="38"/>
      <c r="S382" s="52"/>
      <c r="T382" s="4">
        <f t="shared" si="38"/>
        <v>3705.3</v>
      </c>
      <c r="U382" s="5"/>
      <c r="V382" s="4">
        <f t="shared" si="50"/>
        <v>3705.3</v>
      </c>
      <c r="W382" s="4">
        <f t="shared" si="46"/>
        <v>-46649.039999999994</v>
      </c>
      <c r="X382" s="3"/>
      <c r="Y382" s="3"/>
      <c r="Z382" s="25">
        <f t="shared" si="47"/>
        <v>0</v>
      </c>
      <c r="AA382" s="72">
        <f t="shared" si="48"/>
        <v>-46649.039999999994</v>
      </c>
      <c r="AB382" s="9" t="s">
        <v>26</v>
      </c>
      <c r="AC382" s="19">
        <v>45415</v>
      </c>
      <c r="AD382" s="41"/>
      <c r="AE382" s="42"/>
      <c r="AF382" s="4">
        <f t="shared" si="35"/>
        <v>6292.0249999999987</v>
      </c>
      <c r="AG382" s="3"/>
      <c r="AH382" s="8">
        <v>600</v>
      </c>
      <c r="AI382" s="4">
        <f t="shared" si="51"/>
        <v>5692.0249999999987</v>
      </c>
      <c r="AJ382" s="4">
        <f t="shared" si="39"/>
        <v>-173076.41000000006</v>
      </c>
      <c r="AK382" s="8" t="s">
        <v>130</v>
      </c>
      <c r="AL382" s="8">
        <f>(1000+30427.57)</f>
        <v>31427.57</v>
      </c>
      <c r="AM382" s="47"/>
      <c r="AN382" s="47"/>
      <c r="AO382" s="8"/>
      <c r="AP382" s="8"/>
      <c r="AQ382" s="47"/>
      <c r="AR382" s="47"/>
      <c r="AS382" s="8"/>
      <c r="AT382" s="8"/>
      <c r="AU382" s="47"/>
      <c r="AV382" s="47"/>
      <c r="AW382" s="8"/>
      <c r="AX382" s="8"/>
      <c r="AY382" s="47"/>
      <c r="AZ382" s="47"/>
      <c r="BA382" s="8" t="s">
        <v>80</v>
      </c>
      <c r="BB382" s="8">
        <f>(1000+107)</f>
        <v>1107</v>
      </c>
      <c r="BC382" s="47"/>
      <c r="BD382" s="47"/>
      <c r="BE382" s="8"/>
      <c r="BF382" s="8"/>
      <c r="BG382" s="47"/>
      <c r="BH382" s="47"/>
      <c r="BI382" s="8"/>
      <c r="BJ382" s="3"/>
      <c r="BK382" s="48" t="s">
        <v>6</v>
      </c>
      <c r="BL382" s="47">
        <f>(500+1000+500)</f>
        <v>2000</v>
      </c>
      <c r="BM382" s="24">
        <f t="shared" si="40"/>
        <v>34534.57</v>
      </c>
      <c r="BN382" s="28">
        <f t="shared" si="36"/>
        <v>-207610.98000000007</v>
      </c>
      <c r="BO382" s="2">
        <v>45415</v>
      </c>
    </row>
    <row r="383" spans="4:67" hidden="1" x14ac:dyDescent="0.25">
      <c r="D383" s="9" t="s">
        <v>27</v>
      </c>
      <c r="E383" s="2">
        <v>45416</v>
      </c>
      <c r="F383" s="38"/>
      <c r="G383" s="51"/>
      <c r="H383" s="4">
        <f t="shared" si="37"/>
        <v>1508.3</v>
      </c>
      <c r="I383" s="5">
        <v>2983.9</v>
      </c>
      <c r="J383" s="4">
        <f t="shared" si="41"/>
        <v>-1475.6000000000001</v>
      </c>
      <c r="K383" s="4">
        <f t="shared" si="42"/>
        <v>-50907.61</v>
      </c>
      <c r="L383" s="3"/>
      <c r="M383" s="3"/>
      <c r="N383" s="25">
        <f t="shared" si="43"/>
        <v>2983.9</v>
      </c>
      <c r="O383" s="28">
        <f t="shared" si="44"/>
        <v>-50907.61</v>
      </c>
      <c r="P383" s="9" t="s">
        <v>27</v>
      </c>
      <c r="Q383" s="2">
        <v>45416</v>
      </c>
      <c r="R383" s="38"/>
      <c r="S383" s="52"/>
      <c r="T383" s="4">
        <f t="shared" si="38"/>
        <v>2542.5</v>
      </c>
      <c r="U383" s="5">
        <v>1540</v>
      </c>
      <c r="V383" s="4">
        <f t="shared" si="50"/>
        <v>1002.5</v>
      </c>
      <c r="W383" s="4">
        <f t="shared" si="46"/>
        <v>-45646.539999999994</v>
      </c>
      <c r="X383" s="3"/>
      <c r="Y383" s="3"/>
      <c r="Z383" s="25">
        <f t="shared" si="47"/>
        <v>1540</v>
      </c>
      <c r="AA383" s="72">
        <f t="shared" si="48"/>
        <v>-45646.539999999994</v>
      </c>
      <c r="AB383" s="9" t="s">
        <v>27</v>
      </c>
      <c r="AC383" s="19">
        <v>45416</v>
      </c>
      <c r="AD383" s="41"/>
      <c r="AE383" s="42"/>
      <c r="AF383" s="4">
        <f t="shared" ref="AF383:AF446" si="52">AD72-H383-T383</f>
        <v>4615.8</v>
      </c>
      <c r="AG383" s="3"/>
      <c r="AH383" s="8">
        <v>919.35</v>
      </c>
      <c r="AI383" s="4">
        <f t="shared" si="51"/>
        <v>3696.4500000000003</v>
      </c>
      <c r="AJ383" s="4">
        <f t="shared" si="39"/>
        <v>-203914.53000000006</v>
      </c>
      <c r="AK383" s="8" t="s">
        <v>131</v>
      </c>
      <c r="AL383" s="8">
        <f>(28878.39+1000)</f>
        <v>29878.39</v>
      </c>
      <c r="AM383" s="47"/>
      <c r="AN383" s="47"/>
      <c r="AO383" s="8"/>
      <c r="AP383" s="8"/>
      <c r="AQ383" s="47"/>
      <c r="AR383" s="47"/>
      <c r="AS383" s="8"/>
      <c r="AT383" s="8"/>
      <c r="AU383" s="47"/>
      <c r="AV383" s="47"/>
      <c r="AW383" s="8"/>
      <c r="AX383" s="8"/>
      <c r="AY383" s="47"/>
      <c r="AZ383" s="47"/>
      <c r="BA383" s="8"/>
      <c r="BB383" s="8"/>
      <c r="BC383" s="47"/>
      <c r="BD383" s="47"/>
      <c r="BE383" s="8"/>
      <c r="BF383" s="8"/>
      <c r="BG383" s="47"/>
      <c r="BH383" s="47"/>
      <c r="BI383" s="8"/>
      <c r="BJ383" s="3"/>
      <c r="BK383" s="47" t="s">
        <v>47</v>
      </c>
      <c r="BL383" s="47">
        <f>(2000)</f>
        <v>2000</v>
      </c>
      <c r="BM383" s="24">
        <f t="shared" si="40"/>
        <v>31878.39</v>
      </c>
      <c r="BN383" s="28">
        <f t="shared" ref="BN383:BN446" si="53">AJ383-BM383</f>
        <v>-235792.92000000004</v>
      </c>
      <c r="BO383" s="2">
        <v>45416</v>
      </c>
    </row>
    <row r="384" spans="4:67" hidden="1" x14ac:dyDescent="0.25">
      <c r="D384" s="9" t="s">
        <v>28</v>
      </c>
      <c r="E384" s="2">
        <v>45417</v>
      </c>
      <c r="F384" s="38"/>
      <c r="G384" s="51"/>
      <c r="H384" s="4">
        <f t="shared" ref="H384:H447" si="54">F73*50%</f>
        <v>1496.2249999999999</v>
      </c>
      <c r="I384" s="5">
        <v>0</v>
      </c>
      <c r="J384" s="4">
        <f t="shared" ref="J384:J447" si="55">(G384+H384)-I384</f>
        <v>1496.2249999999999</v>
      </c>
      <c r="K384" s="4">
        <f t="shared" si="42"/>
        <v>-49411.385000000002</v>
      </c>
      <c r="L384" s="3"/>
      <c r="M384" s="3"/>
      <c r="N384" s="25">
        <f t="shared" ref="N384:N447" si="56">I384+M384</f>
        <v>0</v>
      </c>
      <c r="O384" s="28">
        <f t="shared" si="44"/>
        <v>-49411.385000000002</v>
      </c>
      <c r="P384" s="9" t="s">
        <v>28</v>
      </c>
      <c r="Q384" s="2">
        <v>45417</v>
      </c>
      <c r="R384" s="38"/>
      <c r="S384" s="52"/>
      <c r="T384" s="4">
        <f t="shared" ref="T384:T447" si="57">R73*45%</f>
        <v>3219.3</v>
      </c>
      <c r="U384" s="5"/>
      <c r="V384" s="4">
        <f t="shared" si="50"/>
        <v>3219.3</v>
      </c>
      <c r="W384" s="4">
        <f t="shared" si="46"/>
        <v>-42427.239999999991</v>
      </c>
      <c r="X384" s="3"/>
      <c r="Y384" s="3"/>
      <c r="Z384" s="25">
        <f t="shared" si="47"/>
        <v>0</v>
      </c>
      <c r="AA384" s="72">
        <f t="shared" si="48"/>
        <v>-42427.239999999991</v>
      </c>
      <c r="AB384" s="9" t="s">
        <v>28</v>
      </c>
      <c r="AC384" s="19">
        <v>45417</v>
      </c>
      <c r="AD384" s="41"/>
      <c r="AE384" s="42"/>
      <c r="AF384" s="4">
        <f t="shared" si="52"/>
        <v>5430.9250000000002</v>
      </c>
      <c r="AG384" s="3"/>
      <c r="AH384" s="8">
        <v>516.4</v>
      </c>
      <c r="AI384" s="4">
        <f t="shared" si="51"/>
        <v>4914.5250000000005</v>
      </c>
      <c r="AJ384" s="4">
        <f t="shared" ref="AJ384:AJ447" si="58">AI384+BN383</f>
        <v>-230878.39500000005</v>
      </c>
      <c r="AK384" s="3" t="s">
        <v>89</v>
      </c>
      <c r="AL384" s="8">
        <f>(1000)</f>
        <v>1000</v>
      </c>
      <c r="AM384" s="47"/>
      <c r="AN384" s="47"/>
      <c r="AO384" s="8"/>
      <c r="AP384" s="8"/>
      <c r="AQ384" s="47"/>
      <c r="AR384" s="47"/>
      <c r="AS384" s="8"/>
      <c r="AT384" s="8"/>
      <c r="AU384" s="47"/>
      <c r="AV384" s="47"/>
      <c r="AW384" s="8"/>
      <c r="AX384" s="8"/>
      <c r="AY384" s="47"/>
      <c r="AZ384" s="47"/>
      <c r="BA384" s="8"/>
      <c r="BB384" s="8"/>
      <c r="BC384" s="47"/>
      <c r="BD384" s="47"/>
      <c r="BE384" s="8"/>
      <c r="BF384" s="8"/>
      <c r="BG384" s="47"/>
      <c r="BH384" s="47"/>
      <c r="BI384" s="8"/>
      <c r="BJ384" s="3"/>
      <c r="BK384" s="47"/>
      <c r="BL384" s="47"/>
      <c r="BM384" s="24">
        <f t="shared" ref="BM384:BM447" si="59">AL384+AN384+AP384+AR384+AT384+AV384+AX384+AZ384+BB384+BD384+BF384+BH384+BJ384+BL384</f>
        <v>1000</v>
      </c>
      <c r="BN384" s="28">
        <f t="shared" si="53"/>
        <v>-231878.39500000005</v>
      </c>
      <c r="BO384" s="2">
        <v>45417</v>
      </c>
    </row>
    <row r="385" spans="4:67" hidden="1" x14ac:dyDescent="0.25">
      <c r="D385" s="9" t="s">
        <v>29</v>
      </c>
      <c r="E385" s="2">
        <v>45418</v>
      </c>
      <c r="F385" s="38"/>
      <c r="G385" s="51"/>
      <c r="H385" s="4">
        <f t="shared" si="54"/>
        <v>2122.75</v>
      </c>
      <c r="I385" s="5">
        <v>1811</v>
      </c>
      <c r="J385" s="4">
        <f t="shared" si="55"/>
        <v>311.75</v>
      </c>
      <c r="K385" s="4">
        <f t="shared" ref="K385:K448" si="60">J385+O384</f>
        <v>-49099.635000000002</v>
      </c>
      <c r="L385" s="3"/>
      <c r="M385" s="3"/>
      <c r="N385" s="25">
        <f t="shared" si="56"/>
        <v>1811</v>
      </c>
      <c r="O385" s="28">
        <f t="shared" ref="O385:O448" si="61">K385-M385</f>
        <v>-49099.635000000002</v>
      </c>
      <c r="P385" s="9" t="s">
        <v>29</v>
      </c>
      <c r="Q385" s="2">
        <v>45418</v>
      </c>
      <c r="R385" s="38"/>
      <c r="S385" s="52"/>
      <c r="T385" s="4">
        <f t="shared" si="57"/>
        <v>2520</v>
      </c>
      <c r="U385" s="5"/>
      <c r="V385" s="4">
        <f t="shared" si="50"/>
        <v>2520</v>
      </c>
      <c r="W385" s="4">
        <f t="shared" ref="W385:W448" si="62">V385+AA384</f>
        <v>-39907.239999999991</v>
      </c>
      <c r="X385" s="3"/>
      <c r="Y385" s="3"/>
      <c r="Z385" s="25">
        <f t="shared" ref="Z385:Z448" si="63">U385+Y385</f>
        <v>0</v>
      </c>
      <c r="AA385" s="72">
        <f t="shared" ref="AA385:AA448" si="64">W385-Y385</f>
        <v>-39907.239999999991</v>
      </c>
      <c r="AB385" s="9" t="s">
        <v>29</v>
      </c>
      <c r="AC385" s="19">
        <v>45418</v>
      </c>
      <c r="AD385" s="41"/>
      <c r="AE385" s="42"/>
      <c r="AF385" s="4">
        <f t="shared" si="52"/>
        <v>5202.75</v>
      </c>
      <c r="AG385" s="3"/>
      <c r="AH385" s="8">
        <v>492.7</v>
      </c>
      <c r="AI385" s="4">
        <f t="shared" si="51"/>
        <v>4710.05</v>
      </c>
      <c r="AJ385" s="4">
        <f t="shared" si="58"/>
        <v>-227168.34500000006</v>
      </c>
      <c r="AK385" s="8" t="s">
        <v>89</v>
      </c>
      <c r="AL385" s="8">
        <f>(1000)</f>
        <v>1000</v>
      </c>
      <c r="AM385" s="47"/>
      <c r="AN385" s="47"/>
      <c r="AO385" s="8"/>
      <c r="AP385" s="8"/>
      <c r="AQ385" s="47"/>
      <c r="AR385" s="47"/>
      <c r="AS385" s="8"/>
      <c r="AT385" s="8"/>
      <c r="AU385" s="47"/>
      <c r="AV385" s="47"/>
      <c r="AW385" s="8"/>
      <c r="AX385" s="8"/>
      <c r="AY385" s="47" t="s">
        <v>135</v>
      </c>
      <c r="AZ385" s="47">
        <f>(200+4000)</f>
        <v>4200</v>
      </c>
      <c r="BA385" s="8" t="s">
        <v>134</v>
      </c>
      <c r="BB385" s="8">
        <f>(107)</f>
        <v>107</v>
      </c>
      <c r="BC385" s="47"/>
      <c r="BD385" s="47"/>
      <c r="BE385" s="8"/>
      <c r="BF385" s="8"/>
      <c r="BG385" s="47"/>
      <c r="BH385" s="47"/>
      <c r="BI385" s="3"/>
      <c r="BJ385" s="3"/>
      <c r="BK385" s="47"/>
      <c r="BL385" s="47"/>
      <c r="BM385" s="24">
        <f t="shared" si="59"/>
        <v>5307</v>
      </c>
      <c r="BN385" s="28">
        <f t="shared" si="53"/>
        <v>-232475.34500000006</v>
      </c>
      <c r="BO385" s="2">
        <v>45418</v>
      </c>
    </row>
    <row r="386" spans="4:67" hidden="1" x14ac:dyDescent="0.25">
      <c r="D386" s="9" t="s">
        <v>30</v>
      </c>
      <c r="E386" s="2">
        <v>45419</v>
      </c>
      <c r="F386" s="38"/>
      <c r="G386" s="51"/>
      <c r="H386" s="4">
        <f t="shared" si="54"/>
        <v>1616.075</v>
      </c>
      <c r="I386" s="5">
        <v>1091.5</v>
      </c>
      <c r="J386" s="4">
        <f t="shared" si="55"/>
        <v>524.57500000000005</v>
      </c>
      <c r="K386" s="4">
        <f t="shared" si="60"/>
        <v>-48575.060000000005</v>
      </c>
      <c r="L386" s="3"/>
      <c r="M386" s="3"/>
      <c r="N386" s="25">
        <f t="shared" si="56"/>
        <v>1091.5</v>
      </c>
      <c r="O386" s="28">
        <f t="shared" si="61"/>
        <v>-48575.060000000005</v>
      </c>
      <c r="P386" s="9" t="s">
        <v>30</v>
      </c>
      <c r="Q386" s="2">
        <v>45419</v>
      </c>
      <c r="R386" s="38"/>
      <c r="S386" s="52"/>
      <c r="T386" s="4">
        <f t="shared" si="57"/>
        <v>2876.4</v>
      </c>
      <c r="U386" s="5"/>
      <c r="V386" s="4">
        <f t="shared" si="50"/>
        <v>2876.4</v>
      </c>
      <c r="W386" s="4">
        <f t="shared" si="62"/>
        <v>-37030.839999999989</v>
      </c>
      <c r="X386" s="3"/>
      <c r="Y386" s="3"/>
      <c r="Z386" s="25">
        <f t="shared" si="63"/>
        <v>0</v>
      </c>
      <c r="AA386" s="72">
        <f t="shared" si="64"/>
        <v>-37030.839999999989</v>
      </c>
      <c r="AB386" s="9" t="s">
        <v>30</v>
      </c>
      <c r="AC386" s="19">
        <v>45419</v>
      </c>
      <c r="AD386" s="41"/>
      <c r="AE386" s="42"/>
      <c r="AF386" s="4">
        <f t="shared" si="52"/>
        <v>5131.6749999999993</v>
      </c>
      <c r="AG386" s="3"/>
      <c r="AH386" s="8">
        <v>785.65</v>
      </c>
      <c r="AI386" s="4">
        <f t="shared" si="51"/>
        <v>4346.0249999999996</v>
      </c>
      <c r="AJ386" s="4">
        <f t="shared" si="58"/>
        <v>-228129.32000000007</v>
      </c>
      <c r="AK386" s="8" t="s">
        <v>136</v>
      </c>
      <c r="AL386" s="8">
        <f>(1000+2500)</f>
        <v>3500</v>
      </c>
      <c r="AM386" s="47"/>
      <c r="AN386" s="47"/>
      <c r="AO386" s="8"/>
      <c r="AP386" s="8"/>
      <c r="AQ386" s="47"/>
      <c r="AR386" s="47"/>
      <c r="AS386" s="8"/>
      <c r="AT386" s="8"/>
      <c r="AU386" s="47"/>
      <c r="AV386" s="47"/>
      <c r="AW386" s="8"/>
      <c r="AX386" s="8"/>
      <c r="AY386" s="47" t="s">
        <v>71</v>
      </c>
      <c r="AZ386" s="47">
        <f>(1200)</f>
        <v>1200</v>
      </c>
      <c r="BA386" s="8"/>
      <c r="BB386" s="8"/>
      <c r="BC386" s="47"/>
      <c r="BD386" s="47"/>
      <c r="BE386" s="8"/>
      <c r="BF386" s="8"/>
      <c r="BG386" s="47"/>
      <c r="BH386" s="47"/>
      <c r="BI386" s="3"/>
      <c r="BJ386" s="3"/>
      <c r="BK386" s="47"/>
      <c r="BL386" s="47"/>
      <c r="BM386" s="24">
        <f t="shared" si="59"/>
        <v>4700</v>
      </c>
      <c r="BN386" s="28">
        <f t="shared" si="53"/>
        <v>-232829.32000000007</v>
      </c>
      <c r="BO386" s="2">
        <v>45419</v>
      </c>
    </row>
    <row r="387" spans="4:67" hidden="1" x14ac:dyDescent="0.25">
      <c r="D387" s="9" t="s">
        <v>31</v>
      </c>
      <c r="E387" s="2">
        <v>45420</v>
      </c>
      <c r="F387" s="38"/>
      <c r="G387" s="51"/>
      <c r="H387" s="4">
        <f t="shared" si="54"/>
        <v>2068.5500000000002</v>
      </c>
      <c r="I387" s="5">
        <v>0</v>
      </c>
      <c r="J387" s="4">
        <f t="shared" si="55"/>
        <v>2068.5500000000002</v>
      </c>
      <c r="K387" s="4">
        <f t="shared" si="60"/>
        <v>-46506.51</v>
      </c>
      <c r="L387" s="3"/>
      <c r="M387" s="3"/>
      <c r="N387" s="25">
        <f t="shared" si="56"/>
        <v>0</v>
      </c>
      <c r="O387" s="28">
        <f t="shared" si="61"/>
        <v>-46506.51</v>
      </c>
      <c r="P387" s="9" t="s">
        <v>31</v>
      </c>
      <c r="Q387" s="2">
        <v>45420</v>
      </c>
      <c r="R387" s="38"/>
      <c r="S387" s="52"/>
      <c r="T387" s="4">
        <f t="shared" si="57"/>
        <v>3394.8</v>
      </c>
      <c r="U387" s="5"/>
      <c r="V387" s="4">
        <f t="shared" si="50"/>
        <v>3394.8</v>
      </c>
      <c r="W387" s="4">
        <f t="shared" si="62"/>
        <v>-33636.039999999986</v>
      </c>
      <c r="X387" s="3"/>
      <c r="Y387" s="3"/>
      <c r="Z387" s="25">
        <f t="shared" si="63"/>
        <v>0</v>
      </c>
      <c r="AA387" s="72">
        <f t="shared" si="64"/>
        <v>-33636.039999999986</v>
      </c>
      <c r="AB387" s="9" t="s">
        <v>31</v>
      </c>
      <c r="AC387" s="19">
        <v>45420</v>
      </c>
      <c r="AD387" s="41"/>
      <c r="AE387" s="42"/>
      <c r="AF387" s="4">
        <f t="shared" si="52"/>
        <v>6217.7499999999991</v>
      </c>
      <c r="AG387" s="3"/>
      <c r="AH387" s="8">
        <v>472</v>
      </c>
      <c r="AI387" s="4">
        <f t="shared" si="51"/>
        <v>5745.7499999999991</v>
      </c>
      <c r="AJ387" s="4">
        <f t="shared" si="58"/>
        <v>-227083.57000000007</v>
      </c>
      <c r="AK387" s="8" t="s">
        <v>139</v>
      </c>
      <c r="AL387" s="8">
        <f>(1000+4800+4457.69+217.6)</f>
        <v>10475.289999999999</v>
      </c>
      <c r="AM387" s="47"/>
      <c r="AN387" s="47"/>
      <c r="AO387" s="8"/>
      <c r="AP387" s="8"/>
      <c r="AQ387" s="47"/>
      <c r="AR387" s="47"/>
      <c r="AS387" s="8"/>
      <c r="AT387" s="8"/>
      <c r="AU387" s="47"/>
      <c r="AV387" s="47"/>
      <c r="AW387" s="8"/>
      <c r="AX387" s="8"/>
      <c r="AY387" s="47" t="s">
        <v>138</v>
      </c>
      <c r="AZ387" s="47">
        <f>(250)</f>
        <v>250</v>
      </c>
      <c r="BA387" s="8"/>
      <c r="BB387" s="8"/>
      <c r="BC387" s="47"/>
      <c r="BD387" s="47"/>
      <c r="BE387" s="8"/>
      <c r="BF387" s="8"/>
      <c r="BG387" s="47"/>
      <c r="BH387" s="47"/>
      <c r="BI387" s="3"/>
      <c r="BJ387" s="3"/>
      <c r="BK387" s="47"/>
      <c r="BL387" s="47"/>
      <c r="BM387" s="24">
        <f t="shared" si="59"/>
        <v>10725.289999999999</v>
      </c>
      <c r="BN387" s="28">
        <f t="shared" si="53"/>
        <v>-237808.86000000007</v>
      </c>
      <c r="BO387" s="2">
        <v>45420</v>
      </c>
    </row>
    <row r="388" spans="4:67" hidden="1" x14ac:dyDescent="0.25">
      <c r="D388" s="9" t="s">
        <v>32</v>
      </c>
      <c r="E388" s="2">
        <v>45421</v>
      </c>
      <c r="F388" s="38"/>
      <c r="G388" s="51"/>
      <c r="H388" s="4">
        <f t="shared" si="54"/>
        <v>1386.95</v>
      </c>
      <c r="I388" s="5">
        <v>1814.2</v>
      </c>
      <c r="J388" s="4">
        <f t="shared" si="55"/>
        <v>-427.25</v>
      </c>
      <c r="K388" s="4">
        <f t="shared" si="60"/>
        <v>-46933.760000000002</v>
      </c>
      <c r="L388" s="3"/>
      <c r="M388" s="3"/>
      <c r="N388" s="25">
        <f t="shared" si="56"/>
        <v>1814.2</v>
      </c>
      <c r="O388" s="28">
        <f t="shared" si="61"/>
        <v>-46933.760000000002</v>
      </c>
      <c r="P388" s="9" t="s">
        <v>32</v>
      </c>
      <c r="Q388" s="2">
        <v>45421</v>
      </c>
      <c r="R388" s="38"/>
      <c r="S388" s="52"/>
      <c r="T388" s="4">
        <f t="shared" si="57"/>
        <v>2486.7000000000003</v>
      </c>
      <c r="U388" s="5"/>
      <c r="V388" s="4">
        <f t="shared" si="50"/>
        <v>2486.7000000000003</v>
      </c>
      <c r="W388" s="4">
        <f t="shared" si="62"/>
        <v>-31149.339999999986</v>
      </c>
      <c r="X388" s="3"/>
      <c r="Y388" s="3"/>
      <c r="Z388" s="25">
        <f t="shared" si="63"/>
        <v>0</v>
      </c>
      <c r="AA388" s="72">
        <f t="shared" si="64"/>
        <v>-31149.339999999986</v>
      </c>
      <c r="AB388" s="9" t="s">
        <v>32</v>
      </c>
      <c r="AC388" s="19">
        <v>45421</v>
      </c>
      <c r="AD388" s="41"/>
      <c r="AE388" s="42"/>
      <c r="AF388" s="4">
        <f t="shared" si="52"/>
        <v>4426.25</v>
      </c>
      <c r="AG388" s="3"/>
      <c r="AH388" s="8">
        <v>544</v>
      </c>
      <c r="AI388" s="4">
        <f t="shared" si="51"/>
        <v>3882.25</v>
      </c>
      <c r="AJ388" s="4">
        <f t="shared" si="58"/>
        <v>-233926.61000000007</v>
      </c>
      <c r="AK388" s="8" t="s">
        <v>89</v>
      </c>
      <c r="AL388" s="8">
        <f>(1000)</f>
        <v>1000</v>
      </c>
      <c r="AM388" s="47" t="s">
        <v>140</v>
      </c>
      <c r="AN388" s="47">
        <f>(800)</f>
        <v>800</v>
      </c>
      <c r="AO388" s="8"/>
      <c r="AP388" s="8"/>
      <c r="AQ388" s="47"/>
      <c r="AR388" s="47"/>
      <c r="AS388" s="8"/>
      <c r="AT388" s="8"/>
      <c r="AU388" s="47"/>
      <c r="AV388" s="47"/>
      <c r="AW388" s="8"/>
      <c r="AX388" s="8"/>
      <c r="AY388" s="47"/>
      <c r="AZ388" s="47"/>
      <c r="BA388" s="8"/>
      <c r="BB388" s="8"/>
      <c r="BC388" s="47"/>
      <c r="BD388" s="47"/>
      <c r="BE388" s="8"/>
      <c r="BF388" s="8"/>
      <c r="BG388" s="47"/>
      <c r="BH388" s="47"/>
      <c r="BI388" s="8"/>
      <c r="BJ388" s="3"/>
      <c r="BK388" s="47"/>
      <c r="BL388" s="47"/>
      <c r="BM388" s="24">
        <f t="shared" si="59"/>
        <v>1800</v>
      </c>
      <c r="BN388" s="28">
        <f t="shared" si="53"/>
        <v>-235726.61000000007</v>
      </c>
      <c r="BO388" s="2">
        <v>45421</v>
      </c>
    </row>
    <row r="389" spans="4:67" hidden="1" x14ac:dyDescent="0.25">
      <c r="D389" s="9" t="s">
        <v>26</v>
      </c>
      <c r="E389" s="2">
        <v>45422</v>
      </c>
      <c r="F389" s="38"/>
      <c r="G389" s="51"/>
      <c r="H389" s="4">
        <f t="shared" si="54"/>
        <v>1541.85</v>
      </c>
      <c r="I389" s="5">
        <v>1692</v>
      </c>
      <c r="J389" s="4">
        <f t="shared" si="55"/>
        <v>-150.15000000000009</v>
      </c>
      <c r="K389" s="4">
        <f t="shared" si="60"/>
        <v>-47083.91</v>
      </c>
      <c r="L389" s="3"/>
      <c r="M389" s="3"/>
      <c r="N389" s="25">
        <f t="shared" si="56"/>
        <v>1692</v>
      </c>
      <c r="O389" s="28">
        <f t="shared" si="61"/>
        <v>-47083.91</v>
      </c>
      <c r="P389" s="9" t="s">
        <v>26</v>
      </c>
      <c r="Q389" s="2">
        <v>45422</v>
      </c>
      <c r="R389" s="38"/>
      <c r="S389" s="52"/>
      <c r="T389" s="4">
        <f t="shared" si="57"/>
        <v>2982.5549999999998</v>
      </c>
      <c r="U389" s="5">
        <v>1757</v>
      </c>
      <c r="V389" s="4">
        <f t="shared" si="50"/>
        <v>1225.5549999999998</v>
      </c>
      <c r="W389" s="4">
        <f t="shared" si="62"/>
        <v>-29923.784999999985</v>
      </c>
      <c r="X389" s="3"/>
      <c r="Y389" s="3"/>
      <c r="Z389" s="25">
        <f t="shared" si="63"/>
        <v>1757</v>
      </c>
      <c r="AA389" s="72">
        <f t="shared" si="64"/>
        <v>-29923.784999999985</v>
      </c>
      <c r="AB389" s="9" t="s">
        <v>26</v>
      </c>
      <c r="AC389" s="19">
        <v>45422</v>
      </c>
      <c r="AD389" s="41"/>
      <c r="AE389" s="42"/>
      <c r="AF389" s="4">
        <f t="shared" si="52"/>
        <v>5187.1949999999979</v>
      </c>
      <c r="AG389" s="3"/>
      <c r="AH389" s="8">
        <v>506</v>
      </c>
      <c r="AI389" s="4">
        <f t="shared" si="51"/>
        <v>4681.1949999999979</v>
      </c>
      <c r="AJ389" s="4">
        <f t="shared" si="58"/>
        <v>-231045.41500000007</v>
      </c>
      <c r="AK389" s="8" t="s">
        <v>89</v>
      </c>
      <c r="AL389" s="8">
        <f>(1000)</f>
        <v>1000</v>
      </c>
      <c r="AM389" s="47"/>
      <c r="AN389" s="47"/>
      <c r="AO389" s="8"/>
      <c r="AP389" s="8"/>
      <c r="AQ389" s="47"/>
      <c r="AR389" s="47"/>
      <c r="AS389" s="8"/>
      <c r="AT389" s="8"/>
      <c r="AU389" s="47"/>
      <c r="AV389" s="47"/>
      <c r="AW389" s="8"/>
      <c r="AX389" s="8"/>
      <c r="AY389" s="47"/>
      <c r="AZ389" s="47"/>
      <c r="BA389" s="8" t="s">
        <v>141</v>
      </c>
      <c r="BB389" s="8">
        <f>(200)</f>
        <v>200</v>
      </c>
      <c r="BC389" s="47"/>
      <c r="BD389" s="47"/>
      <c r="BE389" s="8"/>
      <c r="BF389" s="8"/>
      <c r="BG389" s="47"/>
      <c r="BH389" s="47"/>
      <c r="BI389" s="8"/>
      <c r="BJ389" s="3"/>
      <c r="BK389" s="48"/>
      <c r="BL389" s="47"/>
      <c r="BM389" s="24">
        <f t="shared" si="59"/>
        <v>1200</v>
      </c>
      <c r="BN389" s="28">
        <f t="shared" si="53"/>
        <v>-232245.41500000007</v>
      </c>
      <c r="BO389" s="2">
        <v>45422</v>
      </c>
    </row>
    <row r="390" spans="4:67" hidden="1" x14ac:dyDescent="0.25">
      <c r="D390" s="9" t="s">
        <v>27</v>
      </c>
      <c r="E390" s="2">
        <v>45423</v>
      </c>
      <c r="F390" s="38"/>
      <c r="G390" s="51"/>
      <c r="H390" s="4">
        <f t="shared" si="54"/>
        <v>1849.65</v>
      </c>
      <c r="I390" s="5">
        <v>1062</v>
      </c>
      <c r="J390" s="4">
        <f t="shared" si="55"/>
        <v>787.65000000000009</v>
      </c>
      <c r="K390" s="4">
        <f t="shared" si="60"/>
        <v>-46296.26</v>
      </c>
      <c r="L390" s="3"/>
      <c r="M390" s="3"/>
      <c r="N390" s="25">
        <f t="shared" si="56"/>
        <v>1062</v>
      </c>
      <c r="O390" s="28">
        <f t="shared" si="61"/>
        <v>-46296.26</v>
      </c>
      <c r="P390" s="9" t="s">
        <v>27</v>
      </c>
      <c r="Q390" s="2">
        <v>45423</v>
      </c>
      <c r="R390" s="38"/>
      <c r="S390" s="52"/>
      <c r="T390" s="4">
        <f t="shared" si="57"/>
        <v>6098.85</v>
      </c>
      <c r="U390" s="5"/>
      <c r="V390" s="4">
        <f t="shared" si="50"/>
        <v>6098.85</v>
      </c>
      <c r="W390" s="4">
        <f t="shared" si="62"/>
        <v>-23824.934999999983</v>
      </c>
      <c r="X390" s="3"/>
      <c r="Y390" s="3"/>
      <c r="Z390" s="25">
        <f t="shared" si="63"/>
        <v>0</v>
      </c>
      <c r="AA390" s="72">
        <f t="shared" si="64"/>
        <v>-23824.934999999983</v>
      </c>
      <c r="AB390" s="9" t="s">
        <v>27</v>
      </c>
      <c r="AC390" s="19">
        <v>45423</v>
      </c>
      <c r="AD390" s="41"/>
      <c r="AE390" s="42"/>
      <c r="AF390" s="4">
        <f t="shared" si="52"/>
        <v>9303.7999999999993</v>
      </c>
      <c r="AG390" s="3"/>
      <c r="AH390" s="8">
        <v>1407.05</v>
      </c>
      <c r="AI390" s="4">
        <f t="shared" si="51"/>
        <v>7896.7499999999991</v>
      </c>
      <c r="AJ390" s="4">
        <f t="shared" si="58"/>
        <v>-224348.66500000007</v>
      </c>
      <c r="AK390" s="8" t="s">
        <v>89</v>
      </c>
      <c r="AL390" s="8">
        <f>(1000)</f>
        <v>1000</v>
      </c>
      <c r="AM390" s="47" t="s">
        <v>106</v>
      </c>
      <c r="AN390" s="47">
        <f>(2000)</f>
        <v>2000</v>
      </c>
      <c r="AO390" s="8"/>
      <c r="AP390" s="8"/>
      <c r="AQ390" s="47"/>
      <c r="AR390" s="47"/>
      <c r="AS390" s="8"/>
      <c r="AT390" s="8"/>
      <c r="AU390" s="47"/>
      <c r="AV390" s="47"/>
      <c r="AW390" s="8"/>
      <c r="AX390" s="8"/>
      <c r="AY390" s="47" t="s">
        <v>71</v>
      </c>
      <c r="AZ390" s="47">
        <f>(1200)</f>
        <v>1200</v>
      </c>
      <c r="BA390" s="8" t="s">
        <v>87</v>
      </c>
      <c r="BB390" s="8">
        <f>(1756)</f>
        <v>1756</v>
      </c>
      <c r="BC390" s="47"/>
      <c r="BD390" s="47"/>
      <c r="BE390" s="8"/>
      <c r="BF390" s="8"/>
      <c r="BG390" s="47"/>
      <c r="BH390" s="47"/>
      <c r="BI390" s="3"/>
      <c r="BJ390" s="3"/>
      <c r="BK390" s="47"/>
      <c r="BL390" s="47"/>
      <c r="BM390" s="24">
        <f t="shared" si="59"/>
        <v>5956</v>
      </c>
      <c r="BN390" s="28">
        <f t="shared" si="53"/>
        <v>-230304.66500000007</v>
      </c>
      <c r="BO390" s="2">
        <v>45423</v>
      </c>
    </row>
    <row r="391" spans="4:67" hidden="1" x14ac:dyDescent="0.25">
      <c r="D391" s="9" t="s">
        <v>28</v>
      </c>
      <c r="E391" s="2">
        <v>45424</v>
      </c>
      <c r="F391" s="38"/>
      <c r="G391" s="51"/>
      <c r="H391" s="4">
        <f t="shared" si="54"/>
        <v>3390.7249999999999</v>
      </c>
      <c r="I391" s="5">
        <v>0</v>
      </c>
      <c r="J391" s="4">
        <f t="shared" si="55"/>
        <v>3390.7249999999999</v>
      </c>
      <c r="K391" s="4">
        <f t="shared" si="60"/>
        <v>-42905.535000000003</v>
      </c>
      <c r="L391" s="3"/>
      <c r="M391" s="3"/>
      <c r="N391" s="25">
        <f t="shared" si="56"/>
        <v>0</v>
      </c>
      <c r="O391" s="28">
        <f t="shared" si="61"/>
        <v>-42905.535000000003</v>
      </c>
      <c r="P391" s="9" t="s">
        <v>28</v>
      </c>
      <c r="Q391" s="2">
        <v>45424</v>
      </c>
      <c r="R391" s="38"/>
      <c r="S391" s="52"/>
      <c r="T391" s="4">
        <f t="shared" si="57"/>
        <v>3761.55</v>
      </c>
      <c r="U391" s="5"/>
      <c r="V391" s="4">
        <f t="shared" si="50"/>
        <v>3761.55</v>
      </c>
      <c r="W391" s="4">
        <f t="shared" si="62"/>
        <v>-20063.384999999984</v>
      </c>
      <c r="X391" s="3"/>
      <c r="Y391" s="3"/>
      <c r="Z391" s="25">
        <f t="shared" si="63"/>
        <v>0</v>
      </c>
      <c r="AA391" s="72">
        <f t="shared" si="64"/>
        <v>-20063.384999999984</v>
      </c>
      <c r="AB391" s="9" t="s">
        <v>28</v>
      </c>
      <c r="AC391" s="19">
        <v>45424</v>
      </c>
      <c r="AD391" s="41"/>
      <c r="AE391" s="42"/>
      <c r="AF391" s="4">
        <f t="shared" si="52"/>
        <v>7988.1750000000002</v>
      </c>
      <c r="AG391" s="3"/>
      <c r="AH391" s="8">
        <v>756.6</v>
      </c>
      <c r="AI391" s="4">
        <f t="shared" si="51"/>
        <v>7231.5749999999998</v>
      </c>
      <c r="AJ391" s="4">
        <f t="shared" si="58"/>
        <v>-223073.09000000005</v>
      </c>
      <c r="AK391" s="8" t="s">
        <v>89</v>
      </c>
      <c r="AL391" s="8">
        <f>(1000)</f>
        <v>1000</v>
      </c>
      <c r="AM391" s="47" t="s">
        <v>142</v>
      </c>
      <c r="AN391" s="47">
        <f>(2427)</f>
        <v>2427</v>
      </c>
      <c r="AO391" s="8"/>
      <c r="AP391" s="8"/>
      <c r="AQ391" s="47"/>
      <c r="AR391" s="47"/>
      <c r="AS391" s="8"/>
      <c r="AT391" s="8"/>
      <c r="AU391" s="47"/>
      <c r="AV391" s="47"/>
      <c r="AW391" s="8"/>
      <c r="AX391" s="8"/>
      <c r="AY391" s="47"/>
      <c r="AZ391" s="47"/>
      <c r="BA391" s="3"/>
      <c r="BB391" s="8"/>
      <c r="BC391" s="47"/>
      <c r="BD391" s="47"/>
      <c r="BE391" s="8"/>
      <c r="BF391" s="8"/>
      <c r="BG391" s="47"/>
      <c r="BH391" s="47"/>
      <c r="BI391" s="8"/>
      <c r="BJ391" s="3"/>
      <c r="BK391" s="47"/>
      <c r="BL391" s="47"/>
      <c r="BM391" s="24">
        <f t="shared" si="59"/>
        <v>3427</v>
      </c>
      <c r="BN391" s="28">
        <f t="shared" si="53"/>
        <v>-226500.09000000005</v>
      </c>
      <c r="BO391" s="2">
        <v>45424</v>
      </c>
    </row>
    <row r="392" spans="4:67" hidden="1" x14ac:dyDescent="0.25">
      <c r="D392" s="9" t="s">
        <v>29</v>
      </c>
      <c r="E392" s="2">
        <v>45425</v>
      </c>
      <c r="F392" s="38"/>
      <c r="G392" s="51"/>
      <c r="H392" s="4">
        <f t="shared" si="54"/>
        <v>2140.4250000000002</v>
      </c>
      <c r="I392" s="5">
        <v>4068.2</v>
      </c>
      <c r="J392" s="4">
        <f t="shared" si="55"/>
        <v>-1927.7749999999996</v>
      </c>
      <c r="K392" s="4">
        <f t="shared" si="60"/>
        <v>-44833.310000000005</v>
      </c>
      <c r="L392" s="3"/>
      <c r="M392" s="3"/>
      <c r="N392" s="25">
        <f t="shared" si="56"/>
        <v>4068.2</v>
      </c>
      <c r="O392" s="28">
        <f t="shared" si="61"/>
        <v>-44833.310000000005</v>
      </c>
      <c r="P392" s="9" t="s">
        <v>29</v>
      </c>
      <c r="Q392" s="2">
        <v>45425</v>
      </c>
      <c r="R392" s="38"/>
      <c r="S392" s="52"/>
      <c r="T392" s="4">
        <f t="shared" si="57"/>
        <v>2201.4</v>
      </c>
      <c r="U392" s="5"/>
      <c r="V392" s="4">
        <f t="shared" si="50"/>
        <v>2201.4</v>
      </c>
      <c r="W392" s="4">
        <f t="shared" si="62"/>
        <v>-17861.984999999982</v>
      </c>
      <c r="X392" s="3"/>
      <c r="Y392" s="3"/>
      <c r="Z392" s="25">
        <f t="shared" si="63"/>
        <v>0</v>
      </c>
      <c r="AA392" s="72">
        <f t="shared" si="64"/>
        <v>-17861.984999999982</v>
      </c>
      <c r="AB392" s="9" t="s">
        <v>29</v>
      </c>
      <c r="AC392" s="19">
        <v>45425</v>
      </c>
      <c r="AD392" s="41"/>
      <c r="AE392" s="42"/>
      <c r="AF392" s="4">
        <f t="shared" si="52"/>
        <v>4831.0249999999996</v>
      </c>
      <c r="AG392" s="3"/>
      <c r="AH392" s="8">
        <v>880</v>
      </c>
      <c r="AI392" s="4">
        <f t="shared" si="51"/>
        <v>3951.0249999999996</v>
      </c>
      <c r="AJ392" s="4">
        <f t="shared" si="58"/>
        <v>-222549.06500000006</v>
      </c>
      <c r="AK392" s="8" t="s">
        <v>130</v>
      </c>
      <c r="AL392" s="8">
        <f>(1000+5000)</f>
        <v>6000</v>
      </c>
      <c r="AM392" s="47"/>
      <c r="AN392" s="47"/>
      <c r="AO392" s="8"/>
      <c r="AP392" s="8"/>
      <c r="AQ392" s="47"/>
      <c r="AR392" s="47"/>
      <c r="AS392" s="8"/>
      <c r="AT392" s="8"/>
      <c r="AU392" s="47"/>
      <c r="AV392" s="47"/>
      <c r="AW392" s="8"/>
      <c r="AX392" s="8"/>
      <c r="AY392" s="47"/>
      <c r="AZ392" s="47"/>
      <c r="BA392" s="8"/>
      <c r="BB392" s="8"/>
      <c r="BC392" s="47"/>
      <c r="BD392" s="47"/>
      <c r="BE392" s="8"/>
      <c r="BF392" s="8"/>
      <c r="BG392" s="47"/>
      <c r="BH392" s="47"/>
      <c r="BI392" s="8"/>
      <c r="BJ392" s="3"/>
      <c r="BK392" s="47"/>
      <c r="BL392" s="47"/>
      <c r="BM392" s="24">
        <f t="shared" si="59"/>
        <v>6000</v>
      </c>
      <c r="BN392" s="28">
        <f t="shared" si="53"/>
        <v>-228549.06500000006</v>
      </c>
      <c r="BO392" s="2">
        <v>45425</v>
      </c>
    </row>
    <row r="393" spans="4:67" hidden="1" x14ac:dyDescent="0.25">
      <c r="D393" s="9" t="s">
        <v>30</v>
      </c>
      <c r="E393" s="2">
        <v>45426</v>
      </c>
      <c r="F393" s="38"/>
      <c r="G393" s="51"/>
      <c r="H393" s="4">
        <f t="shared" si="54"/>
        <v>1690.425</v>
      </c>
      <c r="I393" s="5">
        <v>1858</v>
      </c>
      <c r="J393" s="4">
        <f t="shared" si="55"/>
        <v>-167.57500000000005</v>
      </c>
      <c r="K393" s="4">
        <f t="shared" si="60"/>
        <v>-45000.885000000002</v>
      </c>
      <c r="L393" s="3"/>
      <c r="M393" s="3"/>
      <c r="N393" s="25">
        <f t="shared" si="56"/>
        <v>1858</v>
      </c>
      <c r="O393" s="28">
        <f t="shared" si="61"/>
        <v>-45000.885000000002</v>
      </c>
      <c r="P393" s="9" t="s">
        <v>30</v>
      </c>
      <c r="Q393" s="2">
        <v>45426</v>
      </c>
      <c r="R393" s="38"/>
      <c r="S393" s="52"/>
      <c r="T393" s="4">
        <f t="shared" si="57"/>
        <v>3578.4</v>
      </c>
      <c r="U393" s="5"/>
      <c r="V393" s="4">
        <f t="shared" si="50"/>
        <v>3578.4</v>
      </c>
      <c r="W393" s="4">
        <f t="shared" si="62"/>
        <v>-14283.584999999983</v>
      </c>
      <c r="X393" s="3" t="s">
        <v>23</v>
      </c>
      <c r="Y393" s="3">
        <v>4317</v>
      </c>
      <c r="Z393" s="25">
        <f t="shared" si="63"/>
        <v>4317</v>
      </c>
      <c r="AA393" s="72">
        <f t="shared" si="64"/>
        <v>-18600.584999999985</v>
      </c>
      <c r="AB393" s="9" t="s">
        <v>30</v>
      </c>
      <c r="AC393" s="19">
        <v>45426</v>
      </c>
      <c r="AD393" s="41"/>
      <c r="AE393" s="42"/>
      <c r="AF393" s="4">
        <f t="shared" si="52"/>
        <v>6064.0250000000015</v>
      </c>
      <c r="AG393" s="3"/>
      <c r="AH393" s="8">
        <v>701</v>
      </c>
      <c r="AI393" s="4">
        <f t="shared" si="51"/>
        <v>5363.0250000000015</v>
      </c>
      <c r="AJ393" s="4">
        <f t="shared" si="58"/>
        <v>-223186.04000000007</v>
      </c>
      <c r="AK393" s="8" t="s">
        <v>89</v>
      </c>
      <c r="AL393" s="8">
        <f>(1000)</f>
        <v>1000</v>
      </c>
      <c r="AM393" s="47" t="s">
        <v>79</v>
      </c>
      <c r="AN393" s="47">
        <f>(15000)</f>
        <v>15000</v>
      </c>
      <c r="AO393" s="8"/>
      <c r="AP393" s="8"/>
      <c r="AQ393" s="47"/>
      <c r="AR393" s="47"/>
      <c r="AS393" s="8"/>
      <c r="AT393" s="8"/>
      <c r="AU393" s="47"/>
      <c r="AV393" s="47"/>
      <c r="AW393" s="8"/>
      <c r="AX393" s="8"/>
      <c r="AY393" s="47"/>
      <c r="AZ393" s="47"/>
      <c r="BA393" s="8" t="s">
        <v>144</v>
      </c>
      <c r="BB393" s="8">
        <f>(590+275)</f>
        <v>865</v>
      </c>
      <c r="BC393" s="47"/>
      <c r="BD393" s="47"/>
      <c r="BE393" s="8"/>
      <c r="BF393" s="8"/>
      <c r="BG393" s="47"/>
      <c r="BH393" s="47"/>
      <c r="BI393" s="8"/>
      <c r="BJ393" s="3"/>
      <c r="BK393" s="47"/>
      <c r="BL393" s="47"/>
      <c r="BM393" s="24">
        <f t="shared" si="59"/>
        <v>16865</v>
      </c>
      <c r="BN393" s="28">
        <f t="shared" si="53"/>
        <v>-240051.04000000007</v>
      </c>
      <c r="BO393" s="2">
        <v>45426</v>
      </c>
    </row>
    <row r="394" spans="4:67" hidden="1" x14ac:dyDescent="0.25">
      <c r="D394" s="9" t="s">
        <v>31</v>
      </c>
      <c r="E394" s="2">
        <v>45427</v>
      </c>
      <c r="F394" s="38"/>
      <c r="G394" s="51"/>
      <c r="H394" s="4">
        <f t="shared" si="54"/>
        <v>1705.075</v>
      </c>
      <c r="I394" s="5">
        <v>1564</v>
      </c>
      <c r="J394" s="4">
        <f t="shared" si="55"/>
        <v>141.07500000000005</v>
      </c>
      <c r="K394" s="4">
        <f t="shared" si="60"/>
        <v>-44859.810000000005</v>
      </c>
      <c r="L394" s="3"/>
      <c r="M394" s="3"/>
      <c r="N394" s="25">
        <f t="shared" si="56"/>
        <v>1564</v>
      </c>
      <c r="O394" s="28">
        <f t="shared" si="61"/>
        <v>-44859.810000000005</v>
      </c>
      <c r="P394" s="9" t="s">
        <v>31</v>
      </c>
      <c r="Q394" s="2">
        <v>45427</v>
      </c>
      <c r="R394" s="38"/>
      <c r="S394" s="52"/>
      <c r="T394" s="4">
        <f t="shared" si="57"/>
        <v>3186.4500000000003</v>
      </c>
      <c r="U394" s="5"/>
      <c r="V394" s="4">
        <f t="shared" si="50"/>
        <v>3186.4500000000003</v>
      </c>
      <c r="W394" s="4">
        <f t="shared" si="62"/>
        <v>-15414.134999999984</v>
      </c>
      <c r="X394" s="3"/>
      <c r="Y394" s="3"/>
      <c r="Z394" s="25">
        <f t="shared" si="63"/>
        <v>0</v>
      </c>
      <c r="AA394" s="72">
        <f t="shared" si="64"/>
        <v>-15414.134999999984</v>
      </c>
      <c r="AB394" s="9" t="s">
        <v>31</v>
      </c>
      <c r="AC394" s="19">
        <v>45427</v>
      </c>
      <c r="AD394" s="41"/>
      <c r="AE394" s="42"/>
      <c r="AF394" s="4">
        <f t="shared" si="52"/>
        <v>5599.6249999999982</v>
      </c>
      <c r="AG394" s="3"/>
      <c r="AH394" s="8">
        <v>871</v>
      </c>
      <c r="AI394" s="4">
        <f t="shared" si="51"/>
        <v>4728.6249999999982</v>
      </c>
      <c r="AJ394" s="4">
        <f t="shared" si="58"/>
        <v>-235322.41500000007</v>
      </c>
      <c r="AK394" s="8" t="s">
        <v>145</v>
      </c>
      <c r="AL394" s="8">
        <f>(1000+5000+242.8)</f>
        <v>6242.8</v>
      </c>
      <c r="AM394" s="47"/>
      <c r="AN394" s="47"/>
      <c r="AO394" s="8"/>
      <c r="AP394" s="8"/>
      <c r="AQ394" s="47"/>
      <c r="AR394" s="47"/>
      <c r="AS394" s="8"/>
      <c r="AT394" s="8"/>
      <c r="AU394" s="47"/>
      <c r="AV394" s="47"/>
      <c r="AW394" s="8"/>
      <c r="AX394" s="8"/>
      <c r="AY394" s="47" t="s">
        <v>71</v>
      </c>
      <c r="AZ394" s="47">
        <f>(1200)</f>
        <v>1200</v>
      </c>
      <c r="BA394" s="8" t="s">
        <v>146</v>
      </c>
      <c r="BB394" s="8">
        <f>(2350+1000)</f>
        <v>3350</v>
      </c>
      <c r="BC394" s="47"/>
      <c r="BD394" s="47"/>
      <c r="BE394" s="8"/>
      <c r="BF394" s="8"/>
      <c r="BG394" s="47"/>
      <c r="BH394" s="47"/>
      <c r="BI394" s="8"/>
      <c r="BJ394" s="3"/>
      <c r="BK394" s="48"/>
      <c r="BL394" s="47"/>
      <c r="BM394" s="24">
        <f t="shared" si="59"/>
        <v>10792.8</v>
      </c>
      <c r="BN394" s="28">
        <f t="shared" si="53"/>
        <v>-246115.21500000005</v>
      </c>
      <c r="BO394" s="2">
        <v>45427</v>
      </c>
    </row>
    <row r="395" spans="4:67" hidden="1" x14ac:dyDescent="0.25">
      <c r="D395" s="9" t="s">
        <v>32</v>
      </c>
      <c r="E395" s="2">
        <v>45428</v>
      </c>
      <c r="F395" s="38"/>
      <c r="G395" s="51"/>
      <c r="H395" s="4">
        <f t="shared" si="54"/>
        <v>1265.05</v>
      </c>
      <c r="I395" s="5">
        <v>0</v>
      </c>
      <c r="J395" s="4">
        <f t="shared" si="55"/>
        <v>1265.05</v>
      </c>
      <c r="K395" s="4">
        <f t="shared" si="60"/>
        <v>-43594.76</v>
      </c>
      <c r="L395" s="3" t="s">
        <v>22</v>
      </c>
      <c r="M395" s="3">
        <v>2700</v>
      </c>
      <c r="N395" s="25">
        <f t="shared" si="56"/>
        <v>2700</v>
      </c>
      <c r="O395" s="28">
        <f t="shared" si="61"/>
        <v>-46294.76</v>
      </c>
      <c r="P395" s="9" t="s">
        <v>32</v>
      </c>
      <c r="Q395" s="2">
        <v>45428</v>
      </c>
      <c r="R395" s="38"/>
      <c r="S395" s="52"/>
      <c r="T395" s="4">
        <f t="shared" si="57"/>
        <v>3962.25</v>
      </c>
      <c r="U395" s="5"/>
      <c r="V395" s="4">
        <f t="shared" si="50"/>
        <v>3962.25</v>
      </c>
      <c r="W395" s="4">
        <f t="shared" si="62"/>
        <v>-11451.884999999984</v>
      </c>
      <c r="X395" s="3" t="s">
        <v>83</v>
      </c>
      <c r="Y395" s="3">
        <f>(25641)</f>
        <v>25641</v>
      </c>
      <c r="Z395" s="25">
        <f t="shared" si="63"/>
        <v>25641</v>
      </c>
      <c r="AA395" s="72">
        <f t="shared" si="64"/>
        <v>-37092.88499999998</v>
      </c>
      <c r="AB395" s="9" t="s">
        <v>32</v>
      </c>
      <c r="AC395" s="19">
        <v>45428</v>
      </c>
      <c r="AD395" s="41"/>
      <c r="AE395" s="42"/>
      <c r="AF395" s="4">
        <f t="shared" si="52"/>
        <v>6107.8000000000011</v>
      </c>
      <c r="AG395" s="3"/>
      <c r="AH395" s="8">
        <v>924</v>
      </c>
      <c r="AI395" s="4">
        <f t="shared" si="51"/>
        <v>5183.8000000000011</v>
      </c>
      <c r="AJ395" s="4">
        <f t="shared" si="58"/>
        <v>-240931.41500000007</v>
      </c>
      <c r="AK395" s="8" t="s">
        <v>89</v>
      </c>
      <c r="AL395" s="8">
        <f>(1000)</f>
        <v>1000</v>
      </c>
      <c r="AM395" s="47" t="s">
        <v>132</v>
      </c>
      <c r="AN395" s="47">
        <f>(24450)</f>
        <v>24450</v>
      </c>
      <c r="AO395" s="8"/>
      <c r="AP395" s="8"/>
      <c r="AQ395" s="47"/>
      <c r="AR395" s="47"/>
      <c r="AS395" s="8"/>
      <c r="AT395" s="8"/>
      <c r="AU395" s="47"/>
      <c r="AV395" s="47"/>
      <c r="AW395" s="8"/>
      <c r="AX395" s="8"/>
      <c r="AY395" s="47"/>
      <c r="AZ395" s="47"/>
      <c r="BA395" s="8"/>
      <c r="BB395" s="8"/>
      <c r="BC395" s="47"/>
      <c r="BD395" s="47"/>
      <c r="BE395" s="8"/>
      <c r="BF395" s="8"/>
      <c r="BG395" s="47"/>
      <c r="BH395" s="47"/>
      <c r="BI395" s="8"/>
      <c r="BJ395" s="3"/>
      <c r="BK395" s="47"/>
      <c r="BL395" s="47"/>
      <c r="BM395" s="24">
        <f t="shared" si="59"/>
        <v>25450</v>
      </c>
      <c r="BN395" s="28">
        <f t="shared" si="53"/>
        <v>-266381.41500000004</v>
      </c>
      <c r="BO395" s="2">
        <v>45428</v>
      </c>
    </row>
    <row r="396" spans="4:67" hidden="1" x14ac:dyDescent="0.25">
      <c r="D396" s="9" t="s">
        <v>26</v>
      </c>
      <c r="E396" s="2">
        <v>45429</v>
      </c>
      <c r="F396" s="38"/>
      <c r="G396" s="51"/>
      <c r="H396" s="4">
        <f t="shared" si="54"/>
        <v>2106.9499999999998</v>
      </c>
      <c r="I396" s="5">
        <v>0</v>
      </c>
      <c r="J396" s="4">
        <f t="shared" si="55"/>
        <v>2106.9499999999998</v>
      </c>
      <c r="K396" s="4">
        <f t="shared" si="60"/>
        <v>-44187.810000000005</v>
      </c>
      <c r="L396" s="3" t="s">
        <v>23</v>
      </c>
      <c r="M396" s="3">
        <f>(3159)</f>
        <v>3159</v>
      </c>
      <c r="N396" s="25">
        <f t="shared" si="56"/>
        <v>3159</v>
      </c>
      <c r="O396" s="28">
        <f t="shared" si="61"/>
        <v>-47346.810000000005</v>
      </c>
      <c r="P396" s="9" t="s">
        <v>26</v>
      </c>
      <c r="Q396" s="2">
        <v>45429</v>
      </c>
      <c r="R396" s="38"/>
      <c r="S396" s="52"/>
      <c r="T396" s="4">
        <f t="shared" si="57"/>
        <v>4269.1500000000005</v>
      </c>
      <c r="U396" s="5"/>
      <c r="V396" s="4">
        <f t="shared" si="50"/>
        <v>4269.1500000000005</v>
      </c>
      <c r="W396" s="4">
        <f t="shared" si="62"/>
        <v>-32823.734999999979</v>
      </c>
      <c r="X396" s="3" t="s">
        <v>86</v>
      </c>
      <c r="Y396" s="3">
        <f>(13018)</f>
        <v>13018</v>
      </c>
      <c r="Z396" s="25">
        <f t="shared" si="63"/>
        <v>13018</v>
      </c>
      <c r="AA396" s="72">
        <f t="shared" si="64"/>
        <v>-45841.734999999979</v>
      </c>
      <c r="AB396" s="9" t="s">
        <v>26</v>
      </c>
      <c r="AC396" s="19">
        <v>45429</v>
      </c>
      <c r="AD396" s="41"/>
      <c r="AE396" s="42"/>
      <c r="AF396" s="4">
        <f t="shared" si="52"/>
        <v>7324.8</v>
      </c>
      <c r="AG396" s="3"/>
      <c r="AH396" s="8">
        <v>992</v>
      </c>
      <c r="AI396" s="4">
        <f t="shared" si="51"/>
        <v>6332.8</v>
      </c>
      <c r="AJ396" s="4">
        <f t="shared" si="58"/>
        <v>-260048.61500000005</v>
      </c>
      <c r="AK396" s="8" t="s">
        <v>147</v>
      </c>
      <c r="AL396" s="8">
        <f>(1000+1100)</f>
        <v>2100</v>
      </c>
      <c r="AM396" s="47"/>
      <c r="AN396" s="47"/>
      <c r="AO396" s="8"/>
      <c r="AP396" s="8"/>
      <c r="AQ396" s="47"/>
      <c r="AR396" s="47"/>
      <c r="AS396" s="8"/>
      <c r="AT396" s="8"/>
      <c r="AU396" s="47"/>
      <c r="AV396" s="47"/>
      <c r="AW396" s="8"/>
      <c r="AX396" s="8"/>
      <c r="AY396" s="47"/>
      <c r="AZ396" s="47"/>
      <c r="BA396" s="8" t="s">
        <v>148</v>
      </c>
      <c r="BB396" s="8">
        <f>(275+111+2000)</f>
        <v>2386</v>
      </c>
      <c r="BC396" s="47"/>
      <c r="BD396" s="47"/>
      <c r="BE396" s="8"/>
      <c r="BF396" s="8"/>
      <c r="BG396" s="47"/>
      <c r="BH396" s="47"/>
      <c r="BI396" s="3"/>
      <c r="BJ396" s="3"/>
      <c r="BK396" s="48"/>
      <c r="BL396" s="47"/>
      <c r="BM396" s="24">
        <f t="shared" si="59"/>
        <v>4486</v>
      </c>
      <c r="BN396" s="28">
        <f t="shared" si="53"/>
        <v>-264534.61500000005</v>
      </c>
      <c r="BO396" s="2">
        <v>45429</v>
      </c>
    </row>
    <row r="397" spans="4:67" hidden="1" x14ac:dyDescent="0.25">
      <c r="D397" s="9" t="s">
        <v>27</v>
      </c>
      <c r="E397" s="2">
        <v>45430</v>
      </c>
      <c r="F397" s="38"/>
      <c r="G397" s="51"/>
      <c r="H397" s="4">
        <f t="shared" si="54"/>
        <v>2487.7249999999999</v>
      </c>
      <c r="I397" s="5">
        <v>1431</v>
      </c>
      <c r="J397" s="4">
        <f t="shared" si="55"/>
        <v>1056.7249999999999</v>
      </c>
      <c r="K397" s="4">
        <f t="shared" si="60"/>
        <v>-46290.085000000006</v>
      </c>
      <c r="L397" s="3"/>
      <c r="M397" s="3"/>
      <c r="N397" s="25">
        <f t="shared" si="56"/>
        <v>1431</v>
      </c>
      <c r="O397" s="28">
        <f t="shared" si="61"/>
        <v>-46290.085000000006</v>
      </c>
      <c r="P397" s="9" t="s">
        <v>27</v>
      </c>
      <c r="Q397" s="2">
        <v>45430</v>
      </c>
      <c r="R397" s="38"/>
      <c r="S397" s="52"/>
      <c r="T397" s="4">
        <f t="shared" si="57"/>
        <v>4301.1000000000004</v>
      </c>
      <c r="U397" s="5">
        <v>1340</v>
      </c>
      <c r="V397" s="4">
        <f t="shared" si="50"/>
        <v>2961.1000000000004</v>
      </c>
      <c r="W397" s="4">
        <f t="shared" si="62"/>
        <v>-42880.63499999998</v>
      </c>
      <c r="X397" s="3"/>
      <c r="Y397" s="3"/>
      <c r="Z397" s="25">
        <f t="shared" si="63"/>
        <v>1340</v>
      </c>
      <c r="AA397" s="72">
        <f t="shared" si="64"/>
        <v>-42880.63499999998</v>
      </c>
      <c r="AB397" s="9" t="s">
        <v>27</v>
      </c>
      <c r="AC397" s="19">
        <v>45430</v>
      </c>
      <c r="AD397" s="41"/>
      <c r="AE397" s="42"/>
      <c r="AF397" s="4">
        <f t="shared" si="52"/>
        <v>7744.625</v>
      </c>
      <c r="AG397" s="3"/>
      <c r="AH397" s="8">
        <v>1039.5999999999999</v>
      </c>
      <c r="AI397" s="4">
        <f t="shared" si="51"/>
        <v>6705.0249999999996</v>
      </c>
      <c r="AJ397" s="4">
        <f t="shared" si="58"/>
        <v>-257829.59000000005</v>
      </c>
      <c r="AK397" s="8" t="s">
        <v>89</v>
      </c>
      <c r="AL397" s="8">
        <f>(1000)</f>
        <v>1000</v>
      </c>
      <c r="AM397" s="47" t="s">
        <v>149</v>
      </c>
      <c r="AN397" s="47">
        <f>(375+325.81)</f>
        <v>700.81</v>
      </c>
      <c r="AO397" s="8"/>
      <c r="AP397" s="8"/>
      <c r="AQ397" s="47"/>
      <c r="AR397" s="47"/>
      <c r="AS397" s="8"/>
      <c r="AT397" s="8"/>
      <c r="AU397" s="47"/>
      <c r="AV397" s="47"/>
      <c r="AW397" s="8"/>
      <c r="AX397" s="8"/>
      <c r="AY397" s="47"/>
      <c r="AZ397" s="47"/>
      <c r="BA397" s="3" t="s">
        <v>150</v>
      </c>
      <c r="BB397" s="8">
        <f>(720+5000)</f>
        <v>5720</v>
      </c>
      <c r="BC397" s="47"/>
      <c r="BD397" s="47"/>
      <c r="BE397" s="8"/>
      <c r="BF397" s="8"/>
      <c r="BG397" s="47"/>
      <c r="BH397" s="47"/>
      <c r="BI397" s="8"/>
      <c r="BJ397" s="3"/>
      <c r="BK397" s="48"/>
      <c r="BL397" s="47"/>
      <c r="BM397" s="24">
        <f t="shared" si="59"/>
        <v>7420.8099999999995</v>
      </c>
      <c r="BN397" s="28">
        <f t="shared" si="53"/>
        <v>-265250.40000000008</v>
      </c>
      <c r="BO397" s="2">
        <v>45430</v>
      </c>
    </row>
    <row r="398" spans="4:67" hidden="1" x14ac:dyDescent="0.25">
      <c r="D398" s="9" t="s">
        <v>28</v>
      </c>
      <c r="E398" s="2">
        <v>45431</v>
      </c>
      <c r="F398" s="38"/>
      <c r="G398" s="51"/>
      <c r="H398" s="4">
        <f t="shared" si="54"/>
        <v>2072.5749999999998</v>
      </c>
      <c r="I398" s="5">
        <v>0</v>
      </c>
      <c r="J398" s="4">
        <f t="shared" si="55"/>
        <v>2072.5749999999998</v>
      </c>
      <c r="K398" s="4">
        <f t="shared" si="60"/>
        <v>-44217.510000000009</v>
      </c>
      <c r="L398" s="3"/>
      <c r="M398" s="3"/>
      <c r="N398" s="25">
        <f t="shared" si="56"/>
        <v>0</v>
      </c>
      <c r="O398" s="28">
        <f t="shared" si="61"/>
        <v>-44217.510000000009</v>
      </c>
      <c r="P398" s="9" t="s">
        <v>28</v>
      </c>
      <c r="Q398" s="2">
        <v>45431</v>
      </c>
      <c r="R398" s="38"/>
      <c r="S398" s="52"/>
      <c r="T398" s="4">
        <f t="shared" si="57"/>
        <v>4654.3500000000004</v>
      </c>
      <c r="U398" s="5"/>
      <c r="V398" s="4">
        <f t="shared" si="50"/>
        <v>4654.3500000000004</v>
      </c>
      <c r="W398" s="4">
        <f t="shared" si="62"/>
        <v>-38226.284999999982</v>
      </c>
      <c r="X398" s="3"/>
      <c r="Y398" s="3"/>
      <c r="Z398" s="25">
        <f t="shared" si="63"/>
        <v>0</v>
      </c>
      <c r="AA398" s="72">
        <f t="shared" si="64"/>
        <v>-38226.284999999982</v>
      </c>
      <c r="AB398" s="9" t="s">
        <v>28</v>
      </c>
      <c r="AC398" s="19">
        <v>45431</v>
      </c>
      <c r="AD398" s="41"/>
      <c r="AE398" s="42"/>
      <c r="AF398" s="4">
        <f t="shared" si="52"/>
        <v>7761.2250000000004</v>
      </c>
      <c r="AG398" s="3"/>
      <c r="AH398" s="8">
        <v>1098.5999999999999</v>
      </c>
      <c r="AI398" s="4">
        <f t="shared" si="51"/>
        <v>6662.625</v>
      </c>
      <c r="AJ398" s="4">
        <f t="shared" si="58"/>
        <v>-258587.77500000008</v>
      </c>
      <c r="AK398" s="8" t="s">
        <v>89</v>
      </c>
      <c r="AL398" s="8">
        <v>1000</v>
      </c>
      <c r="AM398" s="47"/>
      <c r="AN398" s="47"/>
      <c r="AO398" s="8"/>
      <c r="AP398" s="8"/>
      <c r="AQ398" s="47"/>
      <c r="AR398" s="47"/>
      <c r="AS398" s="8"/>
      <c r="AT398" s="8"/>
      <c r="AU398" s="47"/>
      <c r="AV398" s="47"/>
      <c r="AW398" s="8"/>
      <c r="AX398" s="8"/>
      <c r="AY398" s="47"/>
      <c r="AZ398" s="47"/>
      <c r="BA398" s="8"/>
      <c r="BB398" s="8"/>
      <c r="BC398" s="47"/>
      <c r="BD398" s="47"/>
      <c r="BE398" s="8"/>
      <c r="BF398" s="8"/>
      <c r="BG398" s="47"/>
      <c r="BH398" s="47"/>
      <c r="BI398" s="8"/>
      <c r="BJ398" s="3"/>
      <c r="BK398" s="48"/>
      <c r="BL398" s="47"/>
      <c r="BM398" s="24">
        <f t="shared" si="59"/>
        <v>1000</v>
      </c>
      <c r="BN398" s="28">
        <f t="shared" si="53"/>
        <v>-259587.77500000008</v>
      </c>
      <c r="BO398" s="2">
        <v>45431</v>
      </c>
    </row>
    <row r="399" spans="4:67" hidden="1" x14ac:dyDescent="0.25">
      <c r="D399" s="9" t="s">
        <v>29</v>
      </c>
      <c r="E399" s="2">
        <v>45432</v>
      </c>
      <c r="F399" s="38"/>
      <c r="G399" s="51"/>
      <c r="H399" s="4">
        <f t="shared" si="54"/>
        <v>1993.35</v>
      </c>
      <c r="I399" s="5">
        <v>0</v>
      </c>
      <c r="J399" s="4">
        <f t="shared" si="55"/>
        <v>1993.35</v>
      </c>
      <c r="K399" s="4">
        <f t="shared" si="60"/>
        <v>-42224.160000000011</v>
      </c>
      <c r="L399" s="3"/>
      <c r="M399" s="3"/>
      <c r="N399" s="25">
        <f t="shared" si="56"/>
        <v>0</v>
      </c>
      <c r="O399" s="28">
        <f t="shared" si="61"/>
        <v>-42224.160000000011</v>
      </c>
      <c r="P399" s="9" t="s">
        <v>29</v>
      </c>
      <c r="Q399" s="2">
        <v>45432</v>
      </c>
      <c r="R399" s="38"/>
      <c r="S399" s="52"/>
      <c r="T399" s="4">
        <f t="shared" si="57"/>
        <v>1965.15</v>
      </c>
      <c r="U399" s="5">
        <v>525</v>
      </c>
      <c r="V399" s="4">
        <f t="shared" ref="V399:V462" si="65">(S399+T399)-U399</f>
        <v>1440.15</v>
      </c>
      <c r="W399" s="4">
        <f t="shared" si="62"/>
        <v>-36786.13499999998</v>
      </c>
      <c r="X399" s="3" t="s">
        <v>153</v>
      </c>
      <c r="Y399" s="3">
        <v>16375</v>
      </c>
      <c r="Z399" s="25">
        <f t="shared" si="63"/>
        <v>16900</v>
      </c>
      <c r="AA399" s="72">
        <f t="shared" si="64"/>
        <v>-53161.13499999998</v>
      </c>
      <c r="AB399" s="9" t="s">
        <v>29</v>
      </c>
      <c r="AC399" s="19">
        <v>45432</v>
      </c>
      <c r="AD399" s="41"/>
      <c r="AE399" s="42"/>
      <c r="AF399" s="4">
        <f t="shared" si="52"/>
        <v>4395.2000000000007</v>
      </c>
      <c r="AG399" s="3"/>
      <c r="AH399" s="8">
        <v>660.6</v>
      </c>
      <c r="AI399" s="4">
        <f t="shared" ref="AI399:AI462" si="66">(AE399+AF399)-AH399</f>
        <v>3734.6000000000008</v>
      </c>
      <c r="AJ399" s="4">
        <f t="shared" si="58"/>
        <v>-255853.17500000008</v>
      </c>
      <c r="AK399" s="8" t="s">
        <v>151</v>
      </c>
      <c r="AL399" s="8">
        <f>(1000+3941.53)</f>
        <v>4941.5300000000007</v>
      </c>
      <c r="AM399" s="47"/>
      <c r="AN399" s="47"/>
      <c r="AO399" s="8"/>
      <c r="AP399" s="8"/>
      <c r="AQ399" s="47"/>
      <c r="AR399" s="47"/>
      <c r="AS399" s="8"/>
      <c r="AT399" s="8"/>
      <c r="AU399" s="47"/>
      <c r="AV399" s="47"/>
      <c r="AW399" s="8"/>
      <c r="AX399" s="8"/>
      <c r="AY399" s="47" t="s">
        <v>152</v>
      </c>
      <c r="AZ399" s="47">
        <f>(336.4)</f>
        <v>336.4</v>
      </c>
      <c r="BA399" s="3"/>
      <c r="BB399" s="8"/>
      <c r="BC399" s="47"/>
      <c r="BD399" s="47"/>
      <c r="BE399" s="8"/>
      <c r="BF399" s="8"/>
      <c r="BG399" s="47"/>
      <c r="BH399" s="47"/>
      <c r="BI399" s="8"/>
      <c r="BJ399" s="3"/>
      <c r="BK399" s="48"/>
      <c r="BL399" s="47"/>
      <c r="BM399" s="24">
        <f t="shared" si="59"/>
        <v>5277.93</v>
      </c>
      <c r="BN399" s="28">
        <f t="shared" si="53"/>
        <v>-261131.10500000007</v>
      </c>
      <c r="BO399" s="2">
        <v>45432</v>
      </c>
    </row>
    <row r="400" spans="4:67" hidden="1" x14ac:dyDescent="0.25">
      <c r="D400" s="9" t="s">
        <v>30</v>
      </c>
      <c r="E400" s="2">
        <v>45433</v>
      </c>
      <c r="F400" s="38"/>
      <c r="G400" s="51"/>
      <c r="H400" s="4">
        <f t="shared" si="54"/>
        <v>1745.625</v>
      </c>
      <c r="I400" s="5">
        <v>0</v>
      </c>
      <c r="J400" s="4">
        <f t="shared" si="55"/>
        <v>1745.625</v>
      </c>
      <c r="K400" s="4">
        <f t="shared" si="60"/>
        <v>-40478.535000000011</v>
      </c>
      <c r="L400" s="3" t="s">
        <v>14</v>
      </c>
      <c r="M400" s="3">
        <f>(9257)</f>
        <v>9257</v>
      </c>
      <c r="N400" s="25">
        <f t="shared" si="56"/>
        <v>9257</v>
      </c>
      <c r="O400" s="28">
        <f t="shared" si="61"/>
        <v>-49735.535000000011</v>
      </c>
      <c r="P400" s="9" t="s">
        <v>30</v>
      </c>
      <c r="Q400" s="2">
        <v>45433</v>
      </c>
      <c r="R400" s="38"/>
      <c r="S400" s="52"/>
      <c r="T400" s="4">
        <f t="shared" si="57"/>
        <v>1953.9</v>
      </c>
      <c r="U400" s="5"/>
      <c r="V400" s="4">
        <f t="shared" si="65"/>
        <v>1953.9</v>
      </c>
      <c r="W400" s="4">
        <f t="shared" si="62"/>
        <v>-51207.234999999979</v>
      </c>
      <c r="X400" s="3"/>
      <c r="Y400" s="3"/>
      <c r="Z400" s="25">
        <f t="shared" si="63"/>
        <v>0</v>
      </c>
      <c r="AA400" s="72">
        <f t="shared" si="64"/>
        <v>-51207.234999999979</v>
      </c>
      <c r="AB400" s="9" t="s">
        <v>30</v>
      </c>
      <c r="AC400" s="19">
        <v>45433</v>
      </c>
      <c r="AD400" s="41"/>
      <c r="AE400" s="42"/>
      <c r="AF400" s="4">
        <f t="shared" si="52"/>
        <v>4133.7250000000004</v>
      </c>
      <c r="AG400" s="3"/>
      <c r="AH400" s="8">
        <v>616</v>
      </c>
      <c r="AI400" s="4">
        <f t="shared" si="66"/>
        <v>3517.7250000000004</v>
      </c>
      <c r="AJ400" s="4">
        <f t="shared" si="58"/>
        <v>-257613.38000000006</v>
      </c>
      <c r="AK400" s="8" t="s">
        <v>93</v>
      </c>
      <c r="AL400" s="8">
        <f>(1000)</f>
        <v>1000</v>
      </c>
      <c r="AM400" s="47"/>
      <c r="AN400" s="47"/>
      <c r="AO400" s="8"/>
      <c r="AP400" s="8"/>
      <c r="AQ400" s="47"/>
      <c r="AR400" s="47"/>
      <c r="AS400" s="8"/>
      <c r="AT400" s="8"/>
      <c r="AU400" s="47"/>
      <c r="AV400" s="47"/>
      <c r="AW400" s="8"/>
      <c r="AX400" s="8"/>
      <c r="AY400" s="47"/>
      <c r="AZ400" s="47"/>
      <c r="BA400" s="8" t="s">
        <v>154</v>
      </c>
      <c r="BB400" s="8">
        <f>(3400)</f>
        <v>3400</v>
      </c>
      <c r="BC400" s="47"/>
      <c r="BD400" s="47"/>
      <c r="BE400" s="8"/>
      <c r="BF400" s="8"/>
      <c r="BG400" s="47"/>
      <c r="BH400" s="47"/>
      <c r="BI400" s="3"/>
      <c r="BJ400" s="3"/>
      <c r="BK400" s="47"/>
      <c r="BL400" s="47"/>
      <c r="BM400" s="24">
        <f t="shared" si="59"/>
        <v>4400</v>
      </c>
      <c r="BN400" s="28">
        <f t="shared" si="53"/>
        <v>-262013.38000000006</v>
      </c>
      <c r="BO400" s="2">
        <v>45433</v>
      </c>
    </row>
    <row r="401" spans="4:71" hidden="1" x14ac:dyDescent="0.25">
      <c r="D401" s="9" t="s">
        <v>31</v>
      </c>
      <c r="E401" s="2">
        <v>45434</v>
      </c>
      <c r="F401" s="38"/>
      <c r="G401" s="51"/>
      <c r="H401" s="4">
        <f t="shared" si="54"/>
        <v>1648.625</v>
      </c>
      <c r="I401" s="5">
        <v>0</v>
      </c>
      <c r="J401" s="4">
        <f t="shared" si="55"/>
        <v>1648.625</v>
      </c>
      <c r="K401" s="4">
        <f t="shared" si="60"/>
        <v>-48086.910000000011</v>
      </c>
      <c r="L401" s="3"/>
      <c r="M401" s="3"/>
      <c r="N401" s="25">
        <f t="shared" si="56"/>
        <v>0</v>
      </c>
      <c r="O401" s="28">
        <f t="shared" si="61"/>
        <v>-48086.910000000011</v>
      </c>
      <c r="P401" s="9" t="s">
        <v>31</v>
      </c>
      <c r="Q401" s="2">
        <v>45434</v>
      </c>
      <c r="R401" s="38"/>
      <c r="S401" s="52"/>
      <c r="T401" s="4">
        <f t="shared" si="57"/>
        <v>4273.2</v>
      </c>
      <c r="U401" s="5">
        <v>540</v>
      </c>
      <c r="V401" s="4">
        <f t="shared" si="65"/>
        <v>3733.2</v>
      </c>
      <c r="W401" s="4">
        <f t="shared" si="62"/>
        <v>-47474.034999999982</v>
      </c>
      <c r="X401" s="3"/>
      <c r="Y401" s="3"/>
      <c r="Z401" s="25">
        <f t="shared" si="63"/>
        <v>540</v>
      </c>
      <c r="AA401" s="72">
        <f t="shared" si="64"/>
        <v>-47474.034999999982</v>
      </c>
      <c r="AB401" s="9" t="s">
        <v>31</v>
      </c>
      <c r="AC401" s="19">
        <v>45434</v>
      </c>
      <c r="AD401" s="41"/>
      <c r="AE401" s="42"/>
      <c r="AF401" s="4">
        <f t="shared" si="52"/>
        <v>6871.4250000000002</v>
      </c>
      <c r="AG401" s="3"/>
      <c r="AH401" s="8">
        <v>673</v>
      </c>
      <c r="AI401" s="4">
        <f t="shared" si="66"/>
        <v>6198.4250000000002</v>
      </c>
      <c r="AJ401" s="4">
        <f t="shared" si="58"/>
        <v>-255814.95500000007</v>
      </c>
      <c r="AK401" s="8" t="s">
        <v>89</v>
      </c>
      <c r="AL401" s="8">
        <f>(1000)</f>
        <v>1000</v>
      </c>
      <c r="AM401" s="47"/>
      <c r="AN401" s="47"/>
      <c r="AO401" s="8"/>
      <c r="AP401" s="8"/>
      <c r="AQ401" s="47"/>
      <c r="AR401" s="47"/>
      <c r="AS401" s="8"/>
      <c r="AT401" s="8"/>
      <c r="AU401" s="47"/>
      <c r="AV401" s="47"/>
      <c r="AW401" s="8"/>
      <c r="AX401" s="8"/>
      <c r="AY401" s="47" t="s">
        <v>71</v>
      </c>
      <c r="AZ401" s="47">
        <f>(500)</f>
        <v>500</v>
      </c>
      <c r="BA401" s="8"/>
      <c r="BB401" s="8"/>
      <c r="BC401" s="47"/>
      <c r="BD401" s="47"/>
      <c r="BE401" s="8"/>
      <c r="BF401" s="8"/>
      <c r="BG401" s="47"/>
      <c r="BH401" s="47"/>
      <c r="BI401" s="3"/>
      <c r="BJ401" s="3"/>
      <c r="BK401" s="48"/>
      <c r="BL401" s="47"/>
      <c r="BM401" s="24">
        <f t="shared" si="59"/>
        <v>1500</v>
      </c>
      <c r="BN401" s="28">
        <f t="shared" si="53"/>
        <v>-257314.95500000007</v>
      </c>
      <c r="BO401" s="2">
        <v>45434</v>
      </c>
    </row>
    <row r="402" spans="4:71" hidden="1" x14ac:dyDescent="0.25">
      <c r="D402" s="9" t="s">
        <v>32</v>
      </c>
      <c r="E402" s="2">
        <v>45435</v>
      </c>
      <c r="F402" s="38"/>
      <c r="G402" s="51"/>
      <c r="H402" s="4">
        <f t="shared" si="54"/>
        <v>1489.7249999999999</v>
      </c>
      <c r="I402" s="5">
        <v>0</v>
      </c>
      <c r="J402" s="4">
        <f t="shared" si="55"/>
        <v>1489.7249999999999</v>
      </c>
      <c r="K402" s="4">
        <f t="shared" si="60"/>
        <v>-46597.185000000012</v>
      </c>
      <c r="L402" s="3"/>
      <c r="M402" s="3"/>
      <c r="N402" s="25">
        <f t="shared" si="56"/>
        <v>0</v>
      </c>
      <c r="O402" s="28">
        <f t="shared" si="61"/>
        <v>-46597.185000000012</v>
      </c>
      <c r="P402" s="9" t="s">
        <v>32</v>
      </c>
      <c r="Q402" s="2">
        <v>45435</v>
      </c>
      <c r="R402" s="38"/>
      <c r="S402" s="52"/>
      <c r="T402" s="4">
        <f t="shared" si="57"/>
        <v>2755.8</v>
      </c>
      <c r="U402" s="5"/>
      <c r="V402" s="4">
        <f t="shared" si="65"/>
        <v>2755.8</v>
      </c>
      <c r="W402" s="4">
        <f t="shared" si="62"/>
        <v>-44718.234999999979</v>
      </c>
      <c r="X402" s="3"/>
      <c r="Y402" s="3"/>
      <c r="Z402" s="25">
        <f t="shared" si="63"/>
        <v>0</v>
      </c>
      <c r="AA402" s="72">
        <f t="shared" si="64"/>
        <v>-44718.234999999979</v>
      </c>
      <c r="AB402" s="9" t="s">
        <v>32</v>
      </c>
      <c r="AC402" s="19">
        <v>45435</v>
      </c>
      <c r="AD402" s="41"/>
      <c r="AE402" s="42"/>
      <c r="AF402" s="4">
        <f t="shared" si="52"/>
        <v>4857.9250000000002</v>
      </c>
      <c r="AG402" s="3"/>
      <c r="AH402" s="8">
        <v>450</v>
      </c>
      <c r="AI402" s="4">
        <f t="shared" si="66"/>
        <v>4407.9250000000002</v>
      </c>
      <c r="AJ402" s="4">
        <f t="shared" si="58"/>
        <v>-252907.03000000009</v>
      </c>
      <c r="AK402" s="8" t="s">
        <v>89</v>
      </c>
      <c r="AL402" s="8">
        <f>(1000)</f>
        <v>1000</v>
      </c>
      <c r="AM402" s="47"/>
      <c r="AN402" s="47"/>
      <c r="AO402" s="8"/>
      <c r="AP402" s="8"/>
      <c r="AQ402" s="47"/>
      <c r="AR402" s="47"/>
      <c r="AS402" s="8"/>
      <c r="AT402" s="8"/>
      <c r="AU402" s="47"/>
      <c r="AV402" s="47"/>
      <c r="AW402" s="8"/>
      <c r="AX402" s="8"/>
      <c r="AY402" s="47"/>
      <c r="AZ402" s="47"/>
      <c r="BA402" s="8"/>
      <c r="BB402" s="8"/>
      <c r="BC402" s="47"/>
      <c r="BD402" s="47"/>
      <c r="BE402" s="8"/>
      <c r="BF402" s="8"/>
      <c r="BG402" s="47"/>
      <c r="BH402" s="47"/>
      <c r="BI402" s="8"/>
      <c r="BJ402" s="3"/>
      <c r="BK402" s="48"/>
      <c r="BL402" s="47"/>
      <c r="BM402" s="24">
        <f t="shared" si="59"/>
        <v>1000</v>
      </c>
      <c r="BN402" s="28">
        <f t="shared" si="53"/>
        <v>-253907.03000000009</v>
      </c>
      <c r="BO402" s="2">
        <v>45435</v>
      </c>
    </row>
    <row r="403" spans="4:71" hidden="1" x14ac:dyDescent="0.25">
      <c r="D403" s="9" t="s">
        <v>26</v>
      </c>
      <c r="E403" s="2">
        <v>45436</v>
      </c>
      <c r="F403" s="38"/>
      <c r="G403" s="51"/>
      <c r="H403" s="4">
        <f t="shared" si="54"/>
        <v>1465.5</v>
      </c>
      <c r="I403" s="5">
        <v>1080</v>
      </c>
      <c r="J403" s="4">
        <f t="shared" si="55"/>
        <v>385.5</v>
      </c>
      <c r="K403" s="4">
        <f t="shared" si="60"/>
        <v>-46211.685000000012</v>
      </c>
      <c r="L403" s="3"/>
      <c r="M403" s="3"/>
      <c r="N403" s="25">
        <f t="shared" si="56"/>
        <v>1080</v>
      </c>
      <c r="O403" s="28">
        <f t="shared" si="61"/>
        <v>-46211.685000000012</v>
      </c>
      <c r="P403" s="9" t="s">
        <v>26</v>
      </c>
      <c r="Q403" s="2">
        <v>45436</v>
      </c>
      <c r="R403" s="38"/>
      <c r="S403" s="52"/>
      <c r="T403" s="4">
        <f t="shared" si="57"/>
        <v>5184.9000000000005</v>
      </c>
      <c r="U403" s="5">
        <v>842</v>
      </c>
      <c r="V403" s="4">
        <f t="shared" si="65"/>
        <v>4342.9000000000005</v>
      </c>
      <c r="W403" s="4">
        <f t="shared" si="62"/>
        <v>-40375.334999999977</v>
      </c>
      <c r="X403" s="3"/>
      <c r="Y403" s="3"/>
      <c r="Z403" s="25">
        <f t="shared" si="63"/>
        <v>842</v>
      </c>
      <c r="AA403" s="72">
        <f t="shared" si="64"/>
        <v>-40375.334999999977</v>
      </c>
      <c r="AB403" s="9" t="s">
        <v>26</v>
      </c>
      <c r="AC403" s="19">
        <v>45436</v>
      </c>
      <c r="AD403" s="41"/>
      <c r="AE403" s="42"/>
      <c r="AF403" s="4">
        <f t="shared" si="52"/>
        <v>7802.5999999999995</v>
      </c>
      <c r="AG403" s="3"/>
      <c r="AH403" s="8">
        <v>1199.2</v>
      </c>
      <c r="AI403" s="4">
        <f t="shared" si="66"/>
        <v>6603.4</v>
      </c>
      <c r="AJ403" s="4">
        <f t="shared" si="58"/>
        <v>-247303.63000000009</v>
      </c>
      <c r="AK403" s="8" t="s">
        <v>89</v>
      </c>
      <c r="AL403" s="8">
        <f>(1000)</f>
        <v>1000</v>
      </c>
      <c r="AM403" s="47"/>
      <c r="AN403" s="47"/>
      <c r="AO403" s="8"/>
      <c r="AP403" s="8"/>
      <c r="AQ403" s="47"/>
      <c r="AR403" s="47"/>
      <c r="AS403" s="8"/>
      <c r="AT403" s="8"/>
      <c r="AU403" s="47"/>
      <c r="AV403" s="47"/>
      <c r="AW403" s="8"/>
      <c r="AX403" s="8"/>
      <c r="AY403" s="48" t="s">
        <v>71</v>
      </c>
      <c r="AZ403" s="47">
        <f>(700)</f>
        <v>700</v>
      </c>
      <c r="BA403" s="3" t="s">
        <v>155</v>
      </c>
      <c r="BB403" s="8">
        <f>(24744)</f>
        <v>24744</v>
      </c>
      <c r="BC403" s="47"/>
      <c r="BD403" s="47"/>
      <c r="BE403" s="8"/>
      <c r="BF403" s="8"/>
      <c r="BG403" s="47"/>
      <c r="BH403" s="47"/>
      <c r="BI403" s="8"/>
      <c r="BJ403" s="3"/>
      <c r="BK403" s="48"/>
      <c r="BL403" s="47"/>
      <c r="BM403" s="24">
        <f t="shared" si="59"/>
        <v>26444</v>
      </c>
      <c r="BN403" s="28">
        <f t="shared" si="53"/>
        <v>-273747.63000000012</v>
      </c>
      <c r="BO403" s="2">
        <v>45436</v>
      </c>
    </row>
    <row r="404" spans="4:71" hidden="1" x14ac:dyDescent="0.25">
      <c r="D404" s="9" t="s">
        <v>27</v>
      </c>
      <c r="E404" s="2">
        <v>45437</v>
      </c>
      <c r="F404" s="38"/>
      <c r="G404" s="51"/>
      <c r="H404" s="4">
        <f t="shared" si="54"/>
        <v>1580.75</v>
      </c>
      <c r="I404" s="5">
        <v>1547</v>
      </c>
      <c r="J404" s="4">
        <f t="shared" si="55"/>
        <v>33.75</v>
      </c>
      <c r="K404" s="4">
        <f t="shared" si="60"/>
        <v>-46177.935000000012</v>
      </c>
      <c r="L404" s="3"/>
      <c r="M404" s="3"/>
      <c r="N404" s="25">
        <f t="shared" si="56"/>
        <v>1547</v>
      </c>
      <c r="O404" s="28">
        <f t="shared" si="61"/>
        <v>-46177.935000000012</v>
      </c>
      <c r="P404" s="9" t="s">
        <v>27</v>
      </c>
      <c r="Q404" s="2">
        <v>45437</v>
      </c>
      <c r="R404" s="38"/>
      <c r="S404" s="52"/>
      <c r="T404" s="4">
        <f t="shared" si="57"/>
        <v>3553.2000000000003</v>
      </c>
      <c r="U404" s="5">
        <v>1350</v>
      </c>
      <c r="V404" s="4">
        <f t="shared" si="65"/>
        <v>2203.2000000000003</v>
      </c>
      <c r="W404" s="4">
        <f t="shared" si="62"/>
        <v>-38172.13499999998</v>
      </c>
      <c r="X404" s="3"/>
      <c r="Y404" s="3"/>
      <c r="Z404" s="25">
        <f t="shared" si="63"/>
        <v>1350</v>
      </c>
      <c r="AA404" s="72">
        <f t="shared" si="64"/>
        <v>-38172.13499999998</v>
      </c>
      <c r="AB404" s="9" t="s">
        <v>27</v>
      </c>
      <c r="AC404" s="19">
        <v>45437</v>
      </c>
      <c r="AD404" s="41"/>
      <c r="AE404" s="42"/>
      <c r="AF404" s="4">
        <f t="shared" si="52"/>
        <v>5923.5499999999993</v>
      </c>
      <c r="AG404" s="3"/>
      <c r="AH404" s="8">
        <v>928</v>
      </c>
      <c r="AI404" s="4">
        <f t="shared" si="66"/>
        <v>4995.5499999999993</v>
      </c>
      <c r="AJ404" s="4">
        <f t="shared" si="58"/>
        <v>-268752.08000000013</v>
      </c>
      <c r="AK404" s="8" t="s">
        <v>130</v>
      </c>
      <c r="AL404" s="8">
        <f>(1000+4766)</f>
        <v>5766</v>
      </c>
      <c r="AM404" s="47"/>
      <c r="AN404" s="47"/>
      <c r="AO404" s="8"/>
      <c r="AP404" s="8"/>
      <c r="AQ404" s="47"/>
      <c r="AR404" s="47"/>
      <c r="AS404" s="8"/>
      <c r="AT404" s="8"/>
      <c r="AU404" s="47"/>
      <c r="AV404" s="47"/>
      <c r="AW404" s="8"/>
      <c r="AX404" s="8"/>
      <c r="AY404" s="48" t="s">
        <v>156</v>
      </c>
      <c r="AZ404" s="47">
        <f>(60.37)</f>
        <v>60.37</v>
      </c>
      <c r="BA404" s="8" t="s">
        <v>157</v>
      </c>
      <c r="BB404" s="8">
        <f>(2000)</f>
        <v>2000</v>
      </c>
      <c r="BC404" s="47"/>
      <c r="BD404" s="47"/>
      <c r="BE404" s="8"/>
      <c r="BF404" s="8"/>
      <c r="BG404" s="47"/>
      <c r="BH404" s="47"/>
      <c r="BI404" s="8"/>
      <c r="BJ404" s="3"/>
      <c r="BK404" s="47"/>
      <c r="BL404" s="47"/>
      <c r="BM404" s="24">
        <f t="shared" si="59"/>
        <v>7826.37</v>
      </c>
      <c r="BN404" s="28">
        <f t="shared" si="53"/>
        <v>-276578.45000000013</v>
      </c>
      <c r="BO404" s="2">
        <v>45437</v>
      </c>
    </row>
    <row r="405" spans="4:71" hidden="1" x14ac:dyDescent="0.25">
      <c r="D405" s="9" t="s">
        <v>28</v>
      </c>
      <c r="E405" s="2">
        <v>45438</v>
      </c>
      <c r="F405" s="38"/>
      <c r="G405" s="51"/>
      <c r="H405" s="4">
        <f t="shared" si="54"/>
        <v>1893.2</v>
      </c>
      <c r="I405" s="5">
        <v>0</v>
      </c>
      <c r="J405" s="4">
        <f t="shared" si="55"/>
        <v>1893.2</v>
      </c>
      <c r="K405" s="4">
        <f t="shared" si="60"/>
        <v>-44284.735000000015</v>
      </c>
      <c r="L405" s="3"/>
      <c r="M405" s="3"/>
      <c r="N405" s="25">
        <f t="shared" si="56"/>
        <v>0</v>
      </c>
      <c r="O405" s="28">
        <f t="shared" si="61"/>
        <v>-44284.735000000015</v>
      </c>
      <c r="P405" s="9" t="s">
        <v>28</v>
      </c>
      <c r="Q405" s="2">
        <v>45438</v>
      </c>
      <c r="R405" s="38"/>
      <c r="S405" s="52"/>
      <c r="T405" s="4">
        <f t="shared" si="57"/>
        <v>3422.25</v>
      </c>
      <c r="U405" s="5"/>
      <c r="V405" s="4">
        <f t="shared" si="65"/>
        <v>3422.25</v>
      </c>
      <c r="W405" s="4">
        <f t="shared" si="62"/>
        <v>-34749.88499999998</v>
      </c>
      <c r="X405" s="3"/>
      <c r="Y405" s="3"/>
      <c r="Z405" s="25">
        <f t="shared" si="63"/>
        <v>0</v>
      </c>
      <c r="AA405" s="72">
        <f t="shared" si="64"/>
        <v>-34749.88499999998</v>
      </c>
      <c r="AB405" s="9" t="s">
        <v>28</v>
      </c>
      <c r="AC405" s="19">
        <v>45438</v>
      </c>
      <c r="AD405" s="41"/>
      <c r="AE405" s="42"/>
      <c r="AF405" s="4">
        <f t="shared" si="52"/>
        <v>6075.9499999999989</v>
      </c>
      <c r="AG405" s="3"/>
      <c r="AH405" s="8">
        <v>527.6</v>
      </c>
      <c r="AI405" s="4">
        <f t="shared" si="66"/>
        <v>5548.3499999999985</v>
      </c>
      <c r="AJ405" s="4">
        <f t="shared" si="58"/>
        <v>-271030.10000000015</v>
      </c>
      <c r="AK405" s="8" t="s">
        <v>89</v>
      </c>
      <c r="AL405" s="8">
        <f>(1000)</f>
        <v>1000</v>
      </c>
      <c r="AM405" s="47"/>
      <c r="AN405" s="47"/>
      <c r="AO405" s="8"/>
      <c r="AP405" s="8"/>
      <c r="AQ405" s="47"/>
      <c r="AR405" s="47"/>
      <c r="AS405" s="8"/>
      <c r="AT405" s="8"/>
      <c r="AU405" s="47"/>
      <c r="AV405" s="47"/>
      <c r="AW405" s="8"/>
      <c r="AX405" s="8"/>
      <c r="AY405" s="47"/>
      <c r="AZ405" s="47"/>
      <c r="BA405" s="3"/>
      <c r="BB405" s="8"/>
      <c r="BC405" s="47"/>
      <c r="BD405" s="47"/>
      <c r="BE405" s="8"/>
      <c r="BF405" s="8"/>
      <c r="BG405" s="47"/>
      <c r="BH405" s="47"/>
      <c r="BI405" s="8"/>
      <c r="BJ405" s="3"/>
      <c r="BK405" s="47" t="s">
        <v>46</v>
      </c>
      <c r="BL405" s="47">
        <f>(3000)</f>
        <v>3000</v>
      </c>
      <c r="BM405" s="24">
        <f t="shared" si="59"/>
        <v>4000</v>
      </c>
      <c r="BN405" s="28">
        <f t="shared" si="53"/>
        <v>-275030.10000000015</v>
      </c>
      <c r="BO405" s="2">
        <v>45438</v>
      </c>
    </row>
    <row r="406" spans="4:71" hidden="1" x14ac:dyDescent="0.25">
      <c r="D406" s="9" t="s">
        <v>29</v>
      </c>
      <c r="E406" s="2">
        <v>45439</v>
      </c>
      <c r="F406" s="38"/>
      <c r="G406" s="51"/>
      <c r="H406" s="4">
        <f t="shared" si="54"/>
        <v>2768.4250000000002</v>
      </c>
      <c r="I406" s="5">
        <v>1000</v>
      </c>
      <c r="J406" s="4">
        <f t="shared" si="55"/>
        <v>1768.4250000000002</v>
      </c>
      <c r="K406" s="4">
        <f t="shared" si="60"/>
        <v>-42516.310000000012</v>
      </c>
      <c r="L406" s="3"/>
      <c r="M406" s="3"/>
      <c r="N406" s="25">
        <f t="shared" si="56"/>
        <v>1000</v>
      </c>
      <c r="O406" s="28">
        <f t="shared" si="61"/>
        <v>-42516.310000000012</v>
      </c>
      <c r="P406" s="9" t="s">
        <v>29</v>
      </c>
      <c r="Q406" s="2">
        <v>45439</v>
      </c>
      <c r="R406" s="38"/>
      <c r="S406" s="52"/>
      <c r="T406" s="4">
        <f t="shared" si="57"/>
        <v>3888.4500000000003</v>
      </c>
      <c r="U406" s="5"/>
      <c r="V406" s="4">
        <f t="shared" si="65"/>
        <v>3888.4500000000003</v>
      </c>
      <c r="W406" s="4">
        <f t="shared" si="62"/>
        <v>-30861.434999999979</v>
      </c>
      <c r="X406" s="3"/>
      <c r="Y406" s="3"/>
      <c r="Z406" s="25">
        <f t="shared" si="63"/>
        <v>0</v>
      </c>
      <c r="AA406" s="72">
        <f t="shared" si="64"/>
        <v>-30861.434999999979</v>
      </c>
      <c r="AB406" s="9" t="s">
        <v>29</v>
      </c>
      <c r="AC406" s="19">
        <v>45439</v>
      </c>
      <c r="AD406" s="41"/>
      <c r="AE406" s="42"/>
      <c r="AF406" s="4">
        <f t="shared" si="52"/>
        <v>7520.9749999999985</v>
      </c>
      <c r="AG406" s="3"/>
      <c r="AH406" s="8">
        <v>1383.8</v>
      </c>
      <c r="AI406" s="4">
        <f t="shared" si="66"/>
        <v>6137.1749999999984</v>
      </c>
      <c r="AJ406" s="4">
        <f t="shared" si="58"/>
        <v>-268892.92500000016</v>
      </c>
      <c r="AK406" s="8" t="s">
        <v>158</v>
      </c>
      <c r="AL406" s="8">
        <f>(1000+2000)</f>
        <v>3000</v>
      </c>
      <c r="AM406" s="47"/>
      <c r="AN406" s="47"/>
      <c r="AO406" s="8"/>
      <c r="AP406" s="8"/>
      <c r="AQ406" s="47"/>
      <c r="AR406" s="47"/>
      <c r="AS406" s="8"/>
      <c r="AT406" s="8"/>
      <c r="AU406" s="47"/>
      <c r="AV406" s="47"/>
      <c r="AW406" s="8"/>
      <c r="AX406" s="8"/>
      <c r="AY406" s="47" t="s">
        <v>71</v>
      </c>
      <c r="AZ406" s="47">
        <f>(200)</f>
        <v>200</v>
      </c>
      <c r="BA406" s="8"/>
      <c r="BB406" s="8"/>
      <c r="BC406" s="47"/>
      <c r="BD406" s="47"/>
      <c r="BE406" s="8"/>
      <c r="BF406" s="8"/>
      <c r="BG406" s="47"/>
      <c r="BH406" s="47"/>
      <c r="BI406" s="8"/>
      <c r="BJ406" s="3"/>
      <c r="BK406" s="47"/>
      <c r="BL406" s="47"/>
      <c r="BM406" s="24">
        <f t="shared" si="59"/>
        <v>3200</v>
      </c>
      <c r="BN406" s="28">
        <f t="shared" si="53"/>
        <v>-272092.92500000016</v>
      </c>
      <c r="BO406" s="2">
        <v>45439</v>
      </c>
    </row>
    <row r="407" spans="4:71" hidden="1" x14ac:dyDescent="0.25">
      <c r="D407" s="9" t="s">
        <v>30</v>
      </c>
      <c r="E407" s="2">
        <v>45440</v>
      </c>
      <c r="F407" s="38"/>
      <c r="G407" s="51"/>
      <c r="H407" s="4">
        <f t="shared" si="54"/>
        <v>1836.45</v>
      </c>
      <c r="I407" s="5">
        <v>6342.41</v>
      </c>
      <c r="J407" s="4">
        <f t="shared" si="55"/>
        <v>-4505.96</v>
      </c>
      <c r="K407" s="4">
        <f t="shared" si="60"/>
        <v>-47022.270000000011</v>
      </c>
      <c r="L407" s="3"/>
      <c r="M407" s="3"/>
      <c r="N407" s="25">
        <f t="shared" si="56"/>
        <v>6342.41</v>
      </c>
      <c r="O407" s="28">
        <f t="shared" si="61"/>
        <v>-47022.270000000011</v>
      </c>
      <c r="P407" s="9" t="s">
        <v>30</v>
      </c>
      <c r="Q407" s="2">
        <v>45440</v>
      </c>
      <c r="R407" s="38"/>
      <c r="S407" s="52"/>
      <c r="T407" s="4">
        <f t="shared" si="57"/>
        <v>2968.65</v>
      </c>
      <c r="U407" s="5">
        <v>830</v>
      </c>
      <c r="V407" s="4">
        <f t="shared" si="65"/>
        <v>2138.65</v>
      </c>
      <c r="W407" s="4">
        <f t="shared" si="62"/>
        <v>-28722.784999999978</v>
      </c>
      <c r="X407" s="3"/>
      <c r="Y407" s="3"/>
      <c r="Z407" s="25">
        <f t="shared" si="63"/>
        <v>830</v>
      </c>
      <c r="AA407" s="72">
        <f t="shared" si="64"/>
        <v>-28722.784999999978</v>
      </c>
      <c r="AB407" s="9" t="s">
        <v>30</v>
      </c>
      <c r="AC407" s="19">
        <v>45440</v>
      </c>
      <c r="AD407" s="41"/>
      <c r="AE407" s="42"/>
      <c r="AF407" s="4">
        <f t="shared" si="52"/>
        <v>5464.7999999999993</v>
      </c>
      <c r="AG407" s="3"/>
      <c r="AH407" s="8">
        <v>744.1</v>
      </c>
      <c r="AI407" s="4">
        <f t="shared" si="66"/>
        <v>4720.6999999999989</v>
      </c>
      <c r="AJ407" s="4">
        <f t="shared" si="58"/>
        <v>-267372.22500000015</v>
      </c>
      <c r="AK407" s="8" t="s">
        <v>89</v>
      </c>
      <c r="AL407" s="8">
        <f>(1000)</f>
        <v>1000</v>
      </c>
      <c r="AM407" s="47"/>
      <c r="AN407" s="47"/>
      <c r="AO407" s="8"/>
      <c r="AP407" s="8"/>
      <c r="AQ407" s="47"/>
      <c r="AR407" s="47"/>
      <c r="AS407" s="8"/>
      <c r="AT407" s="8"/>
      <c r="AU407" s="47"/>
      <c r="AV407" s="47"/>
      <c r="AW407" s="8"/>
      <c r="AX407" s="8"/>
      <c r="AY407" s="47"/>
      <c r="AZ407" s="47"/>
      <c r="BA407" s="3"/>
      <c r="BB407" s="8"/>
      <c r="BC407" s="47"/>
      <c r="BD407" s="47"/>
      <c r="BE407" s="8"/>
      <c r="BF407" s="8"/>
      <c r="BG407" s="47"/>
      <c r="BH407" s="47"/>
      <c r="BI407" s="3"/>
      <c r="BJ407" s="3"/>
      <c r="BK407" s="48"/>
      <c r="BL407" s="47"/>
      <c r="BM407" s="24">
        <f t="shared" si="59"/>
        <v>1000</v>
      </c>
      <c r="BN407" s="28">
        <f t="shared" si="53"/>
        <v>-268372.22500000015</v>
      </c>
      <c r="BO407" s="2">
        <v>45440</v>
      </c>
    </row>
    <row r="408" spans="4:71" hidden="1" x14ac:dyDescent="0.25">
      <c r="D408" s="9" t="s">
        <v>31</v>
      </c>
      <c r="E408" s="2">
        <v>45441</v>
      </c>
      <c r="F408" s="38"/>
      <c r="G408" s="51"/>
      <c r="H408" s="4">
        <f t="shared" si="54"/>
        <v>2388.5500000000002</v>
      </c>
      <c r="I408" s="5">
        <v>1539.5</v>
      </c>
      <c r="J408" s="4">
        <f t="shared" si="55"/>
        <v>849.05000000000018</v>
      </c>
      <c r="K408" s="4">
        <f t="shared" si="60"/>
        <v>-46173.220000000008</v>
      </c>
      <c r="L408" s="3"/>
      <c r="M408" s="3"/>
      <c r="N408" s="25">
        <f t="shared" si="56"/>
        <v>1539.5</v>
      </c>
      <c r="O408" s="28">
        <f t="shared" si="61"/>
        <v>-46173.220000000008</v>
      </c>
      <c r="P408" s="9" t="s">
        <v>31</v>
      </c>
      <c r="Q408" s="2">
        <v>45441</v>
      </c>
      <c r="R408" s="38"/>
      <c r="S408" s="52"/>
      <c r="T408" s="4">
        <f t="shared" si="57"/>
        <v>3055.5</v>
      </c>
      <c r="U408" s="5">
        <v>717</v>
      </c>
      <c r="V408" s="4">
        <f t="shared" si="65"/>
        <v>2338.5</v>
      </c>
      <c r="W408" s="4">
        <f t="shared" si="62"/>
        <v>-26384.284999999978</v>
      </c>
      <c r="X408" s="3"/>
      <c r="Y408" s="3"/>
      <c r="Z408" s="25">
        <f t="shared" si="63"/>
        <v>717</v>
      </c>
      <c r="AA408" s="72">
        <f t="shared" si="64"/>
        <v>-26384.284999999978</v>
      </c>
      <c r="AB408" s="9" t="s">
        <v>31</v>
      </c>
      <c r="AC408" s="19">
        <v>45441</v>
      </c>
      <c r="AD408" s="41"/>
      <c r="AE408" s="42"/>
      <c r="AF408" s="4">
        <f t="shared" si="52"/>
        <v>6123.0499999999993</v>
      </c>
      <c r="AG408" s="3"/>
      <c r="AH408" s="8">
        <v>1439.9</v>
      </c>
      <c r="AI408" s="4">
        <f t="shared" si="66"/>
        <v>4683.1499999999996</v>
      </c>
      <c r="AJ408" s="4">
        <f t="shared" si="58"/>
        <v>-263689.07500000013</v>
      </c>
      <c r="AK408" s="8" t="s">
        <v>89</v>
      </c>
      <c r="AL408" s="8">
        <f>(1000)</f>
        <v>1000</v>
      </c>
      <c r="AM408" s="47" t="s">
        <v>161</v>
      </c>
      <c r="AN408" s="47">
        <f>(13300)</f>
        <v>13300</v>
      </c>
      <c r="AO408" s="8"/>
      <c r="AP408" s="8"/>
      <c r="AQ408" s="47"/>
      <c r="AR408" s="47"/>
      <c r="AS408" s="8"/>
      <c r="AT408" s="8"/>
      <c r="AU408" s="47"/>
      <c r="AV408" s="47"/>
      <c r="AW408" s="8"/>
      <c r="AX408" s="8"/>
      <c r="AY408" s="47" t="s">
        <v>160</v>
      </c>
      <c r="AZ408" s="47">
        <f>(25)</f>
        <v>25</v>
      </c>
      <c r="BA408" s="8" t="s">
        <v>159</v>
      </c>
      <c r="BB408" s="8">
        <f>(1000)</f>
        <v>1000</v>
      </c>
      <c r="BC408" s="47"/>
      <c r="BD408" s="47"/>
      <c r="BE408" s="8"/>
      <c r="BF408" s="8"/>
      <c r="BG408" s="47"/>
      <c r="BH408" s="47"/>
      <c r="BI408" s="3"/>
      <c r="BJ408" s="3"/>
      <c r="BK408" s="48"/>
      <c r="BL408" s="47"/>
      <c r="BM408" s="24">
        <f t="shared" si="59"/>
        <v>15325</v>
      </c>
      <c r="BN408" s="28">
        <f t="shared" si="53"/>
        <v>-279014.07500000013</v>
      </c>
      <c r="BO408" s="2">
        <v>45441</v>
      </c>
    </row>
    <row r="409" spans="4:71" hidden="1" x14ac:dyDescent="0.25">
      <c r="D409" s="9" t="s">
        <v>32</v>
      </c>
      <c r="E409" s="2">
        <v>45442</v>
      </c>
      <c r="F409" s="38"/>
      <c r="G409" s="51"/>
      <c r="H409" s="4">
        <f t="shared" si="54"/>
        <v>2319.2750000000001</v>
      </c>
      <c r="I409" s="5">
        <v>656.5</v>
      </c>
      <c r="J409" s="4">
        <f t="shared" si="55"/>
        <v>1662.7750000000001</v>
      </c>
      <c r="K409" s="4">
        <f t="shared" si="60"/>
        <v>-44510.445000000007</v>
      </c>
      <c r="L409" s="3" t="s">
        <v>9</v>
      </c>
      <c r="M409" s="3">
        <f>(1500)</f>
        <v>1500</v>
      </c>
      <c r="N409" s="25">
        <f t="shared" si="56"/>
        <v>2156.5</v>
      </c>
      <c r="O409" s="28">
        <f t="shared" si="61"/>
        <v>-46010.445000000007</v>
      </c>
      <c r="P409" s="9" t="s">
        <v>32</v>
      </c>
      <c r="Q409" s="2">
        <v>45442</v>
      </c>
      <c r="R409" s="38"/>
      <c r="S409" s="52"/>
      <c r="T409" s="4">
        <f t="shared" si="57"/>
        <v>5108.8500000000004</v>
      </c>
      <c r="U409" s="5"/>
      <c r="V409" s="4">
        <f t="shared" si="65"/>
        <v>5108.8500000000004</v>
      </c>
      <c r="W409" s="4">
        <f t="shared" si="62"/>
        <v>-21275.434999999976</v>
      </c>
      <c r="X409" s="3"/>
      <c r="Y409" s="3"/>
      <c r="Z409" s="25">
        <f t="shared" si="63"/>
        <v>0</v>
      </c>
      <c r="AA409" s="72">
        <f t="shared" si="64"/>
        <v>-21275.434999999976</v>
      </c>
      <c r="AB409" s="9" t="s">
        <v>32</v>
      </c>
      <c r="AC409" s="19">
        <v>45442</v>
      </c>
      <c r="AD409" s="41"/>
      <c r="AE409" s="42"/>
      <c r="AF409" s="4">
        <f t="shared" si="52"/>
        <v>8563.4249999999993</v>
      </c>
      <c r="AG409" s="3"/>
      <c r="AH409" s="8">
        <v>2087.6</v>
      </c>
      <c r="AI409" s="4">
        <f t="shared" si="66"/>
        <v>6475.8249999999989</v>
      </c>
      <c r="AJ409" s="4">
        <f t="shared" si="58"/>
        <v>-272538.25000000012</v>
      </c>
      <c r="AK409" s="8" t="s">
        <v>89</v>
      </c>
      <c r="AL409" s="8">
        <f>(1000)</f>
        <v>1000</v>
      </c>
      <c r="AM409" s="47" t="s">
        <v>162</v>
      </c>
      <c r="AN409" s="47">
        <f>(1000)</f>
        <v>1000</v>
      </c>
      <c r="AO409" s="8"/>
      <c r="AP409" s="8"/>
      <c r="AQ409" s="47"/>
      <c r="AR409" s="47"/>
      <c r="AS409" s="8"/>
      <c r="AT409" s="8"/>
      <c r="AU409" s="47"/>
      <c r="AV409" s="47"/>
      <c r="AW409" s="8"/>
      <c r="AX409" s="8"/>
      <c r="AY409" s="47"/>
      <c r="AZ409" s="47"/>
      <c r="BA409" s="3"/>
      <c r="BB409" s="8"/>
      <c r="BC409" s="47"/>
      <c r="BD409" s="47"/>
      <c r="BE409" s="8"/>
      <c r="BF409" s="8"/>
      <c r="BG409" s="47"/>
      <c r="BH409" s="47"/>
      <c r="BI409" s="8"/>
      <c r="BJ409" s="3"/>
      <c r="BK409" s="48"/>
      <c r="BL409" s="47"/>
      <c r="BM409" s="24">
        <f t="shared" si="59"/>
        <v>2000</v>
      </c>
      <c r="BN409" s="28">
        <f t="shared" si="53"/>
        <v>-274538.25000000012</v>
      </c>
      <c r="BO409" s="2">
        <v>45442</v>
      </c>
    </row>
    <row r="410" spans="4:71" s="13" customFormat="1" hidden="1" x14ac:dyDescent="0.25">
      <c r="D410" s="13" t="s">
        <v>26</v>
      </c>
      <c r="E410" s="10">
        <v>45443</v>
      </c>
      <c r="F410" s="10"/>
      <c r="G410" s="54"/>
      <c r="H410" s="11">
        <f t="shared" si="54"/>
        <v>1492.875</v>
      </c>
      <c r="I410" s="12">
        <v>2156</v>
      </c>
      <c r="J410" s="11">
        <f t="shared" si="55"/>
        <v>-663.125</v>
      </c>
      <c r="K410" s="11">
        <f t="shared" si="60"/>
        <v>-46673.570000000007</v>
      </c>
      <c r="L410" s="11"/>
      <c r="M410" s="11"/>
      <c r="N410" s="26">
        <f t="shared" si="56"/>
        <v>2156</v>
      </c>
      <c r="O410" s="11">
        <f t="shared" si="61"/>
        <v>-46673.570000000007</v>
      </c>
      <c r="P410" s="13" t="s">
        <v>26</v>
      </c>
      <c r="Q410" s="10">
        <v>45443</v>
      </c>
      <c r="R410" s="10"/>
      <c r="S410" s="53"/>
      <c r="T410" s="11">
        <f t="shared" si="57"/>
        <v>3502.8</v>
      </c>
      <c r="U410" s="12">
        <v>570</v>
      </c>
      <c r="V410" s="11">
        <f t="shared" si="65"/>
        <v>2932.8</v>
      </c>
      <c r="W410" s="11">
        <f t="shared" si="62"/>
        <v>-18342.634999999977</v>
      </c>
      <c r="X410" s="11"/>
      <c r="Y410" s="11"/>
      <c r="Z410" s="26">
        <f t="shared" si="63"/>
        <v>570</v>
      </c>
      <c r="AA410" s="53">
        <f t="shared" si="64"/>
        <v>-18342.634999999977</v>
      </c>
      <c r="AB410" s="13" t="s">
        <v>26</v>
      </c>
      <c r="AC410" s="20">
        <v>45443</v>
      </c>
      <c r="AD410" s="14"/>
      <c r="AE410" s="27"/>
      <c r="AF410" s="11">
        <f t="shared" si="52"/>
        <v>5774.0749999999998</v>
      </c>
      <c r="AG410" s="11"/>
      <c r="AH410" s="15">
        <v>870.2</v>
      </c>
      <c r="AI410" s="11">
        <f t="shared" si="66"/>
        <v>4903.875</v>
      </c>
      <c r="AJ410" s="11">
        <f t="shared" si="58"/>
        <v>-269634.37500000012</v>
      </c>
      <c r="AK410" s="15" t="s">
        <v>89</v>
      </c>
      <c r="AL410" s="15">
        <f>(1000)</f>
        <v>1000</v>
      </c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1"/>
      <c r="BB410" s="15"/>
      <c r="BC410" s="15"/>
      <c r="BD410" s="15"/>
      <c r="BE410" s="15"/>
      <c r="BF410" s="15"/>
      <c r="BG410" s="15"/>
      <c r="BH410" s="15"/>
      <c r="BI410" s="15"/>
      <c r="BJ410" s="11"/>
      <c r="BK410" s="15"/>
      <c r="BL410" s="15"/>
      <c r="BM410" s="23">
        <f t="shared" si="59"/>
        <v>1000</v>
      </c>
      <c r="BN410" s="11">
        <f t="shared" si="53"/>
        <v>-270634.37500000012</v>
      </c>
      <c r="BO410" s="10">
        <v>45443</v>
      </c>
    </row>
    <row r="411" spans="4:71" hidden="1" x14ac:dyDescent="0.25">
      <c r="D411" s="9" t="s">
        <v>27</v>
      </c>
      <c r="E411" s="2">
        <v>45444</v>
      </c>
      <c r="F411" s="38"/>
      <c r="G411" s="52"/>
      <c r="H411" s="4">
        <f t="shared" si="54"/>
        <v>3573.2249999999999</v>
      </c>
      <c r="I411" s="5">
        <v>1345</v>
      </c>
      <c r="J411" s="4">
        <f t="shared" si="55"/>
        <v>2228.2249999999999</v>
      </c>
      <c r="K411" s="4">
        <f t="shared" si="60"/>
        <v>-44445.345000000008</v>
      </c>
      <c r="L411" s="3"/>
      <c r="M411" s="3"/>
      <c r="N411" s="33">
        <f t="shared" si="56"/>
        <v>1345</v>
      </c>
      <c r="O411" s="28">
        <f t="shared" si="61"/>
        <v>-44445.345000000008</v>
      </c>
      <c r="P411" s="9" t="s">
        <v>27</v>
      </c>
      <c r="Q411" s="2">
        <v>45444</v>
      </c>
      <c r="R411" s="38"/>
      <c r="S411" s="52"/>
      <c r="T411" s="4">
        <f t="shared" si="57"/>
        <v>4519.8</v>
      </c>
      <c r="U411" s="5">
        <v>1645.15</v>
      </c>
      <c r="V411" s="4">
        <f t="shared" si="65"/>
        <v>2874.65</v>
      </c>
      <c r="W411" s="4">
        <f t="shared" si="62"/>
        <v>-15467.984999999977</v>
      </c>
      <c r="X411" s="3" t="s">
        <v>112</v>
      </c>
      <c r="Y411" s="3">
        <f>(25773)</f>
        <v>25773</v>
      </c>
      <c r="Z411" s="25">
        <f t="shared" si="63"/>
        <v>27418.15</v>
      </c>
      <c r="AA411" s="72">
        <f t="shared" si="64"/>
        <v>-41240.984999999979</v>
      </c>
      <c r="AB411" s="9" t="s">
        <v>27</v>
      </c>
      <c r="AC411" s="19">
        <v>45444</v>
      </c>
      <c r="AD411" s="41"/>
      <c r="AE411" s="42"/>
      <c r="AF411" s="4">
        <f t="shared" si="52"/>
        <v>9097.4249999999993</v>
      </c>
      <c r="AG411" s="3"/>
      <c r="AH411" s="8">
        <v>1030.95</v>
      </c>
      <c r="AI411" s="4">
        <f t="shared" si="66"/>
        <v>8066.4749999999995</v>
      </c>
      <c r="AJ411" s="4">
        <f t="shared" si="58"/>
        <v>-262567.90000000014</v>
      </c>
      <c r="AK411" s="8" t="s">
        <v>89</v>
      </c>
      <c r="AL411" s="8">
        <f>(1000)</f>
        <v>1000</v>
      </c>
      <c r="AM411" s="47" t="s">
        <v>163</v>
      </c>
      <c r="AN411" s="47">
        <f>(4500)</f>
        <v>4500</v>
      </c>
      <c r="AO411" s="8"/>
      <c r="AP411" s="8"/>
      <c r="AQ411" s="47"/>
      <c r="AR411" s="47"/>
      <c r="AS411" s="8"/>
      <c r="AT411" s="8"/>
      <c r="AU411" s="47"/>
      <c r="AV411" s="47"/>
      <c r="AW411" s="8"/>
      <c r="AX411" s="8"/>
      <c r="AY411" s="47"/>
      <c r="AZ411" s="47"/>
      <c r="BA411" s="8" t="s">
        <v>186</v>
      </c>
      <c r="BB411" s="8">
        <v>17460.655499999986</v>
      </c>
      <c r="BC411" s="47"/>
      <c r="BD411" s="47"/>
      <c r="BE411" s="8"/>
      <c r="BF411" s="8"/>
      <c r="BG411" s="47"/>
      <c r="BH411" s="47"/>
      <c r="BI411" s="3"/>
      <c r="BJ411" s="3"/>
      <c r="BK411" s="48"/>
      <c r="BL411" s="47"/>
      <c r="BM411" s="24">
        <f t="shared" si="59"/>
        <v>22960.655499999986</v>
      </c>
      <c r="BN411" s="28">
        <f t="shared" si="53"/>
        <v>-285528.55550000013</v>
      </c>
      <c r="BO411" s="2">
        <v>45444</v>
      </c>
    </row>
    <row r="412" spans="4:71" hidden="1" x14ac:dyDescent="0.25">
      <c r="D412" s="9" t="s">
        <v>28</v>
      </c>
      <c r="E412" s="2">
        <v>45445</v>
      </c>
      <c r="F412" s="38"/>
      <c r="G412" s="51"/>
      <c r="H412" s="4">
        <f t="shared" si="54"/>
        <v>2218.1999999999998</v>
      </c>
      <c r="I412" s="5">
        <v>3510</v>
      </c>
      <c r="J412" s="4">
        <f t="shared" si="55"/>
        <v>-1291.8000000000002</v>
      </c>
      <c r="K412" s="4">
        <f t="shared" si="60"/>
        <v>-45737.145000000011</v>
      </c>
      <c r="L412" s="3"/>
      <c r="M412" s="3"/>
      <c r="N412" s="33">
        <f t="shared" si="56"/>
        <v>3510</v>
      </c>
      <c r="O412" s="28">
        <f t="shared" si="61"/>
        <v>-45737.145000000011</v>
      </c>
      <c r="P412" s="9" t="s">
        <v>28</v>
      </c>
      <c r="Q412" s="2">
        <v>45445</v>
      </c>
      <c r="R412" s="38"/>
      <c r="S412" s="52"/>
      <c r="T412" s="4">
        <f t="shared" si="57"/>
        <v>5038.2</v>
      </c>
      <c r="U412" s="5"/>
      <c r="V412" s="4">
        <f t="shared" si="65"/>
        <v>5038.2</v>
      </c>
      <c r="W412" s="4">
        <f t="shared" si="62"/>
        <v>-36202.784999999982</v>
      </c>
      <c r="X412" s="3"/>
      <c r="Y412" s="3"/>
      <c r="Z412" s="25">
        <f t="shared" si="63"/>
        <v>0</v>
      </c>
      <c r="AA412" s="72">
        <f t="shared" si="64"/>
        <v>-36202.784999999982</v>
      </c>
      <c r="AB412" s="9" t="s">
        <v>28</v>
      </c>
      <c r="AC412" s="19">
        <v>45445</v>
      </c>
      <c r="AD412" s="41"/>
      <c r="AE412" s="42"/>
      <c r="AF412" s="4">
        <f t="shared" si="52"/>
        <v>8376</v>
      </c>
      <c r="AG412" s="3"/>
      <c r="AH412" s="8">
        <v>1551</v>
      </c>
      <c r="AI412" s="4">
        <f t="shared" si="66"/>
        <v>6825</v>
      </c>
      <c r="AJ412" s="4">
        <f t="shared" si="58"/>
        <v>-278703.55550000013</v>
      </c>
      <c r="AK412" s="8" t="s">
        <v>89</v>
      </c>
      <c r="AL412" s="8">
        <f>(1000)</f>
        <v>1000</v>
      </c>
      <c r="AM412" s="47"/>
      <c r="AN412" s="47"/>
      <c r="AO412" s="8"/>
      <c r="AP412" s="8"/>
      <c r="AQ412" s="47"/>
      <c r="AR412" s="47"/>
      <c r="AS412" s="8"/>
      <c r="AT412" s="8"/>
      <c r="AU412" s="47"/>
      <c r="AV412" s="47"/>
      <c r="AW412" s="8"/>
      <c r="AX412" s="8"/>
      <c r="AY412" s="47"/>
      <c r="AZ412" s="47"/>
      <c r="BA412" s="8"/>
      <c r="BB412" s="8"/>
      <c r="BC412" s="47"/>
      <c r="BD412" s="47"/>
      <c r="BE412" s="8"/>
      <c r="BF412" s="8"/>
      <c r="BG412" s="47"/>
      <c r="BH412" s="47"/>
      <c r="BI412" s="3"/>
      <c r="BJ412" s="3"/>
      <c r="BK412" s="48"/>
      <c r="BL412" s="47"/>
      <c r="BM412" s="24">
        <f t="shared" si="59"/>
        <v>1000</v>
      </c>
      <c r="BN412" s="28">
        <f t="shared" si="53"/>
        <v>-279703.55550000013</v>
      </c>
      <c r="BO412" s="2">
        <v>45445</v>
      </c>
      <c r="BS412">
        <v>280766</v>
      </c>
    </row>
    <row r="413" spans="4:71" hidden="1" x14ac:dyDescent="0.25">
      <c r="D413" s="9" t="s">
        <v>29</v>
      </c>
      <c r="E413" s="2">
        <v>45446</v>
      </c>
      <c r="F413" s="38"/>
      <c r="G413" s="51"/>
      <c r="H413" s="4">
        <f t="shared" si="54"/>
        <v>1888.325</v>
      </c>
      <c r="I413" s="5">
        <v>2002.6</v>
      </c>
      <c r="J413" s="4">
        <f t="shared" si="55"/>
        <v>-114.27499999999986</v>
      </c>
      <c r="K413" s="4">
        <f t="shared" si="60"/>
        <v>-45851.420000000013</v>
      </c>
      <c r="L413" s="3"/>
      <c r="M413" s="3"/>
      <c r="N413" s="33">
        <f t="shared" si="56"/>
        <v>2002.6</v>
      </c>
      <c r="O413" s="28">
        <f t="shared" si="61"/>
        <v>-45851.420000000013</v>
      </c>
      <c r="P413" s="9" t="s">
        <v>29</v>
      </c>
      <c r="Q413" s="2">
        <v>45446</v>
      </c>
      <c r="R413" s="38"/>
      <c r="S413" s="52"/>
      <c r="T413" s="4">
        <f t="shared" si="57"/>
        <v>3298.9500000000003</v>
      </c>
      <c r="U413" s="5">
        <v>1212</v>
      </c>
      <c r="V413" s="4">
        <f t="shared" si="65"/>
        <v>2086.9500000000003</v>
      </c>
      <c r="W413" s="4">
        <f t="shared" si="62"/>
        <v>-34115.834999999985</v>
      </c>
      <c r="X413" s="3"/>
      <c r="Y413" s="3"/>
      <c r="Z413" s="25">
        <f t="shared" si="63"/>
        <v>1212</v>
      </c>
      <c r="AA413" s="72">
        <f t="shared" si="64"/>
        <v>-34115.834999999985</v>
      </c>
      <c r="AB413" s="9" t="s">
        <v>29</v>
      </c>
      <c r="AC413" s="19">
        <v>45446</v>
      </c>
      <c r="AD413" s="41"/>
      <c r="AE413" s="42"/>
      <c r="AF413" s="4">
        <f t="shared" si="52"/>
        <v>5920.3749999999982</v>
      </c>
      <c r="AG413" s="3"/>
      <c r="AH413" s="8">
        <v>815.8</v>
      </c>
      <c r="AI413" s="4">
        <f t="shared" si="66"/>
        <v>5104.574999999998</v>
      </c>
      <c r="AJ413" s="4">
        <f t="shared" si="58"/>
        <v>-274598.98050000012</v>
      </c>
      <c r="AK413" s="8" t="s">
        <v>89</v>
      </c>
      <c r="AL413" s="8">
        <f>(1000)</f>
        <v>1000</v>
      </c>
      <c r="AM413" s="47"/>
      <c r="AN413" s="47"/>
      <c r="AO413" s="8"/>
      <c r="AP413" s="8"/>
      <c r="AQ413" s="47"/>
      <c r="AR413" s="47"/>
      <c r="AS413" s="8"/>
      <c r="AT413" s="8"/>
      <c r="AU413" s="47"/>
      <c r="AV413" s="47"/>
      <c r="AW413" s="8"/>
      <c r="AX413" s="8"/>
      <c r="AY413" s="47"/>
      <c r="AZ413" s="47"/>
      <c r="BA413" s="8"/>
      <c r="BB413" s="8"/>
      <c r="BC413" s="47"/>
      <c r="BD413" s="47"/>
      <c r="BE413" s="8"/>
      <c r="BF413" s="8"/>
      <c r="BG413" s="47"/>
      <c r="BH413" s="47"/>
      <c r="BI413" s="8"/>
      <c r="BJ413" s="3"/>
      <c r="BK413" s="48"/>
      <c r="BL413" s="47"/>
      <c r="BM413" s="24">
        <f t="shared" si="59"/>
        <v>1000</v>
      </c>
      <c r="BN413" s="28">
        <f t="shared" si="53"/>
        <v>-275598.98050000012</v>
      </c>
      <c r="BO413" s="2">
        <v>45446</v>
      </c>
      <c r="BS413">
        <v>89415</v>
      </c>
    </row>
    <row r="414" spans="4:71" hidden="1" x14ac:dyDescent="0.25">
      <c r="D414" s="9" t="s">
        <v>30</v>
      </c>
      <c r="E414" s="2">
        <v>45447</v>
      </c>
      <c r="F414" s="38"/>
      <c r="G414" s="51"/>
      <c r="H414" s="4">
        <f t="shared" si="54"/>
        <v>2309.7249999999999</v>
      </c>
      <c r="I414" s="5">
        <v>1692.3</v>
      </c>
      <c r="J414" s="4">
        <f t="shared" si="55"/>
        <v>617.42499999999995</v>
      </c>
      <c r="K414" s="4">
        <f t="shared" si="60"/>
        <v>-45233.99500000001</v>
      </c>
      <c r="L414" s="3"/>
      <c r="M414" s="3"/>
      <c r="N414" s="33">
        <f t="shared" si="56"/>
        <v>1692.3</v>
      </c>
      <c r="O414" s="28">
        <f t="shared" si="61"/>
        <v>-45233.99500000001</v>
      </c>
      <c r="P414" s="9" t="s">
        <v>30</v>
      </c>
      <c r="Q414" s="2">
        <v>45447</v>
      </c>
      <c r="R414" s="38"/>
      <c r="S414" s="52"/>
      <c r="T414" s="4">
        <f t="shared" si="57"/>
        <v>2470.5</v>
      </c>
      <c r="U414" s="5"/>
      <c r="V414" s="4">
        <f t="shared" si="65"/>
        <v>2470.5</v>
      </c>
      <c r="W414" s="4">
        <f t="shared" si="62"/>
        <v>-31645.334999999985</v>
      </c>
      <c r="X414" s="3" t="s">
        <v>153</v>
      </c>
      <c r="Y414" s="3">
        <f>(15000)</f>
        <v>15000</v>
      </c>
      <c r="Z414" s="25">
        <f t="shared" si="63"/>
        <v>15000</v>
      </c>
      <c r="AA414" s="72">
        <f t="shared" si="64"/>
        <v>-46645.334999999985</v>
      </c>
      <c r="AB414" s="9" t="s">
        <v>30</v>
      </c>
      <c r="AC414" s="19">
        <v>45447</v>
      </c>
      <c r="AD414" s="41"/>
      <c r="AE414" s="42"/>
      <c r="AF414" s="4">
        <f t="shared" si="52"/>
        <v>5329.2250000000004</v>
      </c>
      <c r="AG414" s="3"/>
      <c r="AH414" s="8">
        <v>809</v>
      </c>
      <c r="AI414" s="4">
        <f t="shared" si="66"/>
        <v>4520.2250000000004</v>
      </c>
      <c r="AJ414" s="4">
        <f t="shared" si="58"/>
        <v>-271078.75550000014</v>
      </c>
      <c r="AK414" s="8" t="s">
        <v>130</v>
      </c>
      <c r="AL414" s="8">
        <f>(1000+4078)</f>
        <v>5078</v>
      </c>
      <c r="AM414" s="47"/>
      <c r="AN414" s="47"/>
      <c r="AO414" s="8"/>
      <c r="AP414" s="8"/>
      <c r="AQ414" s="47"/>
      <c r="AR414" s="47"/>
      <c r="AS414" s="8"/>
      <c r="AT414" s="8"/>
      <c r="AU414" s="47"/>
      <c r="AV414" s="47"/>
      <c r="AW414" s="8"/>
      <c r="AX414" s="8"/>
      <c r="AY414" s="47" t="s">
        <v>164</v>
      </c>
      <c r="AZ414" s="47">
        <f>(700+312.28)</f>
        <v>1012.28</v>
      </c>
      <c r="BA414" s="3"/>
      <c r="BB414" s="8"/>
      <c r="BC414" s="47"/>
      <c r="BD414" s="47"/>
      <c r="BE414" s="8"/>
      <c r="BF414" s="8"/>
      <c r="BG414" s="47"/>
      <c r="BH414" s="47"/>
      <c r="BI414" s="8"/>
      <c r="BJ414" s="3"/>
      <c r="BK414" s="48"/>
      <c r="BL414" s="47"/>
      <c r="BM414" s="24">
        <f t="shared" si="59"/>
        <v>6090.28</v>
      </c>
      <c r="BN414" s="28">
        <f t="shared" si="53"/>
        <v>-277169.03550000017</v>
      </c>
      <c r="BO414" s="2">
        <v>45447</v>
      </c>
      <c r="BS414">
        <v>39693</v>
      </c>
    </row>
    <row r="415" spans="4:71" hidden="1" x14ac:dyDescent="0.25">
      <c r="D415" s="9" t="s">
        <v>31</v>
      </c>
      <c r="E415" s="2">
        <v>45448</v>
      </c>
      <c r="F415" s="38"/>
      <c r="G415" s="51"/>
      <c r="H415" s="4">
        <f t="shared" si="54"/>
        <v>1634.3</v>
      </c>
      <c r="I415" s="5">
        <v>449</v>
      </c>
      <c r="J415" s="4">
        <f t="shared" si="55"/>
        <v>1185.3</v>
      </c>
      <c r="K415" s="4">
        <f t="shared" si="60"/>
        <v>-44048.695000000007</v>
      </c>
      <c r="L415" s="3" t="s">
        <v>9</v>
      </c>
      <c r="M415" s="3">
        <f>(1645)</f>
        <v>1645</v>
      </c>
      <c r="N415" s="33">
        <f t="shared" si="56"/>
        <v>2094</v>
      </c>
      <c r="O415" s="28">
        <f t="shared" si="61"/>
        <v>-45693.695000000007</v>
      </c>
      <c r="P415" s="9" t="s">
        <v>31</v>
      </c>
      <c r="Q415" s="2">
        <v>45448</v>
      </c>
      <c r="R415" s="38"/>
      <c r="S415" s="52"/>
      <c r="T415" s="4">
        <f t="shared" si="57"/>
        <v>3236.4</v>
      </c>
      <c r="U415" s="5"/>
      <c r="V415" s="4">
        <f t="shared" si="65"/>
        <v>3236.4</v>
      </c>
      <c r="W415" s="4">
        <f t="shared" si="62"/>
        <v>-43408.934999999983</v>
      </c>
      <c r="X415" s="3"/>
      <c r="Y415" s="3"/>
      <c r="Z415" s="25">
        <f t="shared" si="63"/>
        <v>0</v>
      </c>
      <c r="AA415" s="72">
        <f t="shared" si="64"/>
        <v>-43408.934999999983</v>
      </c>
      <c r="AB415" s="9" t="s">
        <v>31</v>
      </c>
      <c r="AC415" s="19">
        <v>45448</v>
      </c>
      <c r="AD415" s="41"/>
      <c r="AE415" s="42"/>
      <c r="AF415" s="4">
        <f t="shared" si="52"/>
        <v>5589.9000000000015</v>
      </c>
      <c r="AG415" s="3"/>
      <c r="AH415" s="8">
        <v>814</v>
      </c>
      <c r="AI415" s="4">
        <f t="shared" si="66"/>
        <v>4775.9000000000015</v>
      </c>
      <c r="AJ415" s="4">
        <f t="shared" si="58"/>
        <v>-272393.13550000015</v>
      </c>
      <c r="AK415" s="8" t="s">
        <v>130</v>
      </c>
      <c r="AL415" s="8">
        <f>(1000+1000)</f>
        <v>2000</v>
      </c>
      <c r="AM415" s="47"/>
      <c r="AN415" s="47"/>
      <c r="AO415" s="8"/>
      <c r="AP415" s="8"/>
      <c r="AQ415" s="47"/>
      <c r="AR415" s="47"/>
      <c r="AS415" s="8"/>
      <c r="AT415" s="8"/>
      <c r="AU415" s="47"/>
      <c r="AV415" s="47"/>
      <c r="AW415" s="8"/>
      <c r="AX415" s="8"/>
      <c r="AY415" s="47" t="s">
        <v>165</v>
      </c>
      <c r="AZ415" s="47">
        <f>(1250)</f>
        <v>1250</v>
      </c>
      <c r="BA415" s="8"/>
      <c r="BB415" s="8"/>
      <c r="BC415" s="47"/>
      <c r="BD415" s="47"/>
      <c r="BE415" s="8"/>
      <c r="BF415" s="8"/>
      <c r="BG415" s="47"/>
      <c r="BH415" s="47"/>
      <c r="BI415" s="8"/>
      <c r="BJ415" s="3"/>
      <c r="BK415" s="47"/>
      <c r="BL415" s="47"/>
      <c r="BM415" s="24">
        <f t="shared" si="59"/>
        <v>3250</v>
      </c>
      <c r="BN415" s="28">
        <f t="shared" si="53"/>
        <v>-275643.13550000015</v>
      </c>
      <c r="BO415" s="2">
        <v>45448</v>
      </c>
    </row>
    <row r="416" spans="4:71" hidden="1" x14ac:dyDescent="0.25">
      <c r="D416" s="9" t="s">
        <v>32</v>
      </c>
      <c r="E416" s="2">
        <v>45449</v>
      </c>
      <c r="F416" s="38"/>
      <c r="G416" s="51"/>
      <c r="H416" s="4">
        <f t="shared" si="54"/>
        <v>1378.425</v>
      </c>
      <c r="I416" s="5">
        <v>1502</v>
      </c>
      <c r="J416" s="4">
        <f t="shared" si="55"/>
        <v>-123.57500000000005</v>
      </c>
      <c r="K416" s="4">
        <f t="shared" si="60"/>
        <v>-45817.270000000004</v>
      </c>
      <c r="L416" s="3"/>
      <c r="M416" s="3"/>
      <c r="N416" s="33">
        <f t="shared" si="56"/>
        <v>1502</v>
      </c>
      <c r="O416" s="28">
        <f t="shared" si="61"/>
        <v>-45817.270000000004</v>
      </c>
      <c r="P416" s="9" t="s">
        <v>32</v>
      </c>
      <c r="Q416" s="2">
        <v>45449</v>
      </c>
      <c r="R416" s="38"/>
      <c r="S416" s="52"/>
      <c r="T416" s="4">
        <f t="shared" si="57"/>
        <v>4084.65</v>
      </c>
      <c r="U416" s="5"/>
      <c r="V416" s="4">
        <f t="shared" si="65"/>
        <v>4084.65</v>
      </c>
      <c r="W416" s="4">
        <f t="shared" si="62"/>
        <v>-39324.284999999982</v>
      </c>
      <c r="X416" s="3" t="s">
        <v>23</v>
      </c>
      <c r="Y416" s="3">
        <f>(6225)</f>
        <v>6225</v>
      </c>
      <c r="Z416" s="25">
        <f t="shared" si="63"/>
        <v>6225</v>
      </c>
      <c r="AA416" s="72">
        <f t="shared" si="64"/>
        <v>-45549.284999999982</v>
      </c>
      <c r="AB416" s="9" t="s">
        <v>32</v>
      </c>
      <c r="AC416" s="19">
        <v>45449</v>
      </c>
      <c r="AD416" s="41"/>
      <c r="AE416" s="42"/>
      <c r="AF416" s="4">
        <f t="shared" si="52"/>
        <v>6370.7750000000015</v>
      </c>
      <c r="AG416" s="3"/>
      <c r="AH416" s="8">
        <v>1107.8</v>
      </c>
      <c r="AI416" s="4">
        <f t="shared" si="66"/>
        <v>5262.9750000000013</v>
      </c>
      <c r="AJ416" s="4">
        <f t="shared" si="58"/>
        <v>-270380.16050000017</v>
      </c>
      <c r="AK416" s="3" t="s">
        <v>130</v>
      </c>
      <c r="AL416" s="8">
        <f>(1000+24918.23)</f>
        <v>25918.23</v>
      </c>
      <c r="AM416" s="47" t="s">
        <v>166</v>
      </c>
      <c r="AN416" s="47">
        <f>(1800+8561.35)</f>
        <v>10361.35</v>
      </c>
      <c r="AO416" s="8"/>
      <c r="AP416" s="8"/>
      <c r="AQ416" s="47"/>
      <c r="AR416" s="47"/>
      <c r="AS416" s="8"/>
      <c r="AT416" s="8"/>
      <c r="AU416" s="47"/>
      <c r="AV416" s="47"/>
      <c r="AW416" s="8"/>
      <c r="AX416" s="8"/>
      <c r="AY416" s="47"/>
      <c r="AZ416" s="47"/>
      <c r="BA416" s="3"/>
      <c r="BB416" s="8"/>
      <c r="BC416" s="47"/>
      <c r="BD416" s="47"/>
      <c r="BE416" s="8"/>
      <c r="BF416" s="8"/>
      <c r="BG416" s="47"/>
      <c r="BH416" s="47"/>
      <c r="BI416" s="8"/>
      <c r="BJ416" s="3"/>
      <c r="BK416" s="47"/>
      <c r="BL416" s="47"/>
      <c r="BM416" s="24">
        <f t="shared" si="59"/>
        <v>36279.58</v>
      </c>
      <c r="BN416" s="28">
        <f t="shared" si="53"/>
        <v>-306659.74050000019</v>
      </c>
      <c r="BO416" s="2">
        <v>45449</v>
      </c>
      <c r="BS416">
        <f>SUM(BS412:BS415)</f>
        <v>409874</v>
      </c>
    </row>
    <row r="417" spans="4:71" hidden="1" x14ac:dyDescent="0.25">
      <c r="D417" s="9" t="s">
        <v>26</v>
      </c>
      <c r="E417" s="2">
        <v>45450</v>
      </c>
      <c r="F417" s="38"/>
      <c r="G417" s="51"/>
      <c r="H417" s="4">
        <f t="shared" si="54"/>
        <v>1431.85</v>
      </c>
      <c r="I417" s="5">
        <v>1193</v>
      </c>
      <c r="J417" s="4">
        <f t="shared" si="55"/>
        <v>238.84999999999991</v>
      </c>
      <c r="K417" s="4">
        <f t="shared" si="60"/>
        <v>-45578.420000000006</v>
      </c>
      <c r="L417" s="3"/>
      <c r="M417" s="3"/>
      <c r="N417" s="33">
        <f t="shared" si="56"/>
        <v>1193</v>
      </c>
      <c r="O417" s="28">
        <f t="shared" si="61"/>
        <v>-45578.420000000006</v>
      </c>
      <c r="P417" s="9" t="s">
        <v>26</v>
      </c>
      <c r="Q417" s="2">
        <v>45450</v>
      </c>
      <c r="R417" s="38"/>
      <c r="S417" s="52"/>
      <c r="T417" s="4">
        <f t="shared" si="57"/>
        <v>4727.25</v>
      </c>
      <c r="U417" s="5">
        <v>1948</v>
      </c>
      <c r="V417" s="4">
        <f t="shared" si="65"/>
        <v>2779.25</v>
      </c>
      <c r="W417" s="4">
        <f t="shared" si="62"/>
        <v>-42770.034999999982</v>
      </c>
      <c r="X417" s="3"/>
      <c r="Y417" s="3"/>
      <c r="Z417" s="25">
        <f t="shared" si="63"/>
        <v>1948</v>
      </c>
      <c r="AA417" s="72">
        <f t="shared" si="64"/>
        <v>-42770.034999999982</v>
      </c>
      <c r="AB417" s="9" t="s">
        <v>26</v>
      </c>
      <c r="AC417" s="19">
        <v>45450</v>
      </c>
      <c r="AD417" s="41"/>
      <c r="AE417" s="42"/>
      <c r="AF417" s="4">
        <f t="shared" si="52"/>
        <v>7209.6</v>
      </c>
      <c r="AG417" s="3"/>
      <c r="AH417" s="8">
        <v>1387</v>
      </c>
      <c r="AI417" s="4">
        <f t="shared" si="66"/>
        <v>5822.6</v>
      </c>
      <c r="AJ417" s="4">
        <f t="shared" si="58"/>
        <v>-300837.14050000021</v>
      </c>
      <c r="AK417" s="8" t="s">
        <v>167</v>
      </c>
      <c r="AL417" s="8">
        <f>(1000+4800+2500)</f>
        <v>8300</v>
      </c>
      <c r="AM417" s="47"/>
      <c r="AN417" s="47"/>
      <c r="AO417" s="8"/>
      <c r="AP417" s="8"/>
      <c r="AQ417" s="47"/>
      <c r="AR417" s="47"/>
      <c r="AS417" s="8"/>
      <c r="AT417" s="8"/>
      <c r="AU417" s="47"/>
      <c r="AV417" s="47"/>
      <c r="AW417" s="8"/>
      <c r="AX417" s="8"/>
      <c r="AY417" s="47"/>
      <c r="AZ417" s="47"/>
      <c r="BA417" s="8" t="s">
        <v>168</v>
      </c>
      <c r="BB417" s="8">
        <f>(339+323+300)</f>
        <v>962</v>
      </c>
      <c r="BC417" s="47"/>
      <c r="BD417" s="47"/>
      <c r="BE417" s="8"/>
      <c r="BF417" s="8"/>
      <c r="BG417" s="47"/>
      <c r="BH417" s="47"/>
      <c r="BI417" s="8"/>
      <c r="BJ417" s="3"/>
      <c r="BK417" s="47"/>
      <c r="BL417" s="47"/>
      <c r="BM417" s="24">
        <f t="shared" si="59"/>
        <v>9262</v>
      </c>
      <c r="BN417" s="28">
        <f t="shared" si="53"/>
        <v>-310099.14050000021</v>
      </c>
      <c r="BO417" s="2">
        <v>45450</v>
      </c>
      <c r="BS417" s="35">
        <v>31450.35</v>
      </c>
    </row>
    <row r="418" spans="4:71" hidden="1" x14ac:dyDescent="0.25">
      <c r="D418" s="9" t="s">
        <v>27</v>
      </c>
      <c r="E418" s="2">
        <v>45451</v>
      </c>
      <c r="F418" s="38"/>
      <c r="G418" s="51"/>
      <c r="H418" s="4">
        <f t="shared" si="54"/>
        <v>2238.0500000000002</v>
      </c>
      <c r="I418" s="5">
        <v>1257</v>
      </c>
      <c r="J418" s="4">
        <f t="shared" si="55"/>
        <v>981.05000000000018</v>
      </c>
      <c r="K418" s="4">
        <f t="shared" si="60"/>
        <v>-44597.37</v>
      </c>
      <c r="L418" s="3"/>
      <c r="M418" s="3"/>
      <c r="N418" s="33">
        <f t="shared" si="56"/>
        <v>1257</v>
      </c>
      <c r="O418" s="28">
        <f t="shared" si="61"/>
        <v>-44597.37</v>
      </c>
      <c r="P418" s="9" t="s">
        <v>27</v>
      </c>
      <c r="Q418" s="2">
        <v>45451</v>
      </c>
      <c r="R418" s="38"/>
      <c r="S418" s="52"/>
      <c r="T418" s="4">
        <f t="shared" si="57"/>
        <v>3742.2000000000003</v>
      </c>
      <c r="U418" s="5"/>
      <c r="V418" s="4">
        <f t="shared" si="65"/>
        <v>3742.2000000000003</v>
      </c>
      <c r="W418" s="4">
        <f t="shared" si="62"/>
        <v>-39027.834999999985</v>
      </c>
      <c r="X418" s="3"/>
      <c r="Y418" s="3"/>
      <c r="Z418" s="25">
        <f t="shared" si="63"/>
        <v>0</v>
      </c>
      <c r="AA418" s="72">
        <f t="shared" si="64"/>
        <v>-39027.834999999985</v>
      </c>
      <c r="AB418" s="9" t="s">
        <v>27</v>
      </c>
      <c r="AC418" s="19">
        <v>45451</v>
      </c>
      <c r="AD418" s="41"/>
      <c r="AE418" s="42"/>
      <c r="AF418" s="4">
        <f t="shared" si="52"/>
        <v>6811.8499999999985</v>
      </c>
      <c r="AG418" s="3"/>
      <c r="AH418" s="8">
        <v>1201</v>
      </c>
      <c r="AI418" s="4">
        <f t="shared" si="66"/>
        <v>5610.8499999999985</v>
      </c>
      <c r="AJ418" s="4">
        <f t="shared" si="58"/>
        <v>-304488.29050000024</v>
      </c>
      <c r="AK418" s="8" t="s">
        <v>130</v>
      </c>
      <c r="AL418" s="8">
        <f>(1000+10259.85)</f>
        <v>11259.85</v>
      </c>
      <c r="AM418" s="47"/>
      <c r="AN418" s="47"/>
      <c r="AO418" s="8"/>
      <c r="AP418" s="8"/>
      <c r="AQ418" s="47"/>
      <c r="AR418" s="47"/>
      <c r="AS418" s="8"/>
      <c r="AT418" s="8"/>
      <c r="AU418" s="47"/>
      <c r="AV418" s="47"/>
      <c r="AW418" s="8"/>
      <c r="AX418" s="8"/>
      <c r="AY418" s="47"/>
      <c r="AZ418" s="47"/>
      <c r="BA418" s="3"/>
      <c r="BB418" s="8"/>
      <c r="BC418" s="47"/>
      <c r="BD418" s="47"/>
      <c r="BE418" s="8"/>
      <c r="BF418" s="8"/>
      <c r="BG418" s="47"/>
      <c r="BH418" s="47"/>
      <c r="BI418" s="8"/>
      <c r="BJ418" s="3"/>
      <c r="BK418" s="47"/>
      <c r="BL418" s="47"/>
      <c r="BM418" s="24">
        <f t="shared" si="59"/>
        <v>11259.85</v>
      </c>
      <c r="BN418" s="28">
        <f t="shared" si="53"/>
        <v>-315748.14050000021</v>
      </c>
      <c r="BO418" s="2">
        <v>45451</v>
      </c>
    </row>
    <row r="419" spans="4:71" hidden="1" x14ac:dyDescent="0.25">
      <c r="D419" s="9" t="s">
        <v>28</v>
      </c>
      <c r="E419" s="2">
        <v>45452</v>
      </c>
      <c r="F419" s="38"/>
      <c r="G419" s="51"/>
      <c r="H419" s="4">
        <f t="shared" si="54"/>
        <v>2710.85</v>
      </c>
      <c r="I419" s="5"/>
      <c r="J419" s="4">
        <f t="shared" si="55"/>
        <v>2710.85</v>
      </c>
      <c r="K419" s="4">
        <f t="shared" si="60"/>
        <v>-41886.520000000004</v>
      </c>
      <c r="L419" s="3"/>
      <c r="M419" s="3"/>
      <c r="N419" s="33">
        <f t="shared" si="56"/>
        <v>0</v>
      </c>
      <c r="O419" s="28">
        <f t="shared" si="61"/>
        <v>-41886.520000000004</v>
      </c>
      <c r="P419" s="9" t="s">
        <v>28</v>
      </c>
      <c r="Q419" s="2">
        <v>45452</v>
      </c>
      <c r="R419" s="38"/>
      <c r="S419" s="52"/>
      <c r="T419" s="4">
        <f t="shared" si="57"/>
        <v>5215.5</v>
      </c>
      <c r="U419" s="5"/>
      <c r="V419" s="4">
        <f t="shared" si="65"/>
        <v>5215.5</v>
      </c>
      <c r="W419" s="4">
        <f t="shared" si="62"/>
        <v>-33812.334999999985</v>
      </c>
      <c r="X419" s="3"/>
      <c r="Y419" s="3"/>
      <c r="Z419" s="25">
        <f t="shared" si="63"/>
        <v>0</v>
      </c>
      <c r="AA419" s="72">
        <f t="shared" si="64"/>
        <v>-33812.334999999985</v>
      </c>
      <c r="AB419" s="9" t="s">
        <v>28</v>
      </c>
      <c r="AC419" s="19">
        <v>45452</v>
      </c>
      <c r="AD419" s="41"/>
      <c r="AE419" s="42"/>
      <c r="AF419" s="4">
        <f t="shared" si="52"/>
        <v>9085.35</v>
      </c>
      <c r="AG419" s="3"/>
      <c r="AH419" s="8">
        <v>1995</v>
      </c>
      <c r="AI419" s="4">
        <f t="shared" si="66"/>
        <v>7090.35</v>
      </c>
      <c r="AJ419" s="4">
        <f t="shared" si="58"/>
        <v>-308657.79050000024</v>
      </c>
      <c r="AK419" s="8" t="s">
        <v>130</v>
      </c>
      <c r="AL419" s="8">
        <f>(1000+15368.08)</f>
        <v>16368.08</v>
      </c>
      <c r="AM419" s="47" t="s">
        <v>106</v>
      </c>
      <c r="AN419" s="47">
        <f>(2000)</f>
        <v>2000</v>
      </c>
      <c r="AO419" s="8"/>
      <c r="AP419" s="8"/>
      <c r="AQ419" s="47"/>
      <c r="AR419" s="47"/>
      <c r="AS419" s="8"/>
      <c r="AT419" s="8"/>
      <c r="AU419" s="47"/>
      <c r="AV419" s="47"/>
      <c r="AW419" s="8"/>
      <c r="AX419" s="8"/>
      <c r="AY419" s="47"/>
      <c r="AZ419" s="47"/>
      <c r="BA419" s="8"/>
      <c r="BB419" s="8"/>
      <c r="BC419" s="47"/>
      <c r="BD419" s="47"/>
      <c r="BE419" s="8"/>
      <c r="BF419" s="8"/>
      <c r="BG419" s="47"/>
      <c r="BH419" s="47"/>
      <c r="BI419" s="8"/>
      <c r="BJ419" s="3"/>
      <c r="BK419" s="47"/>
      <c r="BL419" s="47"/>
      <c r="BM419" s="24">
        <f t="shared" si="59"/>
        <v>18368.080000000002</v>
      </c>
      <c r="BN419" s="28">
        <f t="shared" si="53"/>
        <v>-327025.87050000025</v>
      </c>
      <c r="BO419" s="2">
        <v>45452</v>
      </c>
      <c r="BS419">
        <f>SUM(BS416:BS418)</f>
        <v>441324.35</v>
      </c>
    </row>
    <row r="420" spans="4:71" hidden="1" x14ac:dyDescent="0.25">
      <c r="D420" s="9" t="s">
        <v>29</v>
      </c>
      <c r="E420" s="2">
        <v>45453</v>
      </c>
      <c r="F420" s="38"/>
      <c r="G420" s="51"/>
      <c r="H420" s="4">
        <f t="shared" si="54"/>
        <v>1791.7750000000001</v>
      </c>
      <c r="I420" s="5">
        <v>4211</v>
      </c>
      <c r="J420" s="4">
        <f t="shared" si="55"/>
        <v>-2419.2249999999999</v>
      </c>
      <c r="K420" s="4">
        <f t="shared" si="60"/>
        <v>-44305.745000000003</v>
      </c>
      <c r="L420" s="3"/>
      <c r="M420" s="3"/>
      <c r="N420" s="33">
        <f t="shared" si="56"/>
        <v>4211</v>
      </c>
      <c r="O420" s="28">
        <f t="shared" si="61"/>
        <v>-44305.745000000003</v>
      </c>
      <c r="P420" s="9" t="s">
        <v>29</v>
      </c>
      <c r="Q420" s="2">
        <v>45453</v>
      </c>
      <c r="R420" s="38"/>
      <c r="S420" s="52"/>
      <c r="T420" s="4">
        <f t="shared" si="57"/>
        <v>3333.15</v>
      </c>
      <c r="U420" s="5"/>
      <c r="V420" s="4">
        <f t="shared" si="65"/>
        <v>3333.15</v>
      </c>
      <c r="W420" s="4">
        <f t="shared" si="62"/>
        <v>-30479.184999999983</v>
      </c>
      <c r="X420" s="3"/>
      <c r="Y420" s="3"/>
      <c r="Z420" s="25">
        <f t="shared" si="63"/>
        <v>0</v>
      </c>
      <c r="AA420" s="72">
        <f t="shared" si="64"/>
        <v>-30479.184999999983</v>
      </c>
      <c r="AB420" s="9" t="s">
        <v>29</v>
      </c>
      <c r="AC420" s="19">
        <v>45453</v>
      </c>
      <c r="AD420" s="41"/>
      <c r="AE420" s="42"/>
      <c r="AF420" s="4">
        <f t="shared" si="52"/>
        <v>5865.625</v>
      </c>
      <c r="AG420" s="3"/>
      <c r="AH420" s="8">
        <v>1695.6</v>
      </c>
      <c r="AI420" s="4">
        <f t="shared" si="66"/>
        <v>4170.0249999999996</v>
      </c>
      <c r="AJ420" s="4">
        <f t="shared" si="58"/>
        <v>-322855.84550000023</v>
      </c>
      <c r="AK420" s="8" t="s">
        <v>89</v>
      </c>
      <c r="AL420" s="8">
        <f>(1000+5000)</f>
        <v>6000</v>
      </c>
      <c r="AM420" s="47"/>
      <c r="AN420" s="47"/>
      <c r="AO420" s="8"/>
      <c r="AP420" s="8"/>
      <c r="AQ420" s="47"/>
      <c r="AR420" s="47"/>
      <c r="AS420" s="8"/>
      <c r="AT420" s="8"/>
      <c r="AU420" s="47"/>
      <c r="AV420" s="47"/>
      <c r="AW420" s="8"/>
      <c r="AX420" s="8"/>
      <c r="AY420" s="47"/>
      <c r="AZ420" s="47"/>
      <c r="BA420" s="3"/>
      <c r="BB420" s="8"/>
      <c r="BC420" s="47"/>
      <c r="BD420" s="47"/>
      <c r="BE420" s="8"/>
      <c r="BF420" s="8"/>
      <c r="BG420" s="47"/>
      <c r="BH420" s="47"/>
      <c r="BI420" s="8"/>
      <c r="BJ420" s="3"/>
      <c r="BK420" s="47"/>
      <c r="BL420" s="47"/>
      <c r="BM420" s="24">
        <f t="shared" si="59"/>
        <v>6000</v>
      </c>
      <c r="BN420" s="28">
        <f t="shared" si="53"/>
        <v>-328855.84550000023</v>
      </c>
      <c r="BO420" s="2">
        <v>45453</v>
      </c>
    </row>
    <row r="421" spans="4:71" hidden="1" x14ac:dyDescent="0.25">
      <c r="D421" s="9" t="s">
        <v>30</v>
      </c>
      <c r="E421" s="2">
        <v>45454</v>
      </c>
      <c r="F421" s="38"/>
      <c r="G421" s="51"/>
      <c r="H421" s="4">
        <f t="shared" si="54"/>
        <v>2289.375</v>
      </c>
      <c r="I421" s="5">
        <v>1552.5</v>
      </c>
      <c r="J421" s="4">
        <f t="shared" si="55"/>
        <v>736.875</v>
      </c>
      <c r="K421" s="4">
        <f t="shared" si="60"/>
        <v>-43568.87</v>
      </c>
      <c r="L421" s="3"/>
      <c r="M421" s="3"/>
      <c r="N421" s="33">
        <f t="shared" si="56"/>
        <v>1552.5</v>
      </c>
      <c r="O421" s="28">
        <f t="shared" si="61"/>
        <v>-43568.87</v>
      </c>
      <c r="P421" s="9" t="s">
        <v>30</v>
      </c>
      <c r="Q421" s="2">
        <v>45454</v>
      </c>
      <c r="R421" s="38"/>
      <c r="S421" s="52"/>
      <c r="T421" s="4">
        <f t="shared" si="57"/>
        <v>4398.3</v>
      </c>
      <c r="U421" s="5"/>
      <c r="V421" s="4">
        <f t="shared" si="65"/>
        <v>4398.3</v>
      </c>
      <c r="W421" s="4">
        <f t="shared" si="62"/>
        <v>-26080.884999999984</v>
      </c>
      <c r="X421" s="3"/>
      <c r="Y421" s="3"/>
      <c r="Z421" s="25">
        <f t="shared" si="63"/>
        <v>0</v>
      </c>
      <c r="AA421" s="72">
        <f t="shared" si="64"/>
        <v>-26080.884999999984</v>
      </c>
      <c r="AB421" s="9" t="s">
        <v>30</v>
      </c>
      <c r="AC421" s="19">
        <v>45454</v>
      </c>
      <c r="AD421" s="41"/>
      <c r="AE421" s="42"/>
      <c r="AF421" s="4">
        <f t="shared" si="52"/>
        <v>7665.0749999999998</v>
      </c>
      <c r="AG421" s="3"/>
      <c r="AH421" s="8">
        <v>1467.05</v>
      </c>
      <c r="AI421" s="4">
        <f t="shared" si="66"/>
        <v>6198.0249999999996</v>
      </c>
      <c r="AJ421" s="4">
        <f t="shared" si="58"/>
        <v>-322657.82050000021</v>
      </c>
      <c r="AK421" s="8" t="s">
        <v>169</v>
      </c>
      <c r="AL421" s="8">
        <f>(1000+2500+5000)</f>
        <v>8500</v>
      </c>
      <c r="AM421" s="47" t="s">
        <v>170</v>
      </c>
      <c r="AN421" s="47">
        <f>(2800+15000+13600+7000)</f>
        <v>38400</v>
      </c>
      <c r="AO421" s="8"/>
      <c r="AP421" s="8"/>
      <c r="AQ421" s="47"/>
      <c r="AR421" s="47"/>
      <c r="AS421" s="8"/>
      <c r="AT421" s="8"/>
      <c r="AU421" s="47"/>
      <c r="AV421" s="47"/>
      <c r="AW421" s="8"/>
      <c r="AX421" s="8"/>
      <c r="AY421" s="47"/>
      <c r="AZ421" s="47"/>
      <c r="BA421" s="8"/>
      <c r="BB421" s="8"/>
      <c r="BC421" s="47"/>
      <c r="BD421" s="47"/>
      <c r="BE421" s="8"/>
      <c r="BF421" s="8"/>
      <c r="BG421" s="47"/>
      <c r="BH421" s="47"/>
      <c r="BI421" s="8"/>
      <c r="BJ421" s="3"/>
      <c r="BK421" s="47"/>
      <c r="BL421" s="47"/>
      <c r="BM421" s="24">
        <f t="shared" si="59"/>
        <v>46900</v>
      </c>
      <c r="BN421" s="28">
        <f t="shared" si="53"/>
        <v>-369557.82050000021</v>
      </c>
      <c r="BO421" s="2">
        <v>45454</v>
      </c>
      <c r="BS421">
        <v>446667.1</v>
      </c>
    </row>
    <row r="422" spans="4:71" hidden="1" x14ac:dyDescent="0.25">
      <c r="D422" s="9" t="s">
        <v>31</v>
      </c>
      <c r="E422" s="2">
        <v>45455</v>
      </c>
      <c r="F422" s="38"/>
      <c r="G422" s="51"/>
      <c r="H422" s="4">
        <f t="shared" si="54"/>
        <v>1936.0250000000001</v>
      </c>
      <c r="I422" s="5">
        <v>2021</v>
      </c>
      <c r="J422" s="4">
        <f t="shared" si="55"/>
        <v>-84.974999999999909</v>
      </c>
      <c r="K422" s="4">
        <f t="shared" si="60"/>
        <v>-43653.845000000001</v>
      </c>
      <c r="L422" s="3"/>
      <c r="M422" s="3"/>
      <c r="N422" s="33">
        <f t="shared" si="56"/>
        <v>2021</v>
      </c>
      <c r="O422" s="28">
        <f t="shared" si="61"/>
        <v>-43653.845000000001</v>
      </c>
      <c r="P422" s="9" t="s">
        <v>31</v>
      </c>
      <c r="Q422" s="2">
        <v>45455</v>
      </c>
      <c r="R422" s="38"/>
      <c r="S422" s="52"/>
      <c r="T422" s="4">
        <f t="shared" si="57"/>
        <v>2876.85</v>
      </c>
      <c r="U422" s="5">
        <v>868</v>
      </c>
      <c r="V422" s="4">
        <f t="shared" si="65"/>
        <v>2008.85</v>
      </c>
      <c r="W422" s="4">
        <f t="shared" si="62"/>
        <v>-24072.034999999985</v>
      </c>
      <c r="X422" s="3"/>
      <c r="Y422" s="3"/>
      <c r="Z422" s="25">
        <f t="shared" si="63"/>
        <v>868</v>
      </c>
      <c r="AA422" s="72">
        <f t="shared" si="64"/>
        <v>-24072.034999999985</v>
      </c>
      <c r="AB422" s="9" t="s">
        <v>31</v>
      </c>
      <c r="AC422" s="19">
        <v>45455</v>
      </c>
      <c r="AD422" s="41"/>
      <c r="AE422" s="42"/>
      <c r="AF422" s="4">
        <f t="shared" si="52"/>
        <v>5452.1749999999993</v>
      </c>
      <c r="AG422" s="3"/>
      <c r="AH422" s="8">
        <v>1007.7</v>
      </c>
      <c r="AI422" s="4">
        <f t="shared" si="66"/>
        <v>4444.4749999999995</v>
      </c>
      <c r="AJ422" s="4">
        <f t="shared" si="58"/>
        <v>-365113.34550000023</v>
      </c>
      <c r="AK422" s="8" t="s">
        <v>130</v>
      </c>
      <c r="AL422" s="8">
        <f>(1000+9925.38)</f>
        <v>10925.38</v>
      </c>
      <c r="AM422" s="47" t="s">
        <v>171</v>
      </c>
      <c r="AN422" s="47">
        <f>(1200)</f>
        <v>1200</v>
      </c>
      <c r="AO422" s="8"/>
      <c r="AP422" s="8"/>
      <c r="AQ422" s="47"/>
      <c r="AR422" s="47"/>
      <c r="AS422" s="8"/>
      <c r="AT422" s="8"/>
      <c r="AU422" s="47"/>
      <c r="AV422" s="47"/>
      <c r="AW422" s="8"/>
      <c r="AX422" s="8"/>
      <c r="AY422" s="47"/>
      <c r="AZ422" s="47"/>
      <c r="BA422" s="3" t="s">
        <v>157</v>
      </c>
      <c r="BB422" s="8">
        <f>(4000)</f>
        <v>4000</v>
      </c>
      <c r="BC422" s="47"/>
      <c r="BD422" s="47"/>
      <c r="BE422" s="8"/>
      <c r="BF422" s="8"/>
      <c r="BG422" s="47"/>
      <c r="BH422" s="47"/>
      <c r="BI422" s="8"/>
      <c r="BJ422" s="3"/>
      <c r="BK422" s="47"/>
      <c r="BL422" s="47"/>
      <c r="BM422" s="24">
        <f t="shared" si="59"/>
        <v>16125.38</v>
      </c>
      <c r="BN422" s="28">
        <f t="shared" si="53"/>
        <v>-381238.72550000023</v>
      </c>
      <c r="BO422" s="2">
        <v>45455</v>
      </c>
      <c r="BQ422">
        <f>(14466.11+1406.11+2567+15+5864.65)</f>
        <v>24318.870000000003</v>
      </c>
    </row>
    <row r="423" spans="4:71" hidden="1" x14ac:dyDescent="0.25">
      <c r="D423" s="9" t="s">
        <v>32</v>
      </c>
      <c r="E423" s="2">
        <v>45456</v>
      </c>
      <c r="F423" s="38"/>
      <c r="G423" s="51"/>
      <c r="H423" s="4">
        <f t="shared" si="54"/>
        <v>2033.425</v>
      </c>
      <c r="I423" s="5"/>
      <c r="J423" s="4">
        <f t="shared" si="55"/>
        <v>2033.425</v>
      </c>
      <c r="K423" s="4">
        <f t="shared" si="60"/>
        <v>-41620.42</v>
      </c>
      <c r="L423" s="3"/>
      <c r="M423" s="3"/>
      <c r="N423" s="33">
        <f t="shared" si="56"/>
        <v>0</v>
      </c>
      <c r="O423" s="28">
        <f t="shared" si="61"/>
        <v>-41620.42</v>
      </c>
      <c r="P423" s="9" t="s">
        <v>32</v>
      </c>
      <c r="Q423" s="2">
        <v>45456</v>
      </c>
      <c r="R423" s="38"/>
      <c r="S423" s="52"/>
      <c r="T423" s="4">
        <f t="shared" si="57"/>
        <v>2604.6</v>
      </c>
      <c r="U423" s="5">
        <f>(1878+1118.7+1980)</f>
        <v>4976.7</v>
      </c>
      <c r="V423" s="4">
        <f t="shared" si="65"/>
        <v>-2372.1</v>
      </c>
      <c r="W423" s="4">
        <f t="shared" si="62"/>
        <v>-26444.134999999984</v>
      </c>
      <c r="X423" s="3"/>
      <c r="Y423" s="3"/>
      <c r="Z423" s="25">
        <f t="shared" si="63"/>
        <v>4976.7</v>
      </c>
      <c r="AA423" s="72">
        <f t="shared" si="64"/>
        <v>-26444.134999999984</v>
      </c>
      <c r="AB423" s="9" t="s">
        <v>32</v>
      </c>
      <c r="AC423" s="19">
        <v>45456</v>
      </c>
      <c r="AD423" s="41"/>
      <c r="AE423" s="42"/>
      <c r="AF423" s="4">
        <f t="shared" si="52"/>
        <v>5216.8250000000007</v>
      </c>
      <c r="AG423" s="3"/>
      <c r="AH423" s="8">
        <v>1000</v>
      </c>
      <c r="AI423" s="4">
        <f t="shared" si="66"/>
        <v>4216.8250000000007</v>
      </c>
      <c r="AJ423" s="4">
        <f t="shared" si="58"/>
        <v>-377021.90050000022</v>
      </c>
      <c r="AK423" s="8" t="s">
        <v>130</v>
      </c>
      <c r="AL423" s="8">
        <f>(1000+1900)</f>
        <v>2900</v>
      </c>
      <c r="AM423" s="47" t="s">
        <v>173</v>
      </c>
      <c r="AN423" s="47">
        <f>(1800)</f>
        <v>1800</v>
      </c>
      <c r="AO423" s="8"/>
      <c r="AP423" s="8"/>
      <c r="AQ423" s="47"/>
      <c r="AR423" s="47"/>
      <c r="AS423" s="8"/>
      <c r="AT423" s="8"/>
      <c r="AU423" s="47"/>
      <c r="AV423" s="47"/>
      <c r="AW423" s="8"/>
      <c r="AX423" s="8"/>
      <c r="AY423" s="47"/>
      <c r="AZ423" s="47"/>
      <c r="BA423" s="8" t="s">
        <v>172</v>
      </c>
      <c r="BB423" s="8">
        <f>(2500+1707)</f>
        <v>4207</v>
      </c>
      <c r="BC423" s="47"/>
      <c r="BD423" s="47"/>
      <c r="BE423" s="8"/>
      <c r="BF423" s="8"/>
      <c r="BG423" s="47"/>
      <c r="BH423" s="47"/>
      <c r="BI423" s="8"/>
      <c r="BJ423" s="3"/>
      <c r="BK423" s="47"/>
      <c r="BL423" s="47"/>
      <c r="BM423" s="24">
        <f t="shared" si="59"/>
        <v>8907</v>
      </c>
      <c r="BN423" s="28">
        <f t="shared" si="53"/>
        <v>-385928.90050000022</v>
      </c>
      <c r="BO423" s="2">
        <v>45456</v>
      </c>
    </row>
    <row r="424" spans="4:71" hidden="1" x14ac:dyDescent="0.25">
      <c r="D424" s="9" t="s">
        <v>26</v>
      </c>
      <c r="E424" s="2">
        <v>45457</v>
      </c>
      <c r="F424" s="38"/>
      <c r="G424" s="51"/>
      <c r="H424" s="4">
        <f t="shared" si="54"/>
        <v>1475.5</v>
      </c>
      <c r="I424" s="5">
        <v>1406</v>
      </c>
      <c r="J424" s="4">
        <f t="shared" si="55"/>
        <v>69.5</v>
      </c>
      <c r="K424" s="4">
        <f t="shared" si="60"/>
        <v>-41550.92</v>
      </c>
      <c r="L424" s="3"/>
      <c r="M424" s="3"/>
      <c r="N424" s="33">
        <f t="shared" si="56"/>
        <v>1406</v>
      </c>
      <c r="O424" s="28">
        <f t="shared" si="61"/>
        <v>-41550.92</v>
      </c>
      <c r="P424" s="9" t="s">
        <v>26</v>
      </c>
      <c r="Q424" s="2">
        <v>45457</v>
      </c>
      <c r="R424" s="38"/>
      <c r="S424" s="52"/>
      <c r="T424" s="4">
        <f t="shared" si="57"/>
        <v>5198.8500000000004</v>
      </c>
      <c r="U424" s="5"/>
      <c r="V424" s="4">
        <f t="shared" si="65"/>
        <v>5198.8500000000004</v>
      </c>
      <c r="W424" s="4">
        <f t="shared" si="62"/>
        <v>-21245.284999999982</v>
      </c>
      <c r="X424" s="3"/>
      <c r="Y424" s="3"/>
      <c r="Z424" s="25">
        <f t="shared" si="63"/>
        <v>0</v>
      </c>
      <c r="AA424" s="72">
        <f t="shared" si="64"/>
        <v>-21245.284999999982</v>
      </c>
      <c r="AB424" s="9" t="s">
        <v>26</v>
      </c>
      <c r="AC424" s="19">
        <v>45457</v>
      </c>
      <c r="AD424" s="41"/>
      <c r="AE424" s="42"/>
      <c r="AF424" s="4">
        <f t="shared" si="52"/>
        <v>7829.65</v>
      </c>
      <c r="AG424" s="3"/>
      <c r="AH424" s="8">
        <v>1676.4</v>
      </c>
      <c r="AI424" s="4">
        <f t="shared" si="66"/>
        <v>6153.25</v>
      </c>
      <c r="AJ424" s="4">
        <f t="shared" si="58"/>
        <v>-379775.65050000022</v>
      </c>
      <c r="AK424" s="8" t="s">
        <v>175</v>
      </c>
      <c r="AL424" s="8">
        <f>(1000+2472+486.2)</f>
        <v>3958.2</v>
      </c>
      <c r="AM424" s="47"/>
      <c r="AN424" s="47"/>
      <c r="AO424" s="8"/>
      <c r="AP424" s="8"/>
      <c r="AQ424" s="47"/>
      <c r="AR424" s="47"/>
      <c r="AS424" s="8"/>
      <c r="AT424" s="8"/>
      <c r="AU424" s="47"/>
      <c r="AV424" s="47"/>
      <c r="AW424" s="8"/>
      <c r="AX424" s="8"/>
      <c r="AY424" s="47" t="s">
        <v>71</v>
      </c>
      <c r="AZ424" s="47">
        <f>(1000)</f>
        <v>1000</v>
      </c>
      <c r="BA424" s="3" t="s">
        <v>174</v>
      </c>
      <c r="BB424" s="8">
        <f>(628)</f>
        <v>628</v>
      </c>
      <c r="BC424" s="47"/>
      <c r="BD424" s="47"/>
      <c r="BE424" s="8"/>
      <c r="BF424" s="8"/>
      <c r="BG424" s="47"/>
      <c r="BH424" s="47"/>
      <c r="BI424" s="8"/>
      <c r="BJ424" s="3"/>
      <c r="BK424" s="47"/>
      <c r="BL424" s="47"/>
      <c r="BM424" s="24">
        <f t="shared" si="59"/>
        <v>5586.2</v>
      </c>
      <c r="BN424" s="28">
        <f t="shared" si="53"/>
        <v>-385361.85050000023</v>
      </c>
      <c r="BO424" s="2">
        <v>45457</v>
      </c>
    </row>
    <row r="425" spans="4:71" hidden="1" x14ac:dyDescent="0.25">
      <c r="D425" s="9" t="s">
        <v>27</v>
      </c>
      <c r="E425" s="2">
        <v>45458</v>
      </c>
      <c r="F425" s="38"/>
      <c r="G425" s="51"/>
      <c r="H425" s="4">
        <f t="shared" si="54"/>
        <v>2242.1750000000002</v>
      </c>
      <c r="I425" s="5">
        <v>1320.6</v>
      </c>
      <c r="J425" s="4">
        <f t="shared" si="55"/>
        <v>921.57500000000027</v>
      </c>
      <c r="K425" s="4">
        <f t="shared" si="60"/>
        <v>-40629.345000000001</v>
      </c>
      <c r="L425" s="3"/>
      <c r="M425" s="3"/>
      <c r="N425" s="33">
        <f t="shared" si="56"/>
        <v>1320.6</v>
      </c>
      <c r="O425" s="28">
        <f t="shared" si="61"/>
        <v>-40629.345000000001</v>
      </c>
      <c r="P425" s="9" t="s">
        <v>27</v>
      </c>
      <c r="Q425" s="2">
        <v>45458</v>
      </c>
      <c r="R425" s="38"/>
      <c r="S425" s="52"/>
      <c r="T425" s="4">
        <f t="shared" si="57"/>
        <v>3754.8</v>
      </c>
      <c r="U425" s="5">
        <v>1110</v>
      </c>
      <c r="V425" s="4">
        <f t="shared" si="65"/>
        <v>2644.8</v>
      </c>
      <c r="W425" s="4">
        <f t="shared" si="62"/>
        <v>-18600.484999999982</v>
      </c>
      <c r="X425" s="3"/>
      <c r="Y425" s="3"/>
      <c r="Z425" s="25">
        <f t="shared" si="63"/>
        <v>1110</v>
      </c>
      <c r="AA425" s="72">
        <f t="shared" si="64"/>
        <v>-18600.484999999982</v>
      </c>
      <c r="AB425" s="9" t="s">
        <v>27</v>
      </c>
      <c r="AC425" s="19">
        <v>45458</v>
      </c>
      <c r="AD425" s="41"/>
      <c r="AE425" s="42"/>
      <c r="AF425" s="4">
        <f t="shared" si="52"/>
        <v>6831.3749999999991</v>
      </c>
      <c r="AG425" s="3"/>
      <c r="AH425" s="8">
        <v>1449.3</v>
      </c>
      <c r="AI425" s="4">
        <f t="shared" si="66"/>
        <v>5382.0749999999989</v>
      </c>
      <c r="AJ425" s="4">
        <f t="shared" si="58"/>
        <v>-379979.77550000022</v>
      </c>
      <c r="AK425" s="8" t="s">
        <v>130</v>
      </c>
      <c r="AL425" s="8">
        <f>(1000+6081)</f>
        <v>7081</v>
      </c>
      <c r="AM425" s="47"/>
      <c r="AN425" s="47"/>
      <c r="AO425" s="8"/>
      <c r="AP425" s="8"/>
      <c r="AQ425" s="47"/>
      <c r="AR425" s="47"/>
      <c r="AS425" s="8"/>
      <c r="AT425" s="8"/>
      <c r="AU425" s="47"/>
      <c r="AV425" s="47"/>
      <c r="AW425" s="8"/>
      <c r="AX425" s="8"/>
      <c r="AY425" s="47"/>
      <c r="AZ425" s="47"/>
      <c r="BA425" s="3" t="s">
        <v>176</v>
      </c>
      <c r="BB425" s="8">
        <f>(1800)</f>
        <v>1800</v>
      </c>
      <c r="BC425" s="47"/>
      <c r="BD425" s="47"/>
      <c r="BE425" s="8"/>
      <c r="BF425" s="8"/>
      <c r="BG425" s="47"/>
      <c r="BH425" s="47"/>
      <c r="BI425" s="8"/>
      <c r="BJ425" s="3"/>
      <c r="BK425" s="47"/>
      <c r="BL425" s="47"/>
      <c r="BM425" s="24">
        <f t="shared" si="59"/>
        <v>8881</v>
      </c>
      <c r="BN425" s="28">
        <f t="shared" si="53"/>
        <v>-388860.77550000022</v>
      </c>
      <c r="BO425" s="2">
        <v>45458</v>
      </c>
    </row>
    <row r="426" spans="4:71" hidden="1" x14ac:dyDescent="0.25">
      <c r="D426" s="9" t="s">
        <v>28</v>
      </c>
      <c r="E426" s="2">
        <v>45459</v>
      </c>
      <c r="F426" s="38"/>
      <c r="G426" s="51"/>
      <c r="H426" s="4">
        <f t="shared" si="54"/>
        <v>2713.8</v>
      </c>
      <c r="I426" s="5"/>
      <c r="J426" s="4">
        <f t="shared" si="55"/>
        <v>2713.8</v>
      </c>
      <c r="K426" s="4">
        <f t="shared" si="60"/>
        <v>-37915.544999999998</v>
      </c>
      <c r="L426" s="3"/>
      <c r="M426" s="3"/>
      <c r="N426" s="33">
        <f t="shared" si="56"/>
        <v>0</v>
      </c>
      <c r="O426" s="28">
        <f t="shared" si="61"/>
        <v>-37915.544999999998</v>
      </c>
      <c r="P426" s="9" t="s">
        <v>28</v>
      </c>
      <c r="Q426" s="2">
        <v>45459</v>
      </c>
      <c r="R426" s="38"/>
      <c r="S426" s="52"/>
      <c r="T426" s="4">
        <f t="shared" si="57"/>
        <v>4981.5</v>
      </c>
      <c r="U426" s="5"/>
      <c r="V426" s="4">
        <f t="shared" si="65"/>
        <v>4981.5</v>
      </c>
      <c r="W426" s="4">
        <f t="shared" si="62"/>
        <v>-13618.984999999982</v>
      </c>
      <c r="X426" s="3"/>
      <c r="Y426" s="3"/>
      <c r="Z426" s="25">
        <f t="shared" si="63"/>
        <v>0</v>
      </c>
      <c r="AA426" s="72">
        <f t="shared" si="64"/>
        <v>-13618.984999999982</v>
      </c>
      <c r="AB426" s="9" t="s">
        <v>28</v>
      </c>
      <c r="AC426" s="19">
        <v>45459</v>
      </c>
      <c r="AD426" s="41"/>
      <c r="AE426" s="42"/>
      <c r="AF426" s="4">
        <f t="shared" si="52"/>
        <v>8802.2999999999993</v>
      </c>
      <c r="AG426" s="3"/>
      <c r="AH426" s="8">
        <v>1299</v>
      </c>
      <c r="AI426" s="4">
        <f t="shared" si="66"/>
        <v>7503.2999999999993</v>
      </c>
      <c r="AJ426" s="4">
        <f t="shared" si="58"/>
        <v>-381357.47550000023</v>
      </c>
      <c r="AK426" s="8" t="s">
        <v>89</v>
      </c>
      <c r="AL426" s="8">
        <f>(1000)</f>
        <v>1000</v>
      </c>
      <c r="AM426" s="47"/>
      <c r="AN426" s="47"/>
      <c r="AO426" s="8"/>
      <c r="AP426" s="8"/>
      <c r="AQ426" s="47"/>
      <c r="AR426" s="47"/>
      <c r="AS426" s="8"/>
      <c r="AT426" s="8"/>
      <c r="AU426" s="47"/>
      <c r="AV426" s="47"/>
      <c r="AW426" s="8"/>
      <c r="AX426" s="8"/>
      <c r="AY426" s="47"/>
      <c r="AZ426" s="47"/>
      <c r="BA426" s="8" t="s">
        <v>177</v>
      </c>
      <c r="BB426" s="8">
        <f>(2000)</f>
        <v>2000</v>
      </c>
      <c r="BC426" s="47"/>
      <c r="BD426" s="47"/>
      <c r="BE426" s="8"/>
      <c r="BF426" s="8"/>
      <c r="BG426" s="47"/>
      <c r="BH426" s="47"/>
      <c r="BI426" s="8"/>
      <c r="BJ426" s="3"/>
      <c r="BK426" s="47"/>
      <c r="BL426" s="47"/>
      <c r="BM426" s="24">
        <f t="shared" si="59"/>
        <v>3000</v>
      </c>
      <c r="BN426" s="28">
        <f t="shared" si="53"/>
        <v>-384357.47550000023</v>
      </c>
      <c r="BO426" s="2">
        <v>45459</v>
      </c>
      <c r="BS426">
        <f>BS421-BS419</f>
        <v>5342.75</v>
      </c>
    </row>
    <row r="427" spans="4:71" hidden="1" x14ac:dyDescent="0.25">
      <c r="D427" s="9" t="s">
        <v>29</v>
      </c>
      <c r="E427" s="2">
        <v>45460</v>
      </c>
      <c r="F427" s="38"/>
      <c r="G427" s="51"/>
      <c r="H427" s="4">
        <f t="shared" si="54"/>
        <v>2425.6</v>
      </c>
      <c r="I427" s="5"/>
      <c r="J427" s="4">
        <f t="shared" si="55"/>
        <v>2425.6</v>
      </c>
      <c r="K427" s="4">
        <f t="shared" si="60"/>
        <v>-35489.945</v>
      </c>
      <c r="L427" s="3"/>
      <c r="M427" s="3"/>
      <c r="N427" s="33">
        <f t="shared" si="56"/>
        <v>0</v>
      </c>
      <c r="O427" s="28">
        <f t="shared" si="61"/>
        <v>-35489.945</v>
      </c>
      <c r="P427" s="9" t="s">
        <v>29</v>
      </c>
      <c r="Q427" s="2">
        <v>45460</v>
      </c>
      <c r="R427" s="38"/>
      <c r="S427" s="52"/>
      <c r="T427" s="4">
        <f t="shared" si="57"/>
        <v>2970.4500000000003</v>
      </c>
      <c r="U427" s="5"/>
      <c r="V427" s="4">
        <f t="shared" si="65"/>
        <v>2970.4500000000003</v>
      </c>
      <c r="W427" s="4">
        <f t="shared" si="62"/>
        <v>-10648.534999999982</v>
      </c>
      <c r="X427" s="3"/>
      <c r="Y427" s="3"/>
      <c r="Z427" s="25">
        <f t="shared" si="63"/>
        <v>0</v>
      </c>
      <c r="AA427" s="72">
        <f t="shared" si="64"/>
        <v>-10648.534999999982</v>
      </c>
      <c r="AB427" s="9" t="s">
        <v>29</v>
      </c>
      <c r="AC427" s="19">
        <v>45460</v>
      </c>
      <c r="AD427" s="41"/>
      <c r="AE427" s="42"/>
      <c r="AF427" s="4">
        <f t="shared" si="52"/>
        <v>6056.15</v>
      </c>
      <c r="AG427" s="3"/>
      <c r="AH427" s="8">
        <v>994</v>
      </c>
      <c r="AI427" s="4">
        <f t="shared" si="66"/>
        <v>5062.1499999999996</v>
      </c>
      <c r="AJ427" s="4">
        <f t="shared" si="58"/>
        <v>-379295.32550000021</v>
      </c>
      <c r="AK427" s="8" t="s">
        <v>89</v>
      </c>
      <c r="AL427" s="8">
        <f>(1000)</f>
        <v>1000</v>
      </c>
      <c r="AM427" s="47"/>
      <c r="AN427" s="47"/>
      <c r="AO427" s="8"/>
      <c r="AP427" s="8"/>
      <c r="AQ427" s="47"/>
      <c r="AR427" s="47"/>
      <c r="AS427" s="8"/>
      <c r="AT427" s="8"/>
      <c r="AU427" s="47"/>
      <c r="AV427" s="47"/>
      <c r="AW427" s="8"/>
      <c r="AX427" s="8"/>
      <c r="AY427" s="47"/>
      <c r="AZ427" s="47"/>
      <c r="BA427" s="3"/>
      <c r="BB427" s="8"/>
      <c r="BC427" s="47"/>
      <c r="BD427" s="47"/>
      <c r="BE427" s="8"/>
      <c r="BF427" s="8"/>
      <c r="BG427" s="47"/>
      <c r="BH427" s="47"/>
      <c r="BI427" s="8"/>
      <c r="BJ427" s="3"/>
      <c r="BK427" s="47"/>
      <c r="BL427" s="47"/>
      <c r="BM427" s="24">
        <f t="shared" si="59"/>
        <v>1000</v>
      </c>
      <c r="BN427" s="28">
        <f t="shared" si="53"/>
        <v>-380295.32550000021</v>
      </c>
      <c r="BO427" s="2">
        <v>45460</v>
      </c>
    </row>
    <row r="428" spans="4:71" hidden="1" x14ac:dyDescent="0.25">
      <c r="D428" s="9" t="s">
        <v>30</v>
      </c>
      <c r="E428" s="2">
        <v>45461</v>
      </c>
      <c r="F428" s="38"/>
      <c r="G428" s="51"/>
      <c r="H428" s="4">
        <f t="shared" si="54"/>
        <v>2370.6999999999998</v>
      </c>
      <c r="I428" s="5">
        <v>1703</v>
      </c>
      <c r="J428" s="4">
        <f t="shared" si="55"/>
        <v>667.69999999999982</v>
      </c>
      <c r="K428" s="4">
        <f t="shared" si="60"/>
        <v>-34822.245000000003</v>
      </c>
      <c r="L428" s="3"/>
      <c r="M428" s="3"/>
      <c r="N428" s="33">
        <f t="shared" si="56"/>
        <v>1703</v>
      </c>
      <c r="O428" s="28">
        <f t="shared" si="61"/>
        <v>-34822.245000000003</v>
      </c>
      <c r="P428" s="9" t="s">
        <v>30</v>
      </c>
      <c r="Q428" s="2">
        <v>45461</v>
      </c>
      <c r="R428" s="38"/>
      <c r="S428" s="52"/>
      <c r="T428" s="4">
        <f t="shared" si="57"/>
        <v>2463.75</v>
      </c>
      <c r="U428" s="5"/>
      <c r="V428" s="4">
        <f t="shared" si="65"/>
        <v>2463.75</v>
      </c>
      <c r="W428" s="4">
        <f t="shared" si="62"/>
        <v>-8184.7849999999817</v>
      </c>
      <c r="X428" s="3"/>
      <c r="Y428" s="3"/>
      <c r="Z428" s="25">
        <f t="shared" si="63"/>
        <v>0</v>
      </c>
      <c r="AA428" s="72">
        <f t="shared" si="64"/>
        <v>-8184.7849999999817</v>
      </c>
      <c r="AB428" s="9" t="s">
        <v>30</v>
      </c>
      <c r="AC428" s="19">
        <v>45461</v>
      </c>
      <c r="AD428" s="41"/>
      <c r="AE428" s="42"/>
      <c r="AF428" s="4">
        <f t="shared" si="52"/>
        <v>5381.95</v>
      </c>
      <c r="AG428" s="3"/>
      <c r="AH428" s="8">
        <v>791</v>
      </c>
      <c r="AI428" s="4">
        <f t="shared" si="66"/>
        <v>4590.95</v>
      </c>
      <c r="AJ428" s="4">
        <f t="shared" si="58"/>
        <v>-375704.3755000002</v>
      </c>
      <c r="AK428" s="8" t="s">
        <v>89</v>
      </c>
      <c r="AL428" s="8">
        <f>(1000)</f>
        <v>1000</v>
      </c>
      <c r="AM428" s="47" t="s">
        <v>178</v>
      </c>
      <c r="AN428" s="47">
        <f>(24550)</f>
        <v>24550</v>
      </c>
      <c r="AO428" s="8"/>
      <c r="AP428" s="8"/>
      <c r="AQ428" s="47"/>
      <c r="AR428" s="47"/>
      <c r="AS428" s="8"/>
      <c r="AT428" s="8"/>
      <c r="AU428" s="47"/>
      <c r="AV428" s="47"/>
      <c r="AW428" s="8"/>
      <c r="AX428" s="8"/>
      <c r="AY428" s="47"/>
      <c r="AZ428" s="47"/>
      <c r="BA428" s="8"/>
      <c r="BB428" s="8"/>
      <c r="BC428" s="47"/>
      <c r="BD428" s="47"/>
      <c r="BE428" s="8"/>
      <c r="BF428" s="8"/>
      <c r="BG428" s="47"/>
      <c r="BH428" s="47"/>
      <c r="BI428" s="8"/>
      <c r="BJ428" s="3"/>
      <c r="BK428" s="47"/>
      <c r="BL428" s="47"/>
      <c r="BM428" s="24">
        <f t="shared" si="59"/>
        <v>25550</v>
      </c>
      <c r="BN428" s="28">
        <f t="shared" si="53"/>
        <v>-401254.3755000002</v>
      </c>
      <c r="BO428" s="2">
        <v>45461</v>
      </c>
    </row>
    <row r="429" spans="4:71" hidden="1" x14ac:dyDescent="0.25">
      <c r="D429" s="9" t="s">
        <v>31</v>
      </c>
      <c r="E429" s="2">
        <v>45462</v>
      </c>
      <c r="F429" s="38"/>
      <c r="G429" s="51"/>
      <c r="H429" s="4">
        <f t="shared" si="54"/>
        <v>1634.7750000000001</v>
      </c>
      <c r="I429" s="5">
        <v>6670.28</v>
      </c>
      <c r="J429" s="4">
        <f t="shared" si="55"/>
        <v>-5035.5049999999992</v>
      </c>
      <c r="K429" s="4">
        <f t="shared" si="60"/>
        <v>-39857.75</v>
      </c>
      <c r="L429" s="3"/>
      <c r="M429" s="3"/>
      <c r="N429" s="33">
        <f t="shared" si="56"/>
        <v>6670.28</v>
      </c>
      <c r="O429" s="28">
        <f t="shared" si="61"/>
        <v>-39857.75</v>
      </c>
      <c r="P429" s="9" t="s">
        <v>31</v>
      </c>
      <c r="Q429" s="2">
        <v>45462</v>
      </c>
      <c r="R429" s="38"/>
      <c r="S429" s="52"/>
      <c r="T429" s="4">
        <f t="shared" si="57"/>
        <v>2441.7000000000003</v>
      </c>
      <c r="U429" s="5">
        <v>1340</v>
      </c>
      <c r="V429" s="4">
        <f t="shared" si="65"/>
        <v>1101.7000000000003</v>
      </c>
      <c r="W429" s="4">
        <f t="shared" si="62"/>
        <v>-7083.0849999999809</v>
      </c>
      <c r="X429" s="3"/>
      <c r="Y429" s="3"/>
      <c r="Z429" s="25">
        <f t="shared" si="63"/>
        <v>1340</v>
      </c>
      <c r="AA429" s="72">
        <f t="shared" si="64"/>
        <v>-7083.0849999999809</v>
      </c>
      <c r="AB429" s="9" t="s">
        <v>31</v>
      </c>
      <c r="AC429" s="19">
        <v>45462</v>
      </c>
      <c r="AD429" s="41"/>
      <c r="AE429" s="42"/>
      <c r="AF429" s="4">
        <f t="shared" si="52"/>
        <v>4619.0749999999989</v>
      </c>
      <c r="AG429" s="3"/>
      <c r="AH429" s="8">
        <v>1087.7</v>
      </c>
      <c r="AI429" s="4">
        <f t="shared" si="66"/>
        <v>3531.3749999999991</v>
      </c>
      <c r="AJ429" s="4">
        <f t="shared" si="58"/>
        <v>-397723.0005000002</v>
      </c>
      <c r="AK429" s="8" t="s">
        <v>89</v>
      </c>
      <c r="AL429" s="8">
        <f>(1000)</f>
        <v>1000</v>
      </c>
      <c r="AM429" s="47" t="s">
        <v>179</v>
      </c>
      <c r="AN429" s="47">
        <f>(375)</f>
        <v>375</v>
      </c>
      <c r="AO429" s="8"/>
      <c r="AP429" s="8"/>
      <c r="AQ429" s="47"/>
      <c r="AR429" s="47"/>
      <c r="AS429" s="8"/>
      <c r="AT429" s="8"/>
      <c r="AU429" s="47"/>
      <c r="AV429" s="47"/>
      <c r="AW429" s="8"/>
      <c r="AX429" s="8"/>
      <c r="AY429" s="47"/>
      <c r="AZ429" s="47"/>
      <c r="BA429" s="3" t="s">
        <v>180</v>
      </c>
      <c r="BB429" s="8">
        <f>(230.9+160+530)</f>
        <v>920.9</v>
      </c>
      <c r="BC429" s="47"/>
      <c r="BD429" s="47"/>
      <c r="BE429" s="8"/>
      <c r="BF429" s="8"/>
      <c r="BG429" s="47"/>
      <c r="BH429" s="47"/>
      <c r="BI429" s="8"/>
      <c r="BJ429" s="3"/>
      <c r="BK429" s="47"/>
      <c r="BL429" s="47"/>
      <c r="BM429" s="24">
        <f t="shared" si="59"/>
        <v>2295.9</v>
      </c>
      <c r="BN429" s="28">
        <f t="shared" si="53"/>
        <v>-400018.90050000022</v>
      </c>
      <c r="BO429" s="2">
        <v>45462</v>
      </c>
    </row>
    <row r="430" spans="4:71" hidden="1" x14ac:dyDescent="0.25">
      <c r="D430" s="9" t="s">
        <v>32</v>
      </c>
      <c r="E430" s="2">
        <v>45463</v>
      </c>
      <c r="F430" s="38"/>
      <c r="G430" s="51"/>
      <c r="H430" s="4">
        <f t="shared" si="54"/>
        <v>1933.55</v>
      </c>
      <c r="I430" s="5">
        <v>1521.8</v>
      </c>
      <c r="J430" s="4">
        <f t="shared" si="55"/>
        <v>411.75</v>
      </c>
      <c r="K430" s="4">
        <f t="shared" si="60"/>
        <v>-39446</v>
      </c>
      <c r="L430" s="3"/>
      <c r="M430" s="3"/>
      <c r="N430" s="33">
        <f t="shared" si="56"/>
        <v>1521.8</v>
      </c>
      <c r="O430" s="28">
        <f t="shared" si="61"/>
        <v>-39446</v>
      </c>
      <c r="P430" s="9" t="s">
        <v>32</v>
      </c>
      <c r="Q430" s="2">
        <v>45463</v>
      </c>
      <c r="R430" s="38"/>
      <c r="S430" s="52"/>
      <c r="T430" s="4">
        <f t="shared" si="57"/>
        <v>5182.2</v>
      </c>
      <c r="U430" s="5"/>
      <c r="V430" s="4">
        <f t="shared" si="65"/>
        <v>5182.2</v>
      </c>
      <c r="W430" s="4">
        <f t="shared" si="62"/>
        <v>-1900.8849999999811</v>
      </c>
      <c r="X430" s="3"/>
      <c r="Y430" s="3"/>
      <c r="Z430" s="25">
        <f t="shared" si="63"/>
        <v>0</v>
      </c>
      <c r="AA430" s="72">
        <f t="shared" si="64"/>
        <v>-1900.8849999999811</v>
      </c>
      <c r="AB430" s="9" t="s">
        <v>32</v>
      </c>
      <c r="AC430" s="19">
        <v>45463</v>
      </c>
      <c r="AD430" s="41"/>
      <c r="AE430" s="42"/>
      <c r="AF430" s="4">
        <f t="shared" si="52"/>
        <v>8267.3500000000022</v>
      </c>
      <c r="AG430" s="3"/>
      <c r="AH430" s="8">
        <v>1920.1</v>
      </c>
      <c r="AI430" s="4">
        <f t="shared" si="66"/>
        <v>6347.2500000000018</v>
      </c>
      <c r="AJ430" s="4">
        <f t="shared" si="58"/>
        <v>-393671.65050000022</v>
      </c>
      <c r="AK430" s="8" t="s">
        <v>89</v>
      </c>
      <c r="AL430" s="8">
        <f>(1000)</f>
        <v>1000</v>
      </c>
      <c r="AM430" s="47"/>
      <c r="AN430" s="47"/>
      <c r="AO430" s="8"/>
      <c r="AP430" s="8"/>
      <c r="AQ430" s="47"/>
      <c r="AR430" s="47"/>
      <c r="AS430" s="8"/>
      <c r="AT430" s="8"/>
      <c r="AU430" s="47"/>
      <c r="AV430" s="47"/>
      <c r="AW430" s="8"/>
      <c r="AX430" s="8"/>
      <c r="AY430" s="47"/>
      <c r="AZ430" s="47"/>
      <c r="BA430" s="8"/>
      <c r="BB430" s="8"/>
      <c r="BC430" s="47"/>
      <c r="BD430" s="47"/>
      <c r="BE430" s="8"/>
      <c r="BF430" s="8"/>
      <c r="BG430" s="47"/>
      <c r="BH430" s="47"/>
      <c r="BI430" s="8"/>
      <c r="BJ430" s="3"/>
      <c r="BK430" s="47"/>
      <c r="BL430" s="47"/>
      <c r="BM430" s="24">
        <f t="shared" si="59"/>
        <v>1000</v>
      </c>
      <c r="BN430" s="28">
        <f t="shared" si="53"/>
        <v>-394671.65050000022</v>
      </c>
      <c r="BO430" s="2">
        <v>45463</v>
      </c>
    </row>
    <row r="431" spans="4:71" hidden="1" x14ac:dyDescent="0.25">
      <c r="D431" s="9" t="s">
        <v>26</v>
      </c>
      <c r="E431" s="2">
        <v>45464</v>
      </c>
      <c r="F431" s="38"/>
      <c r="G431" s="51"/>
      <c r="H431" s="4">
        <f t="shared" si="54"/>
        <v>1551.7249999999999</v>
      </c>
      <c r="I431" s="5"/>
      <c r="J431" s="4">
        <f t="shared" si="55"/>
        <v>1551.7249999999999</v>
      </c>
      <c r="K431" s="4">
        <f t="shared" si="60"/>
        <v>-37894.275000000001</v>
      </c>
      <c r="L431" s="3"/>
      <c r="M431" s="3"/>
      <c r="N431" s="33">
        <f t="shared" si="56"/>
        <v>0</v>
      </c>
      <c r="O431" s="28">
        <f t="shared" si="61"/>
        <v>-37894.275000000001</v>
      </c>
      <c r="P431" s="9" t="s">
        <v>26</v>
      </c>
      <c r="Q431" s="2">
        <v>45464</v>
      </c>
      <c r="R431" s="38"/>
      <c r="S431" s="52"/>
      <c r="T431" s="4">
        <f t="shared" si="57"/>
        <v>4737.6000000000004</v>
      </c>
      <c r="U431" s="5"/>
      <c r="V431" s="4">
        <f t="shared" si="65"/>
        <v>4737.6000000000004</v>
      </c>
      <c r="W431" s="4">
        <f t="shared" si="62"/>
        <v>2836.7150000000192</v>
      </c>
      <c r="X431" s="3" t="s">
        <v>83</v>
      </c>
      <c r="Y431" s="3">
        <f>(25773)</f>
        <v>25773</v>
      </c>
      <c r="Z431" s="25">
        <f t="shared" si="63"/>
        <v>25773</v>
      </c>
      <c r="AA431" s="72">
        <f t="shared" si="64"/>
        <v>-22936.284999999982</v>
      </c>
      <c r="AB431" s="9" t="s">
        <v>26</v>
      </c>
      <c r="AC431" s="19">
        <v>45464</v>
      </c>
      <c r="AD431" s="41"/>
      <c r="AE431" s="42"/>
      <c r="AF431" s="4">
        <f t="shared" si="52"/>
        <v>7342.125</v>
      </c>
      <c r="AG431" s="3"/>
      <c r="AH431" s="8">
        <v>1553</v>
      </c>
      <c r="AI431" s="4">
        <f t="shared" si="66"/>
        <v>5789.125</v>
      </c>
      <c r="AJ431" s="4">
        <f t="shared" si="58"/>
        <v>-388882.52550000022</v>
      </c>
      <c r="AK431" s="8" t="s">
        <v>89</v>
      </c>
      <c r="AL431" s="8">
        <f>(1000)</f>
        <v>1000</v>
      </c>
      <c r="AM431" s="47" t="s">
        <v>181</v>
      </c>
      <c r="AN431" s="47">
        <f>(125.06)</f>
        <v>125.06</v>
      </c>
      <c r="AO431" s="8"/>
      <c r="AP431" s="8"/>
      <c r="AQ431" s="47"/>
      <c r="AR431" s="47"/>
      <c r="AS431" s="8"/>
      <c r="AT431" s="8"/>
      <c r="AU431" s="47"/>
      <c r="AV431" s="47"/>
      <c r="AW431" s="8"/>
      <c r="AX431" s="8"/>
      <c r="AY431" s="47"/>
      <c r="AZ431" s="47"/>
      <c r="BA431" s="8"/>
      <c r="BB431" s="8"/>
      <c r="BC431" s="47"/>
      <c r="BD431" s="47"/>
      <c r="BE431" s="8"/>
      <c r="BF431" s="8"/>
      <c r="BG431" s="47"/>
      <c r="BH431" s="47"/>
      <c r="BI431" s="8"/>
      <c r="BJ431" s="3"/>
      <c r="BK431" s="47"/>
      <c r="BL431" s="47"/>
      <c r="BM431" s="24">
        <f t="shared" si="59"/>
        <v>1125.06</v>
      </c>
      <c r="BN431" s="28">
        <f t="shared" si="53"/>
        <v>-390007.58550000022</v>
      </c>
      <c r="BO431" s="2">
        <v>45464</v>
      </c>
    </row>
    <row r="432" spans="4:71" hidden="1" x14ac:dyDescent="0.25">
      <c r="D432" s="9" t="s">
        <v>27</v>
      </c>
      <c r="E432" s="2">
        <v>45465</v>
      </c>
      <c r="F432" s="38"/>
      <c r="G432" s="51"/>
      <c r="H432" s="4">
        <f t="shared" si="54"/>
        <v>1989.4749999999999</v>
      </c>
      <c r="I432" s="5">
        <v>1169</v>
      </c>
      <c r="J432" s="4">
        <f t="shared" si="55"/>
        <v>820.47499999999991</v>
      </c>
      <c r="K432" s="4">
        <f t="shared" si="60"/>
        <v>-37073.800000000003</v>
      </c>
      <c r="L432" s="3"/>
      <c r="M432" s="3"/>
      <c r="N432" s="33">
        <f t="shared" si="56"/>
        <v>1169</v>
      </c>
      <c r="O432" s="28">
        <f t="shared" si="61"/>
        <v>-37073.800000000003</v>
      </c>
      <c r="P432" s="9" t="s">
        <v>27</v>
      </c>
      <c r="Q432" s="2">
        <v>45465</v>
      </c>
      <c r="R432" s="38"/>
      <c r="S432" s="52"/>
      <c r="T432" s="4">
        <f t="shared" si="57"/>
        <v>3890.25</v>
      </c>
      <c r="U432" s="5">
        <v>2467</v>
      </c>
      <c r="V432" s="4">
        <f t="shared" si="65"/>
        <v>1423.25</v>
      </c>
      <c r="W432" s="4">
        <f t="shared" si="62"/>
        <v>-21513.034999999982</v>
      </c>
      <c r="X432" s="3"/>
      <c r="Y432" s="3"/>
      <c r="Z432" s="25">
        <f t="shared" si="63"/>
        <v>2467</v>
      </c>
      <c r="AA432" s="72">
        <f t="shared" si="64"/>
        <v>-21513.034999999982</v>
      </c>
      <c r="AB432" s="9" t="s">
        <v>27</v>
      </c>
      <c r="AC432" s="19">
        <v>45465</v>
      </c>
      <c r="AD432" s="41"/>
      <c r="AE432" s="42"/>
      <c r="AF432" s="4">
        <f t="shared" si="52"/>
        <v>6744.2250000000004</v>
      </c>
      <c r="AG432" s="3"/>
      <c r="AH432" s="8">
        <v>1082</v>
      </c>
      <c r="AI432" s="4">
        <f t="shared" si="66"/>
        <v>5662.2250000000004</v>
      </c>
      <c r="AJ432" s="4">
        <f t="shared" si="58"/>
        <v>-384345.36050000024</v>
      </c>
      <c r="AK432" s="8" t="s">
        <v>89</v>
      </c>
      <c r="AL432" s="8">
        <f>(1000)</f>
        <v>1000</v>
      </c>
      <c r="AM432" s="47"/>
      <c r="AN432" s="47"/>
      <c r="AO432" s="8"/>
      <c r="AP432" s="8"/>
      <c r="AQ432" s="47"/>
      <c r="AR432" s="47"/>
      <c r="AS432" s="8"/>
      <c r="AT432" s="8"/>
      <c r="AU432" s="47"/>
      <c r="AV432" s="47"/>
      <c r="AW432" s="8"/>
      <c r="AX432" s="8"/>
      <c r="AY432" s="47"/>
      <c r="AZ432" s="47"/>
      <c r="BA432" s="3" t="s">
        <v>182</v>
      </c>
      <c r="BB432" s="8">
        <f>(720+209.1+4000)</f>
        <v>4929.1000000000004</v>
      </c>
      <c r="BC432" s="47"/>
      <c r="BD432" s="47"/>
      <c r="BE432" s="8"/>
      <c r="BF432" s="8"/>
      <c r="BG432" s="47"/>
      <c r="BH432" s="47"/>
      <c r="BI432" s="8"/>
      <c r="BJ432" s="3"/>
      <c r="BK432" s="48"/>
      <c r="BL432" s="47"/>
      <c r="BM432" s="24">
        <f t="shared" si="59"/>
        <v>5929.1</v>
      </c>
      <c r="BN432" s="28">
        <f t="shared" si="53"/>
        <v>-390274.46050000022</v>
      </c>
      <c r="BO432" s="2">
        <v>45465</v>
      </c>
      <c r="BQ432" s="1">
        <f>BN410-BQ438</f>
        <v>-300007.05500000011</v>
      </c>
    </row>
    <row r="433" spans="4:69" hidden="1" x14ac:dyDescent="0.25">
      <c r="D433" s="9" t="s">
        <v>28</v>
      </c>
      <c r="E433" s="2">
        <v>45466</v>
      </c>
      <c r="F433" s="38"/>
      <c r="G433" s="51"/>
      <c r="H433" s="4">
        <f t="shared" si="54"/>
        <v>2211.1999999999998</v>
      </c>
      <c r="I433" s="5"/>
      <c r="J433" s="4">
        <f t="shared" si="55"/>
        <v>2211.1999999999998</v>
      </c>
      <c r="K433" s="4">
        <f t="shared" si="60"/>
        <v>-34862.600000000006</v>
      </c>
      <c r="L433" s="3"/>
      <c r="M433" s="3"/>
      <c r="N433" s="33">
        <f t="shared" si="56"/>
        <v>0</v>
      </c>
      <c r="O433" s="28">
        <f t="shared" si="61"/>
        <v>-34862.600000000006</v>
      </c>
      <c r="P433" s="9" t="s">
        <v>28</v>
      </c>
      <c r="Q433" s="2">
        <v>45466</v>
      </c>
      <c r="R433" s="38"/>
      <c r="S433" s="52"/>
      <c r="T433" s="4">
        <f t="shared" si="57"/>
        <v>3396.6</v>
      </c>
      <c r="U433" s="5"/>
      <c r="V433" s="4">
        <f t="shared" si="65"/>
        <v>3396.6</v>
      </c>
      <c r="W433" s="4">
        <f t="shared" si="62"/>
        <v>-18116.434999999983</v>
      </c>
      <c r="X433" s="3"/>
      <c r="Y433" s="3"/>
      <c r="Z433" s="25">
        <f t="shared" si="63"/>
        <v>0</v>
      </c>
      <c r="AA433" s="72">
        <f t="shared" si="64"/>
        <v>-18116.434999999983</v>
      </c>
      <c r="AB433" s="9" t="s">
        <v>28</v>
      </c>
      <c r="AC433" s="19">
        <v>45466</v>
      </c>
      <c r="AD433" s="41"/>
      <c r="AE433" s="42"/>
      <c r="AF433" s="4">
        <f t="shared" si="52"/>
        <v>6362.6</v>
      </c>
      <c r="AG433" s="3"/>
      <c r="AH433" s="8">
        <v>1155.5</v>
      </c>
      <c r="AI433" s="4">
        <f t="shared" si="66"/>
        <v>5207.1000000000004</v>
      </c>
      <c r="AJ433" s="4">
        <f t="shared" si="58"/>
        <v>-385067.36050000024</v>
      </c>
      <c r="AK433" s="8" t="s">
        <v>89</v>
      </c>
      <c r="AL433" s="8">
        <f>(1000)</f>
        <v>1000</v>
      </c>
      <c r="AM433" s="47" t="s">
        <v>183</v>
      </c>
      <c r="AN433" s="47">
        <f>(8267.87)</f>
        <v>8267.8700000000008</v>
      </c>
      <c r="AO433" s="8"/>
      <c r="AP433" s="8"/>
      <c r="AQ433" s="47"/>
      <c r="AR433" s="47"/>
      <c r="AS433" s="8"/>
      <c r="AT433" s="8"/>
      <c r="AU433" s="47"/>
      <c r="AV433" s="47"/>
      <c r="AW433" s="8"/>
      <c r="AX433" s="8"/>
      <c r="AY433" s="47"/>
      <c r="AZ433" s="47"/>
      <c r="BA433" s="8"/>
      <c r="BB433" s="8"/>
      <c r="BC433" s="47"/>
      <c r="BD433" s="47"/>
      <c r="BE433" s="8"/>
      <c r="BF433" s="8"/>
      <c r="BG433" s="47"/>
      <c r="BH433" s="47"/>
      <c r="BI433" s="8"/>
      <c r="BJ433" s="3"/>
      <c r="BK433" s="47"/>
      <c r="BL433" s="47"/>
      <c r="BM433" s="24">
        <f t="shared" si="59"/>
        <v>9267.8700000000008</v>
      </c>
      <c r="BN433" s="28">
        <f t="shared" si="53"/>
        <v>-394335.23050000024</v>
      </c>
      <c r="BO433" s="2">
        <v>45466</v>
      </c>
    </row>
    <row r="434" spans="4:69" hidden="1" x14ac:dyDescent="0.25">
      <c r="D434" s="9" t="s">
        <v>29</v>
      </c>
      <c r="E434" s="2">
        <v>45467</v>
      </c>
      <c r="F434" s="38"/>
      <c r="G434" s="51"/>
      <c r="H434" s="4">
        <f t="shared" si="54"/>
        <v>1876.75</v>
      </c>
      <c r="I434" s="5"/>
      <c r="J434" s="4">
        <f t="shared" si="55"/>
        <v>1876.75</v>
      </c>
      <c r="K434" s="4">
        <f t="shared" si="60"/>
        <v>-32985.850000000006</v>
      </c>
      <c r="L434" s="3"/>
      <c r="M434" s="3"/>
      <c r="N434" s="33">
        <f t="shared" si="56"/>
        <v>0</v>
      </c>
      <c r="O434" s="28">
        <f t="shared" si="61"/>
        <v>-32985.850000000006</v>
      </c>
      <c r="P434" s="9" t="s">
        <v>29</v>
      </c>
      <c r="Q434" s="2">
        <v>45467</v>
      </c>
      <c r="R434" s="38"/>
      <c r="S434" s="52"/>
      <c r="T434" s="4">
        <f t="shared" si="57"/>
        <v>2843.1</v>
      </c>
      <c r="U434" s="5">
        <v>550</v>
      </c>
      <c r="V434" s="4">
        <f t="shared" si="65"/>
        <v>2293.1</v>
      </c>
      <c r="W434" s="4">
        <f t="shared" si="62"/>
        <v>-15823.334999999983</v>
      </c>
      <c r="X434" s="3"/>
      <c r="Y434" s="3"/>
      <c r="Z434" s="25">
        <f t="shared" si="63"/>
        <v>550</v>
      </c>
      <c r="AA434" s="72">
        <f t="shared" si="64"/>
        <v>-15823.334999999983</v>
      </c>
      <c r="AB434" s="9" t="s">
        <v>29</v>
      </c>
      <c r="AC434" s="19">
        <v>45467</v>
      </c>
      <c r="AD434" s="41"/>
      <c r="AE434" s="42"/>
      <c r="AF434" s="4">
        <f t="shared" si="52"/>
        <v>5351.65</v>
      </c>
      <c r="AG434" s="3"/>
      <c r="AH434" s="8">
        <v>1184.95</v>
      </c>
      <c r="AI434" s="4">
        <f t="shared" si="66"/>
        <v>4166.7</v>
      </c>
      <c r="AJ434" s="4">
        <f t="shared" si="58"/>
        <v>-390168.53050000023</v>
      </c>
      <c r="AK434" s="8" t="s">
        <v>89</v>
      </c>
      <c r="AL434" s="8">
        <f>(1000)</f>
        <v>1000</v>
      </c>
      <c r="AM434" s="48"/>
      <c r="AN434" s="47"/>
      <c r="AO434" s="8"/>
      <c r="AP434" s="8"/>
      <c r="AQ434" s="47"/>
      <c r="AR434" s="47"/>
      <c r="AS434" s="8"/>
      <c r="AT434" s="8"/>
      <c r="AU434" s="47"/>
      <c r="AV434" s="47"/>
      <c r="AW434" s="8"/>
      <c r="AX434" s="8"/>
      <c r="AY434" s="47"/>
      <c r="AZ434" s="47"/>
      <c r="BA434" s="8" t="s">
        <v>184</v>
      </c>
      <c r="BB434" s="8">
        <f>(4000)</f>
        <v>4000</v>
      </c>
      <c r="BC434" s="47"/>
      <c r="BD434" s="47"/>
      <c r="BE434" s="8"/>
      <c r="BF434" s="8"/>
      <c r="BG434" s="47"/>
      <c r="BH434" s="47"/>
      <c r="BI434" s="8"/>
      <c r="BJ434" s="3"/>
      <c r="BK434" s="48"/>
      <c r="BL434" s="47"/>
      <c r="BM434" s="24">
        <f t="shared" si="59"/>
        <v>5000</v>
      </c>
      <c r="BN434" s="28">
        <f t="shared" si="53"/>
        <v>-395168.53050000023</v>
      </c>
      <c r="BO434" s="2">
        <v>45467</v>
      </c>
    </row>
    <row r="435" spans="4:69" hidden="1" x14ac:dyDescent="0.25">
      <c r="D435" s="9" t="s">
        <v>30</v>
      </c>
      <c r="E435" s="2">
        <v>45468</v>
      </c>
      <c r="F435" s="38"/>
      <c r="G435" s="51"/>
      <c r="H435" s="4">
        <f t="shared" si="54"/>
        <v>1678.125</v>
      </c>
      <c r="I435" s="5">
        <v>3522</v>
      </c>
      <c r="J435" s="4">
        <f t="shared" si="55"/>
        <v>-1843.875</v>
      </c>
      <c r="K435" s="4">
        <f t="shared" si="60"/>
        <v>-34829.725000000006</v>
      </c>
      <c r="L435" s="3" t="s">
        <v>72</v>
      </c>
      <c r="M435" s="3">
        <f>(3522)</f>
        <v>3522</v>
      </c>
      <c r="N435" s="33">
        <f t="shared" si="56"/>
        <v>7044</v>
      </c>
      <c r="O435" s="28">
        <f t="shared" si="61"/>
        <v>-38351.725000000006</v>
      </c>
      <c r="P435" s="9" t="s">
        <v>30</v>
      </c>
      <c r="Q435" s="2">
        <v>45468</v>
      </c>
      <c r="R435" s="38"/>
      <c r="S435" s="52"/>
      <c r="T435" s="4">
        <f t="shared" si="57"/>
        <v>3823.2000000000003</v>
      </c>
      <c r="U435" s="5">
        <v>527.5</v>
      </c>
      <c r="V435" s="4">
        <f t="shared" si="65"/>
        <v>3295.7000000000003</v>
      </c>
      <c r="W435" s="4">
        <f t="shared" si="62"/>
        <v>-12527.634999999982</v>
      </c>
      <c r="X435" s="3"/>
      <c r="Y435" s="3"/>
      <c r="Z435" s="25">
        <f t="shared" si="63"/>
        <v>527.5</v>
      </c>
      <c r="AA435" s="72">
        <f t="shared" si="64"/>
        <v>-12527.634999999982</v>
      </c>
      <c r="AB435" s="9" t="s">
        <v>30</v>
      </c>
      <c r="AC435" s="19">
        <v>45468</v>
      </c>
      <c r="AD435" s="41"/>
      <c r="AE435" s="42"/>
      <c r="AF435" s="4">
        <f t="shared" si="52"/>
        <v>6350.9249999999993</v>
      </c>
      <c r="AG435" s="3"/>
      <c r="AH435" s="8">
        <v>1237</v>
      </c>
      <c r="AI435" s="4">
        <f t="shared" si="66"/>
        <v>5113.9249999999993</v>
      </c>
      <c r="AJ435" s="4">
        <f t="shared" si="58"/>
        <v>-390054.60550000024</v>
      </c>
      <c r="AK435" s="8" t="s">
        <v>89</v>
      </c>
      <c r="AL435" s="8">
        <f>(1000)</f>
        <v>1000</v>
      </c>
      <c r="AM435" s="47" t="s">
        <v>185</v>
      </c>
      <c r="AN435" s="47">
        <f>(729)</f>
        <v>729</v>
      </c>
      <c r="AO435" s="8"/>
      <c r="AP435" s="8"/>
      <c r="AQ435" s="47"/>
      <c r="AR435" s="47"/>
      <c r="AS435" s="8"/>
      <c r="AT435" s="8"/>
      <c r="AU435" s="47"/>
      <c r="AV435" s="47"/>
      <c r="AW435" s="8"/>
      <c r="AX435" s="8"/>
      <c r="AY435" s="47"/>
      <c r="AZ435" s="47"/>
      <c r="BA435" s="8" t="s">
        <v>209</v>
      </c>
      <c r="BB435" s="8">
        <f>(527.5)</f>
        <v>527.5</v>
      </c>
      <c r="BC435" s="47"/>
      <c r="BD435" s="47"/>
      <c r="BE435" s="8"/>
      <c r="BF435" s="8"/>
      <c r="BG435" s="47"/>
      <c r="BH435" s="47"/>
      <c r="BI435" s="8"/>
      <c r="BJ435" s="3"/>
      <c r="BK435" s="47"/>
      <c r="BL435" s="47"/>
      <c r="BM435" s="24">
        <f t="shared" si="59"/>
        <v>2256.5</v>
      </c>
      <c r="BN435" s="28">
        <f t="shared" si="53"/>
        <v>-392311.10550000024</v>
      </c>
      <c r="BO435" s="2">
        <v>45468</v>
      </c>
    </row>
    <row r="436" spans="4:69" hidden="1" x14ac:dyDescent="0.25">
      <c r="D436" s="9" t="s">
        <v>31</v>
      </c>
      <c r="E436" s="2">
        <v>45469</v>
      </c>
      <c r="F436" s="38"/>
      <c r="G436" s="51"/>
      <c r="H436" s="4">
        <f t="shared" si="54"/>
        <v>1477.5250000000001</v>
      </c>
      <c r="I436" s="5">
        <v>1148</v>
      </c>
      <c r="J436" s="4">
        <f t="shared" si="55"/>
        <v>329.52500000000009</v>
      </c>
      <c r="K436" s="4">
        <f t="shared" si="60"/>
        <v>-38022.200000000004</v>
      </c>
      <c r="L436" s="3" t="s">
        <v>22</v>
      </c>
      <c r="M436" s="3">
        <f>(2000)</f>
        <v>2000</v>
      </c>
      <c r="N436" s="33">
        <f t="shared" si="56"/>
        <v>3148</v>
      </c>
      <c r="O436" s="28">
        <f t="shared" si="61"/>
        <v>-40022.200000000004</v>
      </c>
      <c r="P436" s="9" t="s">
        <v>31</v>
      </c>
      <c r="Q436" s="2">
        <v>45469</v>
      </c>
      <c r="R436" s="38"/>
      <c r="S436" s="52"/>
      <c r="T436" s="4">
        <f t="shared" si="57"/>
        <v>3017.7000000000003</v>
      </c>
      <c r="U436" s="5">
        <v>1002</v>
      </c>
      <c r="V436" s="4">
        <f t="shared" si="65"/>
        <v>2015.7000000000003</v>
      </c>
      <c r="W436" s="4">
        <f t="shared" si="62"/>
        <v>-10511.934999999981</v>
      </c>
      <c r="X436" s="3"/>
      <c r="Y436" s="3"/>
      <c r="Z436" s="25">
        <f t="shared" si="63"/>
        <v>1002</v>
      </c>
      <c r="AA436" s="72">
        <f t="shared" si="64"/>
        <v>-10511.934999999981</v>
      </c>
      <c r="AB436" s="9" t="s">
        <v>31</v>
      </c>
      <c r="AC436" s="19">
        <v>45469</v>
      </c>
      <c r="AD436" s="41"/>
      <c r="AE436" s="42"/>
      <c r="AF436" s="4">
        <f t="shared" si="52"/>
        <v>5165.8249999999989</v>
      </c>
      <c r="AG436" s="3"/>
      <c r="AH436" s="8">
        <v>1066.8499999999999</v>
      </c>
      <c r="AI436" s="4">
        <f t="shared" si="66"/>
        <v>4098.9749999999985</v>
      </c>
      <c r="AJ436" s="4">
        <f t="shared" si="58"/>
        <v>-388212.13050000026</v>
      </c>
      <c r="AK436" s="8"/>
      <c r="AL436" s="8"/>
      <c r="AM436" s="47"/>
      <c r="AN436" s="47"/>
      <c r="AO436" s="8"/>
      <c r="AP436" s="8"/>
      <c r="AQ436" s="47"/>
      <c r="AR436" s="47"/>
      <c r="AS436" s="8"/>
      <c r="AT436" s="8"/>
      <c r="AU436" s="47"/>
      <c r="AV436" s="47"/>
      <c r="AW436" s="8"/>
      <c r="AX436" s="8"/>
      <c r="AY436" s="47"/>
      <c r="AZ436" s="47"/>
      <c r="BA436" s="8"/>
      <c r="BB436" s="8"/>
      <c r="BC436" s="47"/>
      <c r="BD436" s="47"/>
      <c r="BE436" s="8"/>
      <c r="BF436" s="8"/>
      <c r="BG436" s="47"/>
      <c r="BH436" s="47"/>
      <c r="BI436" s="8"/>
      <c r="BJ436" s="3"/>
      <c r="BK436" s="47"/>
      <c r="BL436" s="47"/>
      <c r="BM436" s="24">
        <f t="shared" si="59"/>
        <v>0</v>
      </c>
      <c r="BN436" s="28">
        <f t="shared" si="53"/>
        <v>-388212.13050000026</v>
      </c>
      <c r="BO436" s="2">
        <v>45469</v>
      </c>
    </row>
    <row r="437" spans="4:69" hidden="1" x14ac:dyDescent="0.25">
      <c r="D437" s="9" t="s">
        <v>32</v>
      </c>
      <c r="E437" s="2">
        <v>45470</v>
      </c>
      <c r="F437" s="38"/>
      <c r="G437" s="51"/>
      <c r="H437" s="4">
        <f t="shared" si="54"/>
        <v>1282.125</v>
      </c>
      <c r="I437" s="5">
        <v>1320.5</v>
      </c>
      <c r="J437" s="4">
        <f t="shared" si="55"/>
        <v>-38.375</v>
      </c>
      <c r="K437" s="4">
        <f t="shared" si="60"/>
        <v>-40060.575000000004</v>
      </c>
      <c r="L437" s="3"/>
      <c r="M437" s="3"/>
      <c r="N437" s="33">
        <f t="shared" si="56"/>
        <v>1320.5</v>
      </c>
      <c r="O437" s="28">
        <f t="shared" si="61"/>
        <v>-40060.575000000004</v>
      </c>
      <c r="P437" s="9" t="s">
        <v>32</v>
      </c>
      <c r="Q437" s="2">
        <v>45470</v>
      </c>
      <c r="R437" s="38"/>
      <c r="S437" s="52"/>
      <c r="T437" s="4">
        <f t="shared" si="57"/>
        <v>2605.5</v>
      </c>
      <c r="U437" s="5">
        <v>1855</v>
      </c>
      <c r="V437" s="4">
        <f t="shared" si="65"/>
        <v>750.5</v>
      </c>
      <c r="W437" s="4">
        <f t="shared" si="62"/>
        <v>-9761.4349999999813</v>
      </c>
      <c r="X437" s="3"/>
      <c r="Y437" s="3"/>
      <c r="Z437" s="25">
        <f t="shared" si="63"/>
        <v>1855</v>
      </c>
      <c r="AA437" s="72">
        <f t="shared" si="64"/>
        <v>-9761.4349999999813</v>
      </c>
      <c r="AB437" s="9" t="s">
        <v>32</v>
      </c>
      <c r="AC437" s="19">
        <v>45470</v>
      </c>
      <c r="AD437" s="41"/>
      <c r="AE437" s="42"/>
      <c r="AF437" s="4">
        <f t="shared" si="52"/>
        <v>4466.625</v>
      </c>
      <c r="AG437" s="3"/>
      <c r="AH437" s="8">
        <v>918</v>
      </c>
      <c r="AI437" s="4">
        <f t="shared" si="66"/>
        <v>3548.625</v>
      </c>
      <c r="AJ437" s="4">
        <f t="shared" si="58"/>
        <v>-384663.50550000026</v>
      </c>
      <c r="AK437" s="8" t="s">
        <v>215</v>
      </c>
      <c r="AL437" s="8">
        <f>(2520)</f>
        <v>2520</v>
      </c>
      <c r="AM437" s="47" t="s">
        <v>81</v>
      </c>
      <c r="AN437" s="47">
        <f>(8000)</f>
        <v>8000</v>
      </c>
      <c r="AO437" s="8"/>
      <c r="AP437" s="8"/>
      <c r="AQ437" s="47"/>
      <c r="AR437" s="47"/>
      <c r="AS437" s="8"/>
      <c r="AT437" s="8"/>
      <c r="AU437" s="47"/>
      <c r="AV437" s="47"/>
      <c r="AW437" s="8"/>
      <c r="AX437" s="8"/>
      <c r="AY437" s="47" t="s">
        <v>105</v>
      </c>
      <c r="AZ437" s="47">
        <f>(1200)</f>
        <v>1200</v>
      </c>
      <c r="BA437" s="3" t="s">
        <v>216</v>
      </c>
      <c r="BB437" s="8">
        <f>(720+1700)</f>
        <v>2420</v>
      </c>
      <c r="BC437" s="47"/>
      <c r="BD437" s="47"/>
      <c r="BE437" s="8"/>
      <c r="BF437" s="8"/>
      <c r="BG437" s="47"/>
      <c r="BH437" s="47"/>
      <c r="BI437" s="8"/>
      <c r="BJ437" s="3"/>
      <c r="BK437" s="47" t="s">
        <v>46</v>
      </c>
      <c r="BL437" s="47">
        <f>(3000)</f>
        <v>3000</v>
      </c>
      <c r="BM437" s="24">
        <f t="shared" si="59"/>
        <v>17140</v>
      </c>
      <c r="BN437" s="28">
        <f t="shared" si="53"/>
        <v>-401803.50550000026</v>
      </c>
      <c r="BO437" s="2">
        <v>45470</v>
      </c>
    </row>
    <row r="438" spans="4:69" hidden="1" x14ac:dyDescent="0.25">
      <c r="D438" s="9" t="s">
        <v>26</v>
      </c>
      <c r="E438" s="2">
        <v>45471</v>
      </c>
      <c r="F438" s="38"/>
      <c r="G438" s="51"/>
      <c r="H438" s="4">
        <f t="shared" si="54"/>
        <v>1988.0250000000001</v>
      </c>
      <c r="I438" s="5">
        <v>1611</v>
      </c>
      <c r="J438" s="4">
        <f t="shared" si="55"/>
        <v>377.02500000000009</v>
      </c>
      <c r="K438" s="4">
        <f t="shared" si="60"/>
        <v>-39683.550000000003</v>
      </c>
      <c r="L438" s="3"/>
      <c r="M438" s="3"/>
      <c r="N438" s="33">
        <f t="shared" si="56"/>
        <v>1611</v>
      </c>
      <c r="O438" s="28">
        <f t="shared" si="61"/>
        <v>-39683.550000000003</v>
      </c>
      <c r="P438" s="9" t="s">
        <v>26</v>
      </c>
      <c r="Q438" s="2">
        <v>45471</v>
      </c>
      <c r="R438" s="38"/>
      <c r="S438" s="52"/>
      <c r="T438" s="4">
        <f t="shared" si="57"/>
        <v>3435.75</v>
      </c>
      <c r="U438" s="5"/>
      <c r="V438" s="4">
        <f t="shared" si="65"/>
        <v>3435.75</v>
      </c>
      <c r="W438" s="4">
        <f t="shared" si="62"/>
        <v>-6325.6849999999813</v>
      </c>
      <c r="X438" s="3"/>
      <c r="Y438" s="3"/>
      <c r="Z438" s="25">
        <f t="shared" si="63"/>
        <v>0</v>
      </c>
      <c r="AA438" s="72">
        <f t="shared" si="64"/>
        <v>-6325.6849999999813</v>
      </c>
      <c r="AB438" s="9" t="s">
        <v>26</v>
      </c>
      <c r="AC438" s="19">
        <v>45471</v>
      </c>
      <c r="AD438" s="41"/>
      <c r="AE438" s="42"/>
      <c r="AF438" s="4">
        <f t="shared" si="52"/>
        <v>6187.2749999999996</v>
      </c>
      <c r="AG438" s="3"/>
      <c r="AH438" s="8">
        <v>1259</v>
      </c>
      <c r="AI438" s="4">
        <f t="shared" si="66"/>
        <v>4928.2749999999996</v>
      </c>
      <c r="AJ438" s="4">
        <f t="shared" si="58"/>
        <v>-396875.23050000024</v>
      </c>
      <c r="AK438" s="8"/>
      <c r="AL438" s="8"/>
      <c r="AM438" s="47" t="s">
        <v>217</v>
      </c>
      <c r="AN438" s="47">
        <f>(15000)</f>
        <v>15000</v>
      </c>
      <c r="AO438" s="8"/>
      <c r="AP438" s="8"/>
      <c r="AQ438" s="47"/>
      <c r="AR438" s="47"/>
      <c r="AS438" s="8"/>
      <c r="AT438" s="8"/>
      <c r="AU438" s="47"/>
      <c r="AV438" s="47"/>
      <c r="AW438" s="8"/>
      <c r="AX438" s="8"/>
      <c r="AY438" s="47"/>
      <c r="AZ438" s="47"/>
      <c r="BA438" s="8" t="s">
        <v>218</v>
      </c>
      <c r="BB438" s="8">
        <f>(320+48)</f>
        <v>368</v>
      </c>
      <c r="BC438" s="47"/>
      <c r="BD438" s="47"/>
      <c r="BE438" s="8"/>
      <c r="BF438" s="8"/>
      <c r="BG438" s="47"/>
      <c r="BH438" s="47"/>
      <c r="BI438" s="8"/>
      <c r="BJ438" s="3"/>
      <c r="BK438" s="47"/>
      <c r="BL438" s="47"/>
      <c r="BM438" s="24">
        <f t="shared" si="59"/>
        <v>15368</v>
      </c>
      <c r="BN438" s="28">
        <f t="shared" si="53"/>
        <v>-412243.23050000024</v>
      </c>
      <c r="BO438" s="2">
        <v>45471</v>
      </c>
      <c r="BQ438">
        <f>(15.63+26050.3+2223.3+23.8+5.4+1054.25)</f>
        <v>29372.68</v>
      </c>
    </row>
    <row r="439" spans="4:69" hidden="1" x14ac:dyDescent="0.25">
      <c r="D439" s="9" t="s">
        <v>27</v>
      </c>
      <c r="E439" s="2">
        <v>45472</v>
      </c>
      <c r="F439" s="38"/>
      <c r="G439" s="51"/>
      <c r="H439" s="4">
        <f t="shared" si="54"/>
        <v>1986.15</v>
      </c>
      <c r="I439" s="5"/>
      <c r="J439" s="4">
        <f t="shared" si="55"/>
        <v>1986.15</v>
      </c>
      <c r="K439" s="4">
        <f t="shared" si="60"/>
        <v>-37697.4</v>
      </c>
      <c r="L439" s="3"/>
      <c r="M439" s="3"/>
      <c r="N439" s="33">
        <f t="shared" si="56"/>
        <v>0</v>
      </c>
      <c r="O439" s="28">
        <f t="shared" si="61"/>
        <v>-37697.4</v>
      </c>
      <c r="P439" s="9" t="s">
        <v>27</v>
      </c>
      <c r="Q439" s="2">
        <v>45472</v>
      </c>
      <c r="R439" s="38"/>
      <c r="S439" s="52"/>
      <c r="T439" s="4">
        <f t="shared" si="57"/>
        <v>4937.8500000000004</v>
      </c>
      <c r="U439" s="5"/>
      <c r="V439" s="4">
        <f t="shared" si="65"/>
        <v>4937.8500000000004</v>
      </c>
      <c r="W439" s="4">
        <f t="shared" si="62"/>
        <v>-1387.8349999999809</v>
      </c>
      <c r="X439" s="3"/>
      <c r="Y439" s="3"/>
      <c r="Z439" s="25">
        <f t="shared" si="63"/>
        <v>0</v>
      </c>
      <c r="AA439" s="72">
        <f t="shared" si="64"/>
        <v>-1387.8349999999809</v>
      </c>
      <c r="AB439" s="9" t="s">
        <v>27</v>
      </c>
      <c r="AC439" s="19">
        <v>45472</v>
      </c>
      <c r="AD439" s="41"/>
      <c r="AE439" s="42"/>
      <c r="AF439" s="4">
        <f t="shared" si="52"/>
        <v>8021.2999999999993</v>
      </c>
      <c r="AG439" s="3"/>
      <c r="AH439" s="8">
        <v>1362.85</v>
      </c>
      <c r="AI439" s="4">
        <f t="shared" si="66"/>
        <v>6658.4499999999989</v>
      </c>
      <c r="AJ439" s="4">
        <f t="shared" si="58"/>
        <v>-405584.78050000023</v>
      </c>
      <c r="AK439" s="8" t="s">
        <v>219</v>
      </c>
      <c r="AL439" s="8">
        <f>(2000)</f>
        <v>2000</v>
      </c>
      <c r="AM439" s="47"/>
      <c r="AN439" s="47"/>
      <c r="AO439" s="8"/>
      <c r="AP439" s="8"/>
      <c r="AQ439" s="47"/>
      <c r="AR439" s="47"/>
      <c r="AS439" s="8"/>
      <c r="AT439" s="8"/>
      <c r="AU439" s="47"/>
      <c r="AV439" s="47"/>
      <c r="AW439" s="8"/>
      <c r="AX439" s="8"/>
      <c r="AY439" s="47" t="s">
        <v>105</v>
      </c>
      <c r="AZ439" s="47">
        <f>(1000)</f>
        <v>1000</v>
      </c>
      <c r="BA439" s="3" t="s">
        <v>220</v>
      </c>
      <c r="BB439" s="8">
        <f>(600+53)</f>
        <v>653</v>
      </c>
      <c r="BC439" s="47"/>
      <c r="BD439" s="47"/>
      <c r="BE439" s="8"/>
      <c r="BF439" s="8"/>
      <c r="BG439" s="47"/>
      <c r="BH439" s="47"/>
      <c r="BI439" s="8"/>
      <c r="BJ439" s="3"/>
      <c r="BK439" s="47"/>
      <c r="BL439" s="47"/>
      <c r="BM439" s="24">
        <f t="shared" si="59"/>
        <v>3653</v>
      </c>
      <c r="BN439" s="28">
        <f t="shared" si="53"/>
        <v>-409237.78050000023</v>
      </c>
      <c r="BO439" s="2">
        <v>45472</v>
      </c>
    </row>
    <row r="440" spans="4:69" s="13" customFormat="1" hidden="1" x14ac:dyDescent="0.25">
      <c r="D440" s="13" t="s">
        <v>28</v>
      </c>
      <c r="E440" s="10">
        <v>45473</v>
      </c>
      <c r="F440" s="10"/>
      <c r="G440" s="54"/>
      <c r="H440" s="11">
        <f t="shared" si="54"/>
        <v>3064.5</v>
      </c>
      <c r="I440" s="12"/>
      <c r="J440" s="11">
        <f t="shared" si="55"/>
        <v>3064.5</v>
      </c>
      <c r="K440" s="11">
        <f t="shared" si="60"/>
        <v>-34632.9</v>
      </c>
      <c r="L440" s="11"/>
      <c r="M440" s="11"/>
      <c r="N440" s="26">
        <f t="shared" si="56"/>
        <v>0</v>
      </c>
      <c r="O440" s="11">
        <f t="shared" si="61"/>
        <v>-34632.9</v>
      </c>
      <c r="P440" s="13" t="s">
        <v>28</v>
      </c>
      <c r="Q440" s="10">
        <v>45473</v>
      </c>
      <c r="R440" s="10"/>
      <c r="S440" s="53"/>
      <c r="T440" s="11">
        <f t="shared" si="57"/>
        <v>5148.9000000000005</v>
      </c>
      <c r="U440" s="12"/>
      <c r="V440" s="11">
        <f t="shared" si="65"/>
        <v>5148.9000000000005</v>
      </c>
      <c r="W440" s="11">
        <f t="shared" si="62"/>
        <v>3761.0650000000196</v>
      </c>
      <c r="X440" s="11"/>
      <c r="Y440" s="11"/>
      <c r="Z440" s="26">
        <f t="shared" si="63"/>
        <v>0</v>
      </c>
      <c r="AA440" s="53">
        <f t="shared" si="64"/>
        <v>3761.0650000000196</v>
      </c>
      <c r="AB440" s="13" t="s">
        <v>28</v>
      </c>
      <c r="AC440" s="20">
        <v>45473</v>
      </c>
      <c r="AD440" s="14"/>
      <c r="AE440" s="27"/>
      <c r="AF440" s="11">
        <f t="shared" si="52"/>
        <v>9357.5999999999985</v>
      </c>
      <c r="AG440" s="11"/>
      <c r="AH440" s="15">
        <v>1362.85</v>
      </c>
      <c r="AI440" s="11">
        <f t="shared" si="66"/>
        <v>7994.7499999999982</v>
      </c>
      <c r="AJ440" s="11">
        <f t="shared" si="58"/>
        <v>-401243.03050000023</v>
      </c>
      <c r="AK440" s="15" t="s">
        <v>89</v>
      </c>
      <c r="AL440" s="15">
        <f>(5000)</f>
        <v>5000</v>
      </c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1"/>
      <c r="BK440" s="15"/>
      <c r="BL440" s="15"/>
      <c r="BM440" s="23">
        <f t="shared" si="59"/>
        <v>5000</v>
      </c>
      <c r="BN440" s="11">
        <f t="shared" si="53"/>
        <v>-406243.03050000023</v>
      </c>
      <c r="BO440" s="10">
        <v>45473</v>
      </c>
    </row>
    <row r="441" spans="4:69" hidden="1" x14ac:dyDescent="0.25">
      <c r="D441" s="9" t="s">
        <v>29</v>
      </c>
      <c r="E441" s="2">
        <v>45474</v>
      </c>
      <c r="F441" s="38"/>
      <c r="G441" s="51"/>
      <c r="H441" s="4">
        <f t="shared" si="54"/>
        <v>1683.325</v>
      </c>
      <c r="I441" s="5">
        <v>2703.1</v>
      </c>
      <c r="J441" s="4">
        <f t="shared" si="55"/>
        <v>-1019.7749999999999</v>
      </c>
      <c r="K441" s="4">
        <f t="shared" si="60"/>
        <v>-35652.675000000003</v>
      </c>
      <c r="L441" s="3"/>
      <c r="M441" s="3"/>
      <c r="N441" s="33">
        <f t="shared" si="56"/>
        <v>2703.1</v>
      </c>
      <c r="O441" s="28">
        <f t="shared" si="61"/>
        <v>-35652.675000000003</v>
      </c>
      <c r="P441" s="9" t="s">
        <v>29</v>
      </c>
      <c r="Q441" s="2">
        <v>45474</v>
      </c>
      <c r="R441" s="38"/>
      <c r="S441" s="52"/>
      <c r="T441" s="4">
        <f t="shared" si="57"/>
        <v>4209.3</v>
      </c>
      <c r="U441" s="5">
        <v>2855</v>
      </c>
      <c r="V441" s="4">
        <f t="shared" si="65"/>
        <v>1354.3000000000002</v>
      </c>
      <c r="W441" s="4">
        <f t="shared" si="62"/>
        <v>5115.3650000000198</v>
      </c>
      <c r="X441" s="3"/>
      <c r="Y441" s="3"/>
      <c r="Z441" s="25">
        <f t="shared" si="63"/>
        <v>2855</v>
      </c>
      <c r="AA441" s="72">
        <f t="shared" si="64"/>
        <v>5115.3650000000198</v>
      </c>
      <c r="AB441" s="9" t="s">
        <v>29</v>
      </c>
      <c r="AC441" s="19">
        <v>45474</v>
      </c>
      <c r="AD441" s="41"/>
      <c r="AE441" s="42"/>
      <c r="AF441" s="4">
        <f t="shared" si="52"/>
        <v>6828.0249999999987</v>
      </c>
      <c r="AG441" s="3"/>
      <c r="AH441" s="8">
        <v>995.9</v>
      </c>
      <c r="AI441" s="4">
        <f t="shared" si="66"/>
        <v>5832.1249999999991</v>
      </c>
      <c r="AJ441" s="4">
        <f t="shared" si="58"/>
        <v>-400410.90550000023</v>
      </c>
      <c r="AK441" s="8"/>
      <c r="AL441" s="8"/>
      <c r="AM441" s="47" t="s">
        <v>188</v>
      </c>
      <c r="AN441" s="47">
        <f>(1800)</f>
        <v>1800</v>
      </c>
      <c r="AO441" s="8"/>
      <c r="AP441" s="8"/>
      <c r="AQ441" s="47"/>
      <c r="AR441" s="47"/>
      <c r="AS441" s="8"/>
      <c r="AT441" s="8"/>
      <c r="AU441" s="47"/>
      <c r="AV441" s="47"/>
      <c r="AW441" s="8"/>
      <c r="AX441" s="8"/>
      <c r="AY441" s="47" t="s">
        <v>189</v>
      </c>
      <c r="AZ441" s="47">
        <f>(1800+1100)</f>
        <v>2900</v>
      </c>
      <c r="BA441" s="8"/>
      <c r="BB441" s="8"/>
      <c r="BC441" s="47"/>
      <c r="BD441" s="47"/>
      <c r="BE441" s="8"/>
      <c r="BF441" s="8"/>
      <c r="BG441" s="47"/>
      <c r="BH441" s="47"/>
      <c r="BI441" s="8"/>
      <c r="BJ441" s="3"/>
      <c r="BK441" s="47"/>
      <c r="BL441" s="47"/>
      <c r="BM441" s="24">
        <f t="shared" si="59"/>
        <v>4700</v>
      </c>
      <c r="BN441" s="28">
        <f t="shared" si="53"/>
        <v>-405110.90550000023</v>
      </c>
      <c r="BO441" s="2">
        <v>45474</v>
      </c>
    </row>
    <row r="442" spans="4:69" hidden="1" x14ac:dyDescent="0.25">
      <c r="D442" s="9" t="s">
        <v>30</v>
      </c>
      <c r="E442" s="2">
        <v>45475</v>
      </c>
      <c r="F442" s="38"/>
      <c r="G442" s="51"/>
      <c r="H442" s="4">
        <f t="shared" si="54"/>
        <v>1501.7</v>
      </c>
      <c r="I442" s="5">
        <v>468</v>
      </c>
      <c r="J442" s="4">
        <f t="shared" si="55"/>
        <v>1033.7</v>
      </c>
      <c r="K442" s="4">
        <f t="shared" si="60"/>
        <v>-34618.975000000006</v>
      </c>
      <c r="L442" s="3"/>
      <c r="M442" s="3"/>
      <c r="N442" s="33">
        <f t="shared" si="56"/>
        <v>468</v>
      </c>
      <c r="O442" s="28">
        <f t="shared" si="61"/>
        <v>-34618.975000000006</v>
      </c>
      <c r="P442" s="9" t="s">
        <v>30</v>
      </c>
      <c r="Q442" s="2">
        <v>45475</v>
      </c>
      <c r="R442" s="38"/>
      <c r="S442" s="52"/>
      <c r="T442" s="4">
        <f t="shared" si="57"/>
        <v>2764.8</v>
      </c>
      <c r="U442" s="5">
        <v>1200</v>
      </c>
      <c r="V442" s="4">
        <f t="shared" si="65"/>
        <v>1564.8000000000002</v>
      </c>
      <c r="W442" s="4">
        <f t="shared" si="62"/>
        <v>6680.16500000002</v>
      </c>
      <c r="X442" s="3"/>
      <c r="Y442" s="3"/>
      <c r="Z442" s="25">
        <f t="shared" si="63"/>
        <v>1200</v>
      </c>
      <c r="AA442" s="72">
        <f t="shared" si="64"/>
        <v>6680.16500000002</v>
      </c>
      <c r="AB442" s="9" t="s">
        <v>30</v>
      </c>
      <c r="AC442" s="19">
        <v>45475</v>
      </c>
      <c r="AD442" s="41"/>
      <c r="AE442" s="42"/>
      <c r="AF442" s="4">
        <f t="shared" si="52"/>
        <v>4880.8999999999996</v>
      </c>
      <c r="AG442" s="3"/>
      <c r="AH442" s="8">
        <v>892.25</v>
      </c>
      <c r="AI442" s="4">
        <f t="shared" si="66"/>
        <v>3988.6499999999996</v>
      </c>
      <c r="AJ442" s="4">
        <f t="shared" si="58"/>
        <v>-401122.2555000002</v>
      </c>
      <c r="AK442" s="8" t="s">
        <v>190</v>
      </c>
      <c r="AL442" s="8">
        <f>(4000)</f>
        <v>4000</v>
      </c>
      <c r="AM442" s="47"/>
      <c r="AN442" s="47"/>
      <c r="AO442" s="8"/>
      <c r="AP442" s="8"/>
      <c r="AQ442" s="47"/>
      <c r="AR442" s="47"/>
      <c r="AS442" s="8"/>
      <c r="AT442" s="8"/>
      <c r="AU442" s="47"/>
      <c r="AV442" s="47"/>
      <c r="AW442" s="8"/>
      <c r="AX442" s="8"/>
      <c r="AY442" s="47"/>
      <c r="AZ442" s="47"/>
      <c r="BA442" s="8"/>
      <c r="BB442" s="8"/>
      <c r="BC442" s="47"/>
      <c r="BD442" s="47"/>
      <c r="BE442" s="8"/>
      <c r="BF442" s="8"/>
      <c r="BG442" s="47"/>
      <c r="BH442" s="47"/>
      <c r="BI442" s="8" t="s">
        <v>191</v>
      </c>
      <c r="BJ442" s="3">
        <f>(6000)</f>
        <v>6000</v>
      </c>
      <c r="BK442" s="47"/>
      <c r="BL442" s="47"/>
      <c r="BM442" s="24">
        <f t="shared" si="59"/>
        <v>10000</v>
      </c>
      <c r="BN442" s="28">
        <f t="shared" si="53"/>
        <v>-411122.2555000002</v>
      </c>
      <c r="BO442" s="2">
        <v>45475</v>
      </c>
    </row>
    <row r="443" spans="4:69" hidden="1" x14ac:dyDescent="0.25">
      <c r="D443" s="9" t="s">
        <v>31</v>
      </c>
      <c r="E443" s="2">
        <v>45476</v>
      </c>
      <c r="F443" s="38"/>
      <c r="G443" s="51"/>
      <c r="H443" s="4">
        <f t="shared" si="54"/>
        <v>1748.325</v>
      </c>
      <c r="I443" s="5">
        <v>1611</v>
      </c>
      <c r="J443" s="4">
        <f t="shared" si="55"/>
        <v>137.32500000000005</v>
      </c>
      <c r="K443" s="4">
        <f t="shared" si="60"/>
        <v>-34481.650000000009</v>
      </c>
      <c r="L443" s="3"/>
      <c r="M443" s="3"/>
      <c r="N443" s="33">
        <f t="shared" si="56"/>
        <v>1611</v>
      </c>
      <c r="O443" s="28">
        <f t="shared" si="61"/>
        <v>-34481.650000000009</v>
      </c>
      <c r="P443" s="9" t="s">
        <v>31</v>
      </c>
      <c r="Q443" s="2">
        <v>45476</v>
      </c>
      <c r="R443" s="38"/>
      <c r="S443" s="52"/>
      <c r="T443" s="4">
        <f t="shared" si="57"/>
        <v>3477.15</v>
      </c>
      <c r="U443" s="5">
        <v>667</v>
      </c>
      <c r="V443" s="4">
        <f t="shared" si="65"/>
        <v>2810.15</v>
      </c>
      <c r="W443" s="4">
        <f t="shared" si="62"/>
        <v>9490.3150000000205</v>
      </c>
      <c r="X443" s="3"/>
      <c r="Y443" s="3"/>
      <c r="Z443" s="25">
        <f t="shared" si="63"/>
        <v>667</v>
      </c>
      <c r="AA443" s="72">
        <f t="shared" si="64"/>
        <v>9490.3150000000205</v>
      </c>
      <c r="AB443" s="9" t="s">
        <v>31</v>
      </c>
      <c r="AC443" s="19">
        <v>45476</v>
      </c>
      <c r="AD443" s="41"/>
      <c r="AE443" s="42"/>
      <c r="AF443" s="4">
        <f t="shared" si="52"/>
        <v>5998.1749999999993</v>
      </c>
      <c r="AG443" s="3"/>
      <c r="AH443" s="8">
        <v>1012.8</v>
      </c>
      <c r="AI443" s="4">
        <f t="shared" si="66"/>
        <v>4985.3749999999991</v>
      </c>
      <c r="AJ443" s="4">
        <f t="shared" si="58"/>
        <v>-406136.8805000002</v>
      </c>
      <c r="AK443" s="3" t="s">
        <v>13</v>
      </c>
      <c r="AL443" s="8">
        <f>(6790.15)</f>
        <v>6790.15</v>
      </c>
      <c r="AM443" s="47"/>
      <c r="AN443" s="47"/>
      <c r="AO443" s="8"/>
      <c r="AP443" s="8"/>
      <c r="AQ443" s="47"/>
      <c r="AR443" s="47"/>
      <c r="AS443" s="8"/>
      <c r="AT443" s="8"/>
      <c r="AU443" s="47"/>
      <c r="AV443" s="47"/>
      <c r="AW443" s="8"/>
      <c r="AX443" s="8"/>
      <c r="AY443" s="47" t="s">
        <v>193</v>
      </c>
      <c r="AZ443" s="47">
        <f>(375.85)</f>
        <v>375.85</v>
      </c>
      <c r="BA443" s="8" t="s">
        <v>192</v>
      </c>
      <c r="BB443" s="8">
        <f>(89)</f>
        <v>89</v>
      </c>
      <c r="BC443" s="47"/>
      <c r="BD443" s="47"/>
      <c r="BE443" s="8"/>
      <c r="BF443" s="8"/>
      <c r="BG443" s="47"/>
      <c r="BH443" s="47"/>
      <c r="BI443" s="8"/>
      <c r="BJ443" s="3"/>
      <c r="BK443" s="47"/>
      <c r="BL443" s="47"/>
      <c r="BM443" s="24">
        <f t="shared" si="59"/>
        <v>7255</v>
      </c>
      <c r="BN443" s="28">
        <f t="shared" si="53"/>
        <v>-413391.8805000002</v>
      </c>
      <c r="BO443" s="2">
        <v>45476</v>
      </c>
    </row>
    <row r="444" spans="4:69" hidden="1" x14ac:dyDescent="0.25">
      <c r="D444" s="9" t="s">
        <v>32</v>
      </c>
      <c r="E444" s="2">
        <v>45477</v>
      </c>
      <c r="F444" s="38"/>
      <c r="G444" s="51"/>
      <c r="H444" s="4">
        <f t="shared" si="54"/>
        <v>1451.45</v>
      </c>
      <c r="I444" s="5">
        <v>2737.22</v>
      </c>
      <c r="J444" s="4">
        <f t="shared" si="55"/>
        <v>-1285.7699999999998</v>
      </c>
      <c r="K444" s="4">
        <f t="shared" si="60"/>
        <v>-35767.420000000006</v>
      </c>
      <c r="L444" s="3"/>
      <c r="M444" s="3"/>
      <c r="N444" s="33">
        <f t="shared" si="56"/>
        <v>2737.22</v>
      </c>
      <c r="O444" s="28">
        <f t="shared" si="61"/>
        <v>-35767.420000000006</v>
      </c>
      <c r="P444" s="9" t="s">
        <v>32</v>
      </c>
      <c r="Q444" s="2">
        <v>45477</v>
      </c>
      <c r="R444" s="38"/>
      <c r="S444" s="52"/>
      <c r="T444" s="4">
        <f t="shared" si="57"/>
        <v>2812.05</v>
      </c>
      <c r="U444" s="5">
        <v>535</v>
      </c>
      <c r="V444" s="4">
        <f t="shared" si="65"/>
        <v>2277.0500000000002</v>
      </c>
      <c r="W444" s="4">
        <f t="shared" si="62"/>
        <v>11767.36500000002</v>
      </c>
      <c r="X444" s="3"/>
      <c r="Y444" s="3"/>
      <c r="Z444" s="25">
        <f t="shared" si="63"/>
        <v>535</v>
      </c>
      <c r="AA444" s="72">
        <f t="shared" si="64"/>
        <v>11767.36500000002</v>
      </c>
      <c r="AB444" s="9" t="s">
        <v>32</v>
      </c>
      <c r="AC444" s="19">
        <v>45477</v>
      </c>
      <c r="AD444" s="41"/>
      <c r="AE444" s="42"/>
      <c r="AF444" s="4">
        <f t="shared" si="52"/>
        <v>4888.3999999999996</v>
      </c>
      <c r="AG444" s="3"/>
      <c r="AH444" s="8">
        <v>724</v>
      </c>
      <c r="AI444" s="4">
        <f t="shared" si="66"/>
        <v>4164.3999999999996</v>
      </c>
      <c r="AJ444" s="4">
        <f t="shared" si="58"/>
        <v>-409227.48050000018</v>
      </c>
      <c r="AK444" s="8"/>
      <c r="AL444" s="8"/>
      <c r="AM444" s="47"/>
      <c r="AN444" s="47"/>
      <c r="AO444" s="8"/>
      <c r="AP444" s="8"/>
      <c r="AQ444" s="47"/>
      <c r="AR444" s="47"/>
      <c r="AS444" s="8"/>
      <c r="AT444" s="8"/>
      <c r="AU444" s="47"/>
      <c r="AV444" s="47"/>
      <c r="AW444" s="8"/>
      <c r="AX444" s="8"/>
      <c r="AY444" s="47"/>
      <c r="AZ444" s="47"/>
      <c r="BA444" s="3" t="s">
        <v>194</v>
      </c>
      <c r="BB444" s="8">
        <f>(140.6)</f>
        <v>140.6</v>
      </c>
      <c r="BC444" s="47"/>
      <c r="BD444" s="47"/>
      <c r="BE444" s="8"/>
      <c r="BF444" s="8"/>
      <c r="BG444" s="47"/>
      <c r="BH444" s="47"/>
      <c r="BI444" s="8"/>
      <c r="BJ444" s="3"/>
      <c r="BK444" s="47"/>
      <c r="BL444" s="47"/>
      <c r="BM444" s="24">
        <f t="shared" si="59"/>
        <v>140.6</v>
      </c>
      <c r="BN444" s="28">
        <f t="shared" si="53"/>
        <v>-409368.08050000016</v>
      </c>
      <c r="BO444" s="2">
        <v>45477</v>
      </c>
    </row>
    <row r="445" spans="4:69" hidden="1" x14ac:dyDescent="0.25">
      <c r="D445" s="9" t="s">
        <v>26</v>
      </c>
      <c r="E445" s="2">
        <v>45478</v>
      </c>
      <c r="F445" s="38"/>
      <c r="G445" s="51"/>
      <c r="H445" s="4">
        <f t="shared" si="54"/>
        <v>1498.4749999999999</v>
      </c>
      <c r="I445" s="5">
        <v>0</v>
      </c>
      <c r="J445" s="4">
        <f t="shared" si="55"/>
        <v>1498.4749999999999</v>
      </c>
      <c r="K445" s="4">
        <f t="shared" si="60"/>
        <v>-34268.945000000007</v>
      </c>
      <c r="L445" s="3"/>
      <c r="M445" s="3"/>
      <c r="N445" s="33">
        <f t="shared" si="56"/>
        <v>0</v>
      </c>
      <c r="O445" s="28">
        <f t="shared" si="61"/>
        <v>-34268.945000000007</v>
      </c>
      <c r="P445" s="9" t="s">
        <v>26</v>
      </c>
      <c r="Q445" s="2">
        <v>45478</v>
      </c>
      <c r="R445" s="38"/>
      <c r="S445" s="52"/>
      <c r="T445" s="4">
        <f t="shared" si="57"/>
        <v>3377.7000000000003</v>
      </c>
      <c r="U445" s="5">
        <v>0</v>
      </c>
      <c r="V445" s="4">
        <f t="shared" si="65"/>
        <v>3377.7000000000003</v>
      </c>
      <c r="W445" s="4">
        <f t="shared" si="62"/>
        <v>15145.065000000021</v>
      </c>
      <c r="X445" s="3"/>
      <c r="Y445" s="3"/>
      <c r="Z445" s="25">
        <f t="shared" si="63"/>
        <v>0</v>
      </c>
      <c r="AA445" s="72">
        <f t="shared" si="64"/>
        <v>15145.065000000021</v>
      </c>
      <c r="AB445" s="9" t="s">
        <v>26</v>
      </c>
      <c r="AC445" s="19">
        <v>45478</v>
      </c>
      <c r="AD445" s="41"/>
      <c r="AE445" s="42"/>
      <c r="AF445" s="4">
        <f t="shared" si="52"/>
        <v>5626.7749999999996</v>
      </c>
      <c r="AG445" s="3"/>
      <c r="AH445" s="8">
        <v>868.7</v>
      </c>
      <c r="AI445" s="4">
        <f t="shared" si="66"/>
        <v>4758.0749999999998</v>
      </c>
      <c r="AJ445" s="4">
        <f t="shared" si="58"/>
        <v>-404610.00550000014</v>
      </c>
      <c r="AK445" s="8" t="s">
        <v>13</v>
      </c>
      <c r="AL445" s="8">
        <f>(11110)</f>
        <v>11110</v>
      </c>
      <c r="AM445" s="47"/>
      <c r="AN445" s="47"/>
      <c r="AO445" s="8"/>
      <c r="AP445" s="8"/>
      <c r="AQ445" s="47"/>
      <c r="AR445" s="47"/>
      <c r="AS445" s="8"/>
      <c r="AT445" s="8"/>
      <c r="AU445" s="47"/>
      <c r="AV445" s="47"/>
      <c r="AW445" s="8"/>
      <c r="AX445" s="8"/>
      <c r="AY445" s="47"/>
      <c r="AZ445" s="47"/>
      <c r="BA445" s="3" t="s">
        <v>195</v>
      </c>
      <c r="BB445" s="8">
        <f>(330+276)</f>
        <v>606</v>
      </c>
      <c r="BC445" s="47"/>
      <c r="BD445" s="47"/>
      <c r="BE445" s="8"/>
      <c r="BF445" s="8"/>
      <c r="BG445" s="47"/>
      <c r="BH445" s="47"/>
      <c r="BI445" s="8"/>
      <c r="BJ445" s="3"/>
      <c r="BK445" s="47"/>
      <c r="BL445" s="47"/>
      <c r="BM445" s="24">
        <f t="shared" si="59"/>
        <v>11716</v>
      </c>
      <c r="BN445" s="28">
        <f t="shared" si="53"/>
        <v>-416326.00550000014</v>
      </c>
      <c r="BO445" s="2">
        <v>45478</v>
      </c>
    </row>
    <row r="446" spans="4:69" hidden="1" x14ac:dyDescent="0.25">
      <c r="D446" s="9" t="s">
        <v>27</v>
      </c>
      <c r="E446" s="2">
        <v>45479</v>
      </c>
      <c r="F446" s="38"/>
      <c r="G446" s="51"/>
      <c r="H446" s="4">
        <f t="shared" si="54"/>
        <v>1576</v>
      </c>
      <c r="I446" s="5">
        <v>1403</v>
      </c>
      <c r="J446" s="4">
        <f t="shared" si="55"/>
        <v>173</v>
      </c>
      <c r="K446" s="4">
        <f t="shared" si="60"/>
        <v>-34095.945000000007</v>
      </c>
      <c r="L446" s="3"/>
      <c r="M446" s="3"/>
      <c r="N446" s="33">
        <f t="shared" si="56"/>
        <v>1403</v>
      </c>
      <c r="O446" s="28">
        <f t="shared" si="61"/>
        <v>-34095.945000000007</v>
      </c>
      <c r="P446" s="9" t="s">
        <v>27</v>
      </c>
      <c r="Q446" s="2">
        <v>45479</v>
      </c>
      <c r="R446" s="38"/>
      <c r="S446" s="52"/>
      <c r="T446" s="4">
        <f t="shared" si="57"/>
        <v>4621.95</v>
      </c>
      <c r="U446" s="5">
        <v>930</v>
      </c>
      <c r="V446" s="4">
        <f t="shared" si="65"/>
        <v>3691.95</v>
      </c>
      <c r="W446" s="4">
        <f t="shared" si="62"/>
        <v>18837.015000000021</v>
      </c>
      <c r="X446" s="3"/>
      <c r="Y446" s="3"/>
      <c r="Z446" s="25">
        <f t="shared" si="63"/>
        <v>930</v>
      </c>
      <c r="AA446" s="72">
        <f t="shared" si="64"/>
        <v>18837.015000000021</v>
      </c>
      <c r="AB446" s="9" t="s">
        <v>27</v>
      </c>
      <c r="AC446" s="19">
        <v>45479</v>
      </c>
      <c r="AD446" s="41" t="s">
        <v>204</v>
      </c>
      <c r="AE446" s="42">
        <f>(63000)</f>
        <v>63000</v>
      </c>
      <c r="AF446" s="4">
        <f t="shared" si="52"/>
        <v>7225.05</v>
      </c>
      <c r="AG446" s="3"/>
      <c r="AH446" s="8">
        <v>1473.5</v>
      </c>
      <c r="AI446" s="4">
        <f t="shared" si="66"/>
        <v>68751.55</v>
      </c>
      <c r="AJ446" s="4">
        <f t="shared" si="58"/>
        <v>-347574.45550000016</v>
      </c>
      <c r="AK446" s="8" t="s">
        <v>13</v>
      </c>
      <c r="AL446" s="8">
        <f>(1500)</f>
        <v>1500</v>
      </c>
      <c r="AM446" s="47"/>
      <c r="AN446" s="47"/>
      <c r="AO446" s="8"/>
      <c r="AP446" s="8"/>
      <c r="AQ446" s="47"/>
      <c r="AR446" s="47"/>
      <c r="AS446" s="8"/>
      <c r="AT446" s="8"/>
      <c r="AU446" s="47"/>
      <c r="AV446" s="47"/>
      <c r="AW446" s="8"/>
      <c r="AX446" s="8"/>
      <c r="AY446" s="47" t="s">
        <v>91</v>
      </c>
      <c r="AZ446" s="47">
        <f>(500)</f>
        <v>500</v>
      </c>
      <c r="BA446" s="8" t="s">
        <v>196</v>
      </c>
      <c r="BB446" s="8">
        <f>(4500)</f>
        <v>4500</v>
      </c>
      <c r="BC446" s="47"/>
      <c r="BD446" s="47"/>
      <c r="BE446" s="8"/>
      <c r="BF446" s="8"/>
      <c r="BG446" s="47"/>
      <c r="BH446" s="47"/>
      <c r="BI446" s="8"/>
      <c r="BJ446" s="3"/>
      <c r="BK446" s="47"/>
      <c r="BL446" s="47"/>
      <c r="BM446" s="24">
        <f t="shared" si="59"/>
        <v>6500</v>
      </c>
      <c r="BN446" s="28">
        <f t="shared" si="53"/>
        <v>-354074.45550000016</v>
      </c>
      <c r="BO446" s="2">
        <v>45479</v>
      </c>
    </row>
    <row r="447" spans="4:69" hidden="1" x14ac:dyDescent="0.25">
      <c r="D447" s="9" t="s">
        <v>28</v>
      </c>
      <c r="E447" s="2">
        <v>45480</v>
      </c>
      <c r="F447" s="38"/>
      <c r="G447" s="51"/>
      <c r="H447" s="4">
        <f t="shared" si="54"/>
        <v>2805.5250000000001</v>
      </c>
      <c r="I447" s="5">
        <v>0</v>
      </c>
      <c r="J447" s="4">
        <f t="shared" si="55"/>
        <v>2805.5250000000001</v>
      </c>
      <c r="K447" s="4">
        <f t="shared" si="60"/>
        <v>-31290.420000000006</v>
      </c>
      <c r="L447" s="3"/>
      <c r="M447" s="3"/>
      <c r="N447" s="33">
        <f t="shared" si="56"/>
        <v>0</v>
      </c>
      <c r="O447" s="28">
        <f t="shared" si="61"/>
        <v>-31290.420000000006</v>
      </c>
      <c r="P447" s="9" t="s">
        <v>28</v>
      </c>
      <c r="Q447" s="2">
        <v>45480</v>
      </c>
      <c r="R447" s="38"/>
      <c r="S447" s="52"/>
      <c r="T447" s="4">
        <f t="shared" si="57"/>
        <v>5444.55</v>
      </c>
      <c r="U447" s="5">
        <v>1380</v>
      </c>
      <c r="V447" s="4">
        <f t="shared" si="65"/>
        <v>4064.55</v>
      </c>
      <c r="W447" s="4">
        <f t="shared" si="62"/>
        <v>22901.565000000021</v>
      </c>
      <c r="X447" s="3"/>
      <c r="Y447" s="3"/>
      <c r="Z447" s="25">
        <f t="shared" si="63"/>
        <v>1380</v>
      </c>
      <c r="AA447" s="72">
        <f t="shared" si="64"/>
        <v>22901.565000000021</v>
      </c>
      <c r="AB447" s="9" t="s">
        <v>28</v>
      </c>
      <c r="AC447" s="19">
        <v>45480</v>
      </c>
      <c r="AD447" s="41"/>
      <c r="AE447" s="42"/>
      <c r="AF447" s="4">
        <f t="shared" ref="AF447:AF510" si="67">AD136-H447-T447</f>
        <v>9459.9749999999985</v>
      </c>
      <c r="AG447" s="3"/>
      <c r="AH447" s="8">
        <v>1782.4</v>
      </c>
      <c r="AI447" s="4">
        <f t="shared" si="66"/>
        <v>7677.5749999999989</v>
      </c>
      <c r="AJ447" s="4">
        <f t="shared" si="58"/>
        <v>-346396.88050000014</v>
      </c>
      <c r="AK447" s="8" t="s">
        <v>13</v>
      </c>
      <c r="AL447" s="8">
        <f>(8551.37)</f>
        <v>8551.3700000000008</v>
      </c>
      <c r="AM447" s="47" t="s">
        <v>106</v>
      </c>
      <c r="AN447" s="47">
        <f>(2000)</f>
        <v>2000</v>
      </c>
      <c r="AO447" s="8"/>
      <c r="AP447" s="8"/>
      <c r="AQ447" s="47"/>
      <c r="AR447" s="47"/>
      <c r="AS447" s="8"/>
      <c r="AT447" s="8"/>
      <c r="AU447" s="47"/>
      <c r="AV447" s="47"/>
      <c r="AW447" s="8"/>
      <c r="AX447" s="8"/>
      <c r="AY447" s="47"/>
      <c r="AZ447" s="47"/>
      <c r="BA447" s="8"/>
      <c r="BB447" s="8"/>
      <c r="BC447" s="47"/>
      <c r="BD447" s="47"/>
      <c r="BE447" s="8"/>
      <c r="BF447" s="8"/>
      <c r="BG447" s="47"/>
      <c r="BH447" s="47"/>
      <c r="BI447" s="3"/>
      <c r="BJ447" s="3"/>
      <c r="BK447" s="47"/>
      <c r="BL447" s="47"/>
      <c r="BM447" s="24">
        <f t="shared" si="59"/>
        <v>10551.37</v>
      </c>
      <c r="BN447" s="28">
        <f t="shared" ref="BN447:BN510" si="68">AJ447-BM447</f>
        <v>-356948.25050000014</v>
      </c>
      <c r="BO447" s="2">
        <v>45480</v>
      </c>
    </row>
    <row r="448" spans="4:69" hidden="1" x14ac:dyDescent="0.25">
      <c r="D448" s="9" t="s">
        <v>29</v>
      </c>
      <c r="E448" s="2">
        <v>45481</v>
      </c>
      <c r="F448" s="38"/>
      <c r="G448" s="51"/>
      <c r="H448" s="4">
        <f t="shared" ref="H448:H511" si="69">F137*50%</f>
        <v>1433.7249999999999</v>
      </c>
      <c r="I448" s="5">
        <v>0</v>
      </c>
      <c r="J448" s="4">
        <f t="shared" ref="J448:J511" si="70">(G448+H448)-I448</f>
        <v>1433.7249999999999</v>
      </c>
      <c r="K448" s="4">
        <f t="shared" si="60"/>
        <v>-29856.695000000007</v>
      </c>
      <c r="L448" s="3"/>
      <c r="M448" s="3"/>
      <c r="N448" s="33">
        <f t="shared" ref="N448:N511" si="71">I448+M448</f>
        <v>0</v>
      </c>
      <c r="O448" s="28">
        <f t="shared" si="61"/>
        <v>-29856.695000000007</v>
      </c>
      <c r="P448" s="9" t="s">
        <v>29</v>
      </c>
      <c r="Q448" s="2">
        <v>45481</v>
      </c>
      <c r="R448" s="38"/>
      <c r="S448" s="52"/>
      <c r="T448" s="4">
        <f t="shared" ref="T448:T511" si="72">R137*45%</f>
        <v>3749.85</v>
      </c>
      <c r="U448" s="5">
        <v>1495</v>
      </c>
      <c r="V448" s="4">
        <f t="shared" si="65"/>
        <v>2254.85</v>
      </c>
      <c r="W448" s="4">
        <f t="shared" si="62"/>
        <v>25156.415000000019</v>
      </c>
      <c r="X448" s="3"/>
      <c r="Y448" s="3"/>
      <c r="Z448" s="25">
        <f t="shared" si="63"/>
        <v>1495</v>
      </c>
      <c r="AA448" s="72">
        <f t="shared" si="64"/>
        <v>25156.415000000019</v>
      </c>
      <c r="AB448" s="9" t="s">
        <v>29</v>
      </c>
      <c r="AC448" s="19">
        <v>45481</v>
      </c>
      <c r="AD448" s="41"/>
      <c r="AE448" s="42"/>
      <c r="AF448" s="4">
        <f t="shared" si="67"/>
        <v>6016.875</v>
      </c>
      <c r="AG448" s="3"/>
      <c r="AH448" s="8">
        <v>1179</v>
      </c>
      <c r="AI448" s="4">
        <f t="shared" si="66"/>
        <v>4837.875</v>
      </c>
      <c r="AJ448" s="4">
        <f t="shared" ref="AJ448:AJ511" si="73">AI448+BN447</f>
        <v>-352110.37550000014</v>
      </c>
      <c r="AK448" s="8"/>
      <c r="AL448" s="8"/>
      <c r="AM448" s="47" t="s">
        <v>197</v>
      </c>
      <c r="AN448" s="47">
        <f>(8028)</f>
        <v>8028</v>
      </c>
      <c r="AO448" s="8"/>
      <c r="AP448" s="8"/>
      <c r="AQ448" s="47"/>
      <c r="AR448" s="47"/>
      <c r="AS448" s="8"/>
      <c r="AT448" s="8"/>
      <c r="AU448" s="47"/>
      <c r="AV448" s="47"/>
      <c r="AW448" s="8"/>
      <c r="AX448" s="8"/>
      <c r="AY448" s="47"/>
      <c r="AZ448" s="47"/>
      <c r="BA448" s="3" t="s">
        <v>198</v>
      </c>
      <c r="BB448" s="8">
        <f>(11000+300+7525)</f>
        <v>18825</v>
      </c>
      <c r="BC448" s="47"/>
      <c r="BD448" s="47"/>
      <c r="BE448" s="8"/>
      <c r="BF448" s="8"/>
      <c r="BG448" s="47"/>
      <c r="BH448" s="47"/>
      <c r="BI448" s="8"/>
      <c r="BJ448" s="3"/>
      <c r="BK448" s="47"/>
      <c r="BL448" s="47"/>
      <c r="BM448" s="24">
        <f t="shared" ref="BM448:BM511" si="74">AL448+AN448+AP448+AR448+AT448+AV448+AX448+AZ448+BB448+BD448+BF448+BH448+BJ448+BL448</f>
        <v>26853</v>
      </c>
      <c r="BN448" s="28">
        <f t="shared" si="68"/>
        <v>-378963.37550000014</v>
      </c>
      <c r="BO448" s="2">
        <v>45481</v>
      </c>
    </row>
    <row r="449" spans="4:67" hidden="1" x14ac:dyDescent="0.25">
      <c r="D449" s="9" t="s">
        <v>30</v>
      </c>
      <c r="E449" s="2">
        <v>45482</v>
      </c>
      <c r="F449" s="38"/>
      <c r="G449" s="51"/>
      <c r="H449" s="4">
        <f t="shared" si="69"/>
        <v>2027.25</v>
      </c>
      <c r="I449" s="5">
        <v>2697.8</v>
      </c>
      <c r="J449" s="4">
        <f t="shared" si="70"/>
        <v>-670.55000000000018</v>
      </c>
      <c r="K449" s="4">
        <f t="shared" ref="K449:K512" si="75">J449+O448</f>
        <v>-30527.245000000006</v>
      </c>
      <c r="L449" s="3"/>
      <c r="M449" s="3"/>
      <c r="N449" s="33">
        <f t="shared" si="71"/>
        <v>2697.8</v>
      </c>
      <c r="O449" s="28">
        <f t="shared" ref="O449:O512" si="76">K449-M449</f>
        <v>-30527.245000000006</v>
      </c>
      <c r="P449" s="9" t="s">
        <v>30</v>
      </c>
      <c r="Q449" s="2">
        <v>45482</v>
      </c>
      <c r="R449" s="38"/>
      <c r="S449" s="52"/>
      <c r="T449" s="4">
        <f t="shared" si="72"/>
        <v>2261.7000000000003</v>
      </c>
      <c r="U449" s="5">
        <v>0</v>
      </c>
      <c r="V449" s="4">
        <f t="shared" si="65"/>
        <v>2261.7000000000003</v>
      </c>
      <c r="W449" s="4">
        <f t="shared" ref="W449:W512" si="77">V449+AA448</f>
        <v>27418.11500000002</v>
      </c>
      <c r="X449" s="3"/>
      <c r="Y449" s="3"/>
      <c r="Z449" s="25">
        <f t="shared" ref="Z449:Z512" si="78">U449+Y449</f>
        <v>0</v>
      </c>
      <c r="AA449" s="72">
        <f t="shared" ref="AA449:AA512" si="79">W449-Y449</f>
        <v>27418.11500000002</v>
      </c>
      <c r="AB449" s="9" t="s">
        <v>30</v>
      </c>
      <c r="AC449" s="19">
        <v>45482</v>
      </c>
      <c r="AD449" s="41"/>
      <c r="AE449" s="42"/>
      <c r="AF449" s="4">
        <f t="shared" si="67"/>
        <v>4791.5499999999993</v>
      </c>
      <c r="AG449" s="3"/>
      <c r="AH449" s="8">
        <v>1149.5</v>
      </c>
      <c r="AI449" s="4">
        <f t="shared" si="66"/>
        <v>3642.0499999999993</v>
      </c>
      <c r="AJ449" s="4">
        <f t="shared" si="73"/>
        <v>-375321.32550000015</v>
      </c>
      <c r="AK449" s="8"/>
      <c r="AL449" s="8"/>
      <c r="AM449" s="47"/>
      <c r="AN449" s="47"/>
      <c r="AO449" s="8"/>
      <c r="AP449" s="8"/>
      <c r="AQ449" s="47"/>
      <c r="AR449" s="47"/>
      <c r="AS449" s="8"/>
      <c r="AT449" s="8"/>
      <c r="AU449" s="47"/>
      <c r="AV449" s="47"/>
      <c r="AW449" s="8"/>
      <c r="AX449" s="8"/>
      <c r="AY449" s="47"/>
      <c r="AZ449" s="47"/>
      <c r="BA449" s="3"/>
      <c r="BB449" s="8"/>
      <c r="BC449" s="47"/>
      <c r="BD449" s="47"/>
      <c r="BE449" s="8"/>
      <c r="BF449" s="8"/>
      <c r="BG449" s="47"/>
      <c r="BH449" s="47"/>
      <c r="BI449" s="8"/>
      <c r="BJ449" s="3"/>
      <c r="BK449" s="47"/>
      <c r="BL449" s="47"/>
      <c r="BM449" s="24">
        <f t="shared" si="74"/>
        <v>0</v>
      </c>
      <c r="BN449" s="28">
        <f t="shared" si="68"/>
        <v>-375321.32550000015</v>
      </c>
      <c r="BO449" s="2">
        <v>45482</v>
      </c>
    </row>
    <row r="450" spans="4:67" hidden="1" x14ac:dyDescent="0.25">
      <c r="D450" s="9" t="s">
        <v>31</v>
      </c>
      <c r="E450" s="2">
        <v>45483</v>
      </c>
      <c r="F450" s="38"/>
      <c r="G450" s="51"/>
      <c r="H450" s="4">
        <f t="shared" si="69"/>
        <v>2126.4</v>
      </c>
      <c r="I450" s="5">
        <v>1563</v>
      </c>
      <c r="J450" s="4">
        <f t="shared" si="70"/>
        <v>563.40000000000009</v>
      </c>
      <c r="K450" s="4">
        <f t="shared" si="75"/>
        <v>-29963.845000000005</v>
      </c>
      <c r="L450" s="3"/>
      <c r="M450" s="3"/>
      <c r="N450" s="33">
        <f t="shared" si="71"/>
        <v>1563</v>
      </c>
      <c r="O450" s="28">
        <f t="shared" si="76"/>
        <v>-29963.845000000005</v>
      </c>
      <c r="P450" s="9" t="s">
        <v>31</v>
      </c>
      <c r="Q450" s="2">
        <v>45483</v>
      </c>
      <c r="R450" s="38"/>
      <c r="S450" s="52"/>
      <c r="T450" s="4">
        <f t="shared" si="72"/>
        <v>4858.2</v>
      </c>
      <c r="U450" s="5">
        <v>1300</v>
      </c>
      <c r="V450" s="4">
        <f t="shared" si="65"/>
        <v>3558.2</v>
      </c>
      <c r="W450" s="4">
        <f t="shared" si="77"/>
        <v>30976.315000000021</v>
      </c>
      <c r="X450" s="3"/>
      <c r="Y450" s="3"/>
      <c r="Z450" s="25">
        <f t="shared" si="78"/>
        <v>1300</v>
      </c>
      <c r="AA450" s="72">
        <f t="shared" si="79"/>
        <v>30976.315000000021</v>
      </c>
      <c r="AB450" s="9" t="s">
        <v>31</v>
      </c>
      <c r="AC450" s="19">
        <v>45483</v>
      </c>
      <c r="AD450" s="41"/>
      <c r="AE450" s="42"/>
      <c r="AF450" s="4">
        <f t="shared" si="67"/>
        <v>8064.2</v>
      </c>
      <c r="AG450" s="3"/>
      <c r="AH450" s="8">
        <v>1142</v>
      </c>
      <c r="AI450" s="4">
        <f t="shared" si="66"/>
        <v>6922.2</v>
      </c>
      <c r="AJ450" s="4">
        <f t="shared" si="73"/>
        <v>-368399.12550000014</v>
      </c>
      <c r="AK450" s="8" t="s">
        <v>13</v>
      </c>
      <c r="AL450" s="8">
        <f>(40163.95)</f>
        <v>40163.949999999997</v>
      </c>
      <c r="AM450" s="47" t="s">
        <v>199</v>
      </c>
      <c r="AN450" s="47">
        <f>(15000+3200)</f>
        <v>18200</v>
      </c>
      <c r="AO450" s="8"/>
      <c r="AP450" s="8"/>
      <c r="AQ450" s="47"/>
      <c r="AR450" s="47"/>
      <c r="AS450" s="8"/>
      <c r="AT450" s="8"/>
      <c r="AU450" s="47"/>
      <c r="AV450" s="47"/>
      <c r="AW450" s="8"/>
      <c r="AX450" s="8"/>
      <c r="AY450" s="47"/>
      <c r="AZ450" s="47"/>
      <c r="BA450" s="8"/>
      <c r="BB450" s="8"/>
      <c r="BC450" s="47"/>
      <c r="BD450" s="47"/>
      <c r="BE450" s="8"/>
      <c r="BF450" s="8"/>
      <c r="BG450" s="47"/>
      <c r="BH450" s="47"/>
      <c r="BI450" s="8"/>
      <c r="BJ450" s="3"/>
      <c r="BK450" s="47"/>
      <c r="BL450" s="47"/>
      <c r="BM450" s="24">
        <f t="shared" si="74"/>
        <v>58363.95</v>
      </c>
      <c r="BN450" s="28">
        <f t="shared" si="68"/>
        <v>-426763.07550000015</v>
      </c>
      <c r="BO450" s="2">
        <v>45483</v>
      </c>
    </row>
    <row r="451" spans="4:67" hidden="1" x14ac:dyDescent="0.25">
      <c r="D451" s="9" t="s">
        <v>32</v>
      </c>
      <c r="E451" s="2">
        <v>45484</v>
      </c>
      <c r="F451" s="38"/>
      <c r="G451" s="51"/>
      <c r="H451" s="4">
        <f t="shared" si="69"/>
        <v>1865.7</v>
      </c>
      <c r="I451" s="5"/>
      <c r="J451" s="4">
        <f t="shared" si="70"/>
        <v>1865.7</v>
      </c>
      <c r="K451" s="4">
        <f t="shared" si="75"/>
        <v>-28098.145000000004</v>
      </c>
      <c r="L451" s="3"/>
      <c r="M451" s="3"/>
      <c r="N451" s="33">
        <f t="shared" si="71"/>
        <v>0</v>
      </c>
      <c r="O451" s="28">
        <f t="shared" si="76"/>
        <v>-28098.145000000004</v>
      </c>
      <c r="P451" s="9" t="s">
        <v>32</v>
      </c>
      <c r="Q451" s="2">
        <v>45484</v>
      </c>
      <c r="R451" s="38"/>
      <c r="S451" s="52"/>
      <c r="T451" s="4">
        <f t="shared" si="72"/>
        <v>4045.9500000000003</v>
      </c>
      <c r="U451" s="5"/>
      <c r="V451" s="4">
        <f t="shared" si="65"/>
        <v>4045.9500000000003</v>
      </c>
      <c r="W451" s="4">
        <f t="shared" si="77"/>
        <v>35022.265000000021</v>
      </c>
      <c r="X451" s="3"/>
      <c r="Y451" s="3"/>
      <c r="Z451" s="25">
        <f t="shared" si="78"/>
        <v>0</v>
      </c>
      <c r="AA451" s="72">
        <f t="shared" si="79"/>
        <v>35022.265000000021</v>
      </c>
      <c r="AB451" s="9" t="s">
        <v>32</v>
      </c>
      <c r="AC451" s="19">
        <v>45484</v>
      </c>
      <c r="AD451" s="41"/>
      <c r="AE451" s="42"/>
      <c r="AF451" s="4">
        <f t="shared" si="67"/>
        <v>6810.7499999999982</v>
      </c>
      <c r="AG451" s="3"/>
      <c r="AH451" s="8">
        <v>1007.3</v>
      </c>
      <c r="AI451" s="4">
        <f t="shared" si="66"/>
        <v>5803.449999999998</v>
      </c>
      <c r="AJ451" s="4">
        <f t="shared" si="73"/>
        <v>-420959.62550000014</v>
      </c>
      <c r="AK451" s="8"/>
      <c r="AL451" s="8"/>
      <c r="AM451" s="47"/>
      <c r="AN451" s="47"/>
      <c r="AO451" s="8"/>
      <c r="AP451" s="8"/>
      <c r="AQ451" s="47"/>
      <c r="AR451" s="47"/>
      <c r="AS451" s="8"/>
      <c r="AT451" s="8"/>
      <c r="AU451" s="47"/>
      <c r="AV451" s="47"/>
      <c r="AW451" s="8"/>
      <c r="AX451" s="8"/>
      <c r="AY451" s="47"/>
      <c r="AZ451" s="47"/>
      <c r="BA451" s="8" t="s">
        <v>200</v>
      </c>
      <c r="BB451" s="8">
        <f>(4800)</f>
        <v>4800</v>
      </c>
      <c r="BC451" s="47"/>
      <c r="BD451" s="47"/>
      <c r="BE451" s="8"/>
      <c r="BF451" s="8"/>
      <c r="BG451" s="47"/>
      <c r="BH451" s="47"/>
      <c r="BI451" s="8"/>
      <c r="BJ451" s="3"/>
      <c r="BK451" s="47"/>
      <c r="BL451" s="47"/>
      <c r="BM451" s="24">
        <f t="shared" si="74"/>
        <v>4800</v>
      </c>
      <c r="BN451" s="28">
        <f t="shared" si="68"/>
        <v>-425759.62550000014</v>
      </c>
      <c r="BO451" s="2">
        <v>45484</v>
      </c>
    </row>
    <row r="452" spans="4:67" hidden="1" x14ac:dyDescent="0.25">
      <c r="D452" s="9" t="s">
        <v>26</v>
      </c>
      <c r="E452" s="2">
        <v>45485</v>
      </c>
      <c r="F452" s="38"/>
      <c r="G452" s="51"/>
      <c r="H452" s="4">
        <f t="shared" si="69"/>
        <v>2289.5</v>
      </c>
      <c r="I452" s="5">
        <v>1755.52</v>
      </c>
      <c r="J452" s="4">
        <f t="shared" si="70"/>
        <v>533.98</v>
      </c>
      <c r="K452" s="4">
        <f t="shared" si="75"/>
        <v>-27564.165000000005</v>
      </c>
      <c r="L452" s="3"/>
      <c r="M452" s="3"/>
      <c r="N452" s="33">
        <f t="shared" si="71"/>
        <v>1755.52</v>
      </c>
      <c r="O452" s="28">
        <f t="shared" si="76"/>
        <v>-27564.165000000005</v>
      </c>
      <c r="P452" s="9" t="s">
        <v>26</v>
      </c>
      <c r="Q452" s="2">
        <v>45485</v>
      </c>
      <c r="R452" s="38"/>
      <c r="S452" s="52"/>
      <c r="T452" s="4">
        <f t="shared" si="72"/>
        <v>4540.05</v>
      </c>
      <c r="U452" s="5">
        <v>1236</v>
      </c>
      <c r="V452" s="4">
        <f t="shared" si="65"/>
        <v>3304.05</v>
      </c>
      <c r="W452" s="4">
        <f t="shared" si="77"/>
        <v>38326.315000000024</v>
      </c>
      <c r="X452" s="3"/>
      <c r="Y452" s="3"/>
      <c r="Z452" s="25">
        <f t="shared" si="78"/>
        <v>1236</v>
      </c>
      <c r="AA452" s="72">
        <f t="shared" si="79"/>
        <v>38326.315000000024</v>
      </c>
      <c r="AB452" s="9" t="s">
        <v>26</v>
      </c>
      <c r="AC452" s="19">
        <v>45485</v>
      </c>
      <c r="AD452" s="41"/>
      <c r="AE452" s="42"/>
      <c r="AF452" s="4">
        <f t="shared" si="67"/>
        <v>7838.45</v>
      </c>
      <c r="AG452" s="3"/>
      <c r="AH452" s="8">
        <v>1409.6</v>
      </c>
      <c r="AI452" s="4">
        <f t="shared" si="66"/>
        <v>6428.85</v>
      </c>
      <c r="AJ452" s="4">
        <f t="shared" si="73"/>
        <v>-419330.77550000016</v>
      </c>
      <c r="AK452" s="8" t="s">
        <v>13</v>
      </c>
      <c r="AL452" s="8">
        <f>(2782)</f>
        <v>2782</v>
      </c>
      <c r="AM452" s="47" t="s">
        <v>81</v>
      </c>
      <c r="AN452" s="47">
        <f>(8000)</f>
        <v>8000</v>
      </c>
      <c r="AO452" s="8"/>
      <c r="AP452" s="8"/>
      <c r="AQ452" s="47"/>
      <c r="AR452" s="47"/>
      <c r="AS452" s="8"/>
      <c r="AT452" s="8"/>
      <c r="AU452" s="47"/>
      <c r="AV452" s="47"/>
      <c r="AW452" s="8"/>
      <c r="AX452" s="8"/>
      <c r="AY452" s="47"/>
      <c r="AZ452" s="47"/>
      <c r="BA452" s="8"/>
      <c r="BB452" s="3"/>
      <c r="BC452" s="48"/>
      <c r="BD452" s="48"/>
      <c r="BE452" s="3"/>
      <c r="BF452" s="3"/>
      <c r="BG452" s="48"/>
      <c r="BH452" s="48"/>
      <c r="BI452" s="8"/>
      <c r="BJ452" s="8"/>
      <c r="BK452" s="48"/>
      <c r="BL452" s="47"/>
      <c r="BM452" s="24">
        <f t="shared" si="74"/>
        <v>10782</v>
      </c>
      <c r="BN452" s="28">
        <f t="shared" si="68"/>
        <v>-430112.77550000016</v>
      </c>
      <c r="BO452" s="2">
        <v>45485</v>
      </c>
    </row>
    <row r="453" spans="4:67" hidden="1" x14ac:dyDescent="0.25">
      <c r="D453" s="9" t="s">
        <v>27</v>
      </c>
      <c r="E453" s="2">
        <v>45486</v>
      </c>
      <c r="F453" s="38"/>
      <c r="G453" s="51"/>
      <c r="H453" s="4">
        <f t="shared" si="69"/>
        <v>2023.925</v>
      </c>
      <c r="I453" s="5">
        <v>1314</v>
      </c>
      <c r="J453" s="4">
        <f t="shared" si="70"/>
        <v>709.92499999999995</v>
      </c>
      <c r="K453" s="4">
        <f t="shared" si="75"/>
        <v>-26854.240000000005</v>
      </c>
      <c r="L453" s="3"/>
      <c r="M453" s="3"/>
      <c r="N453" s="33">
        <f t="shared" si="71"/>
        <v>1314</v>
      </c>
      <c r="O453" s="28">
        <f t="shared" si="76"/>
        <v>-26854.240000000005</v>
      </c>
      <c r="P453" s="9" t="s">
        <v>27</v>
      </c>
      <c r="Q453" s="2">
        <v>45486</v>
      </c>
      <c r="R453" s="38"/>
      <c r="S453" s="52"/>
      <c r="T453" s="4">
        <f t="shared" si="72"/>
        <v>4710.6000000000004</v>
      </c>
      <c r="U453" s="5"/>
      <c r="V453" s="4">
        <f t="shared" si="65"/>
        <v>4710.6000000000004</v>
      </c>
      <c r="W453" s="4">
        <f t="shared" si="77"/>
        <v>43036.915000000023</v>
      </c>
      <c r="X453" s="3"/>
      <c r="Y453" s="3"/>
      <c r="Z453" s="25">
        <f t="shared" si="78"/>
        <v>0</v>
      </c>
      <c r="AA453" s="72">
        <f t="shared" si="79"/>
        <v>43036.915000000023</v>
      </c>
      <c r="AB453" s="9" t="s">
        <v>27</v>
      </c>
      <c r="AC453" s="19">
        <v>45486</v>
      </c>
      <c r="AD453" s="41"/>
      <c r="AE453" s="42"/>
      <c r="AF453" s="4">
        <f t="shared" si="67"/>
        <v>7781.3250000000007</v>
      </c>
      <c r="AG453" s="3"/>
      <c r="AH453" s="8">
        <v>1055.55</v>
      </c>
      <c r="AI453" s="4">
        <f t="shared" si="66"/>
        <v>6725.7750000000005</v>
      </c>
      <c r="AJ453" s="4">
        <f t="shared" si="73"/>
        <v>-423387.00050000014</v>
      </c>
      <c r="AK453" s="8" t="s">
        <v>13</v>
      </c>
      <c r="AL453" s="8">
        <f>(2017)</f>
        <v>2017</v>
      </c>
      <c r="AM453" s="47"/>
      <c r="AN453" s="47"/>
      <c r="AO453" s="8"/>
      <c r="AP453" s="8"/>
      <c r="AQ453" s="47"/>
      <c r="AR453" s="47"/>
      <c r="AS453" s="8"/>
      <c r="AT453" s="8"/>
      <c r="AU453" s="47"/>
      <c r="AV453" s="47"/>
      <c r="AW453" s="8"/>
      <c r="AX453" s="8"/>
      <c r="AY453" s="47" t="s">
        <v>201</v>
      </c>
      <c r="AZ453" s="47">
        <f>(1131)</f>
        <v>1131</v>
      </c>
      <c r="BA453" s="8"/>
      <c r="BB453" s="8"/>
      <c r="BC453" s="47"/>
      <c r="BD453" s="47"/>
      <c r="BE453" s="8"/>
      <c r="BF453" s="8"/>
      <c r="BG453" s="47"/>
      <c r="BH453" s="47"/>
      <c r="BI453" s="8"/>
      <c r="BJ453" s="3"/>
      <c r="BK453" s="47"/>
      <c r="BL453" s="47"/>
      <c r="BM453" s="24">
        <f t="shared" si="74"/>
        <v>3148</v>
      </c>
      <c r="BN453" s="28">
        <f t="shared" si="68"/>
        <v>-426535.00050000014</v>
      </c>
      <c r="BO453" s="2">
        <v>45486</v>
      </c>
    </row>
    <row r="454" spans="4:67" hidden="1" x14ac:dyDescent="0.25">
      <c r="D454" s="9" t="s">
        <v>28</v>
      </c>
      <c r="E454" s="2">
        <v>45487</v>
      </c>
      <c r="F454" s="38"/>
      <c r="G454" s="51"/>
      <c r="H454" s="4">
        <f t="shared" si="69"/>
        <v>1887.65</v>
      </c>
      <c r="I454" s="5"/>
      <c r="J454" s="4">
        <f t="shared" si="70"/>
        <v>1887.65</v>
      </c>
      <c r="K454" s="4">
        <f t="shared" si="75"/>
        <v>-24966.590000000004</v>
      </c>
      <c r="L454" s="3"/>
      <c r="M454" s="3"/>
      <c r="N454" s="33">
        <f t="shared" si="71"/>
        <v>0</v>
      </c>
      <c r="O454" s="28">
        <f t="shared" si="76"/>
        <v>-24966.590000000004</v>
      </c>
      <c r="P454" s="9" t="s">
        <v>28</v>
      </c>
      <c r="Q454" s="2">
        <v>45487</v>
      </c>
      <c r="R454" s="38"/>
      <c r="S454" s="52"/>
      <c r="T454" s="4">
        <f t="shared" si="72"/>
        <v>3430.35</v>
      </c>
      <c r="U454" s="5">
        <v>4048</v>
      </c>
      <c r="V454" s="4">
        <f t="shared" si="65"/>
        <v>-617.65000000000009</v>
      </c>
      <c r="W454" s="4">
        <f t="shared" si="77"/>
        <v>42419.265000000021</v>
      </c>
      <c r="X454" s="3"/>
      <c r="Y454" s="3"/>
      <c r="Z454" s="25">
        <f t="shared" si="78"/>
        <v>4048</v>
      </c>
      <c r="AA454" s="72">
        <f t="shared" si="79"/>
        <v>42419.265000000021</v>
      </c>
      <c r="AB454" s="9" t="s">
        <v>28</v>
      </c>
      <c r="AC454" s="19">
        <v>45487</v>
      </c>
      <c r="AD454" s="41"/>
      <c r="AE454" s="42"/>
      <c r="AF454" s="4">
        <f t="shared" si="67"/>
        <v>6080.2999999999993</v>
      </c>
      <c r="AG454" s="3"/>
      <c r="AH454" s="8">
        <v>955</v>
      </c>
      <c r="AI454" s="4">
        <f t="shared" si="66"/>
        <v>5125.2999999999993</v>
      </c>
      <c r="AJ454" s="4">
        <f t="shared" si="73"/>
        <v>-421409.70050000015</v>
      </c>
      <c r="AK454" s="8"/>
      <c r="AL454" s="8"/>
      <c r="AM454" s="47"/>
      <c r="AN454" s="47"/>
      <c r="AO454" s="8"/>
      <c r="AP454" s="8"/>
      <c r="AQ454" s="47"/>
      <c r="AR454" s="47"/>
      <c r="AS454" s="8"/>
      <c r="AT454" s="8"/>
      <c r="AU454" s="47"/>
      <c r="AV454" s="47"/>
      <c r="AW454" s="8"/>
      <c r="AX454" s="8"/>
      <c r="AY454" s="47"/>
      <c r="AZ454" s="47"/>
      <c r="BA454" s="8"/>
      <c r="BB454" s="8"/>
      <c r="BC454" s="47"/>
      <c r="BD454" s="47"/>
      <c r="BE454" s="8"/>
      <c r="BF454" s="8"/>
      <c r="BG454" s="47"/>
      <c r="BH454" s="47"/>
      <c r="BI454" s="8"/>
      <c r="BJ454" s="3"/>
      <c r="BK454" s="47"/>
      <c r="BL454" s="47"/>
      <c r="BM454" s="24">
        <f t="shared" si="74"/>
        <v>0</v>
      </c>
      <c r="BN454" s="28">
        <f t="shared" si="68"/>
        <v>-421409.70050000015</v>
      </c>
      <c r="BO454" s="2">
        <v>45487</v>
      </c>
    </row>
    <row r="455" spans="4:67" hidden="1" x14ac:dyDescent="0.25">
      <c r="D455" s="9" t="s">
        <v>29</v>
      </c>
      <c r="E455" s="2">
        <v>45488</v>
      </c>
      <c r="F455" s="38"/>
      <c r="G455" s="51"/>
      <c r="H455" s="4">
        <f t="shared" si="69"/>
        <v>2289.15</v>
      </c>
      <c r="I455" s="5">
        <f>(2654+1548)</f>
        <v>4202</v>
      </c>
      <c r="J455" s="4">
        <f t="shared" si="70"/>
        <v>-1912.85</v>
      </c>
      <c r="K455" s="4">
        <f t="shared" si="75"/>
        <v>-26879.440000000002</v>
      </c>
      <c r="L455" s="3"/>
      <c r="M455" s="3"/>
      <c r="N455" s="33">
        <f t="shared" si="71"/>
        <v>4202</v>
      </c>
      <c r="O455" s="28">
        <f t="shared" si="76"/>
        <v>-26879.440000000002</v>
      </c>
      <c r="P455" s="9" t="s">
        <v>29</v>
      </c>
      <c r="Q455" s="2">
        <v>45488</v>
      </c>
      <c r="R455" s="38"/>
      <c r="S455" s="52"/>
      <c r="T455" s="4">
        <f t="shared" si="72"/>
        <v>2583.4500000000003</v>
      </c>
      <c r="U455" s="5"/>
      <c r="V455" s="4">
        <f t="shared" si="65"/>
        <v>2583.4500000000003</v>
      </c>
      <c r="W455" s="4">
        <f t="shared" si="77"/>
        <v>45002.715000000018</v>
      </c>
      <c r="X455" s="3"/>
      <c r="Y455" s="3"/>
      <c r="Z455" s="25">
        <f t="shared" si="78"/>
        <v>0</v>
      </c>
      <c r="AA455" s="72">
        <f t="shared" si="79"/>
        <v>45002.715000000018</v>
      </c>
      <c r="AB455" s="9" t="s">
        <v>29</v>
      </c>
      <c r="AC455" s="19">
        <v>45488</v>
      </c>
      <c r="AD455" s="41"/>
      <c r="AE455" s="42"/>
      <c r="AF455" s="4">
        <f t="shared" si="67"/>
        <v>5446.6999999999989</v>
      </c>
      <c r="AG455" s="3"/>
      <c r="AH455" s="8">
        <v>830</v>
      </c>
      <c r="AI455" s="4">
        <f t="shared" si="66"/>
        <v>4616.6999999999989</v>
      </c>
      <c r="AJ455" s="4">
        <f t="shared" si="73"/>
        <v>-416793.00050000014</v>
      </c>
      <c r="AK455" s="8"/>
      <c r="AL455" s="8"/>
      <c r="AM455" s="47"/>
      <c r="AN455" s="47"/>
      <c r="AO455" s="8"/>
      <c r="AP455" s="8"/>
      <c r="AQ455" s="47"/>
      <c r="AR455" s="47"/>
      <c r="AS455" s="8"/>
      <c r="AT455" s="8"/>
      <c r="AU455" s="47"/>
      <c r="AV455" s="47"/>
      <c r="AW455" s="8"/>
      <c r="AX455" s="8"/>
      <c r="AY455" s="47"/>
      <c r="AZ455" s="47"/>
      <c r="BA455" s="8" t="s">
        <v>202</v>
      </c>
      <c r="BB455" s="8">
        <f>(2000)</f>
        <v>2000</v>
      </c>
      <c r="BC455" s="47"/>
      <c r="BD455" s="47"/>
      <c r="BE455" s="8"/>
      <c r="BF455" s="8"/>
      <c r="BG455" s="47"/>
      <c r="BH455" s="47"/>
      <c r="BI455" s="8"/>
      <c r="BJ455" s="3"/>
      <c r="BK455" s="47"/>
      <c r="BL455" s="47"/>
      <c r="BM455" s="24">
        <f t="shared" si="74"/>
        <v>2000</v>
      </c>
      <c r="BN455" s="28">
        <f t="shared" si="68"/>
        <v>-418793.00050000014</v>
      </c>
      <c r="BO455" s="2">
        <v>45488</v>
      </c>
    </row>
    <row r="456" spans="4:67" hidden="1" x14ac:dyDescent="0.25">
      <c r="D456" s="9" t="s">
        <v>30</v>
      </c>
      <c r="E456" s="2">
        <v>45489</v>
      </c>
      <c r="F456" s="38"/>
      <c r="G456" s="51"/>
      <c r="H456" s="4">
        <f t="shared" si="69"/>
        <v>2147.375</v>
      </c>
      <c r="I456" s="5"/>
      <c r="J456" s="4">
        <f t="shared" si="70"/>
        <v>2147.375</v>
      </c>
      <c r="K456" s="4">
        <f t="shared" si="75"/>
        <v>-24732.065000000002</v>
      </c>
      <c r="L456" s="3"/>
      <c r="M456" s="3"/>
      <c r="N456" s="33">
        <f t="shared" si="71"/>
        <v>0</v>
      </c>
      <c r="O456" s="28">
        <f t="shared" si="76"/>
        <v>-24732.065000000002</v>
      </c>
      <c r="P456" s="9" t="s">
        <v>30</v>
      </c>
      <c r="Q456" s="2">
        <v>45489</v>
      </c>
      <c r="R456" s="38"/>
      <c r="S456" s="52"/>
      <c r="T456" s="4">
        <f t="shared" si="72"/>
        <v>2367.9</v>
      </c>
      <c r="U456" s="5"/>
      <c r="V456" s="4">
        <f t="shared" si="65"/>
        <v>2367.9</v>
      </c>
      <c r="W456" s="4">
        <f t="shared" si="77"/>
        <v>47370.61500000002</v>
      </c>
      <c r="X456" s="3"/>
      <c r="Y456" s="3"/>
      <c r="Z456" s="25">
        <f t="shared" si="78"/>
        <v>0</v>
      </c>
      <c r="AA456" s="72">
        <f t="shared" si="79"/>
        <v>47370.61500000002</v>
      </c>
      <c r="AB456" s="9" t="s">
        <v>30</v>
      </c>
      <c r="AC456" s="19">
        <v>45489</v>
      </c>
      <c r="AD456" s="41"/>
      <c r="AE456" s="42"/>
      <c r="AF456" s="4">
        <f t="shared" si="67"/>
        <v>5041.4750000000004</v>
      </c>
      <c r="AG456" s="3"/>
      <c r="AH456" s="8">
        <v>959.2</v>
      </c>
      <c r="AI456" s="4">
        <f t="shared" si="66"/>
        <v>4082.2750000000005</v>
      </c>
      <c r="AJ456" s="4">
        <f t="shared" si="73"/>
        <v>-414710.72550000012</v>
      </c>
      <c r="AK456" s="8" t="s">
        <v>13</v>
      </c>
      <c r="AL456" s="8">
        <f>(5720)</f>
        <v>5720</v>
      </c>
      <c r="AM456" s="47" t="s">
        <v>60</v>
      </c>
      <c r="AN456" s="47">
        <f>(13600)</f>
        <v>13600</v>
      </c>
      <c r="AO456" s="8"/>
      <c r="AP456" s="8"/>
      <c r="AQ456" s="47"/>
      <c r="AR456" s="47"/>
      <c r="AS456" s="8"/>
      <c r="AT456" s="8"/>
      <c r="AU456" s="47"/>
      <c r="AV456" s="47"/>
      <c r="AW456" s="8"/>
      <c r="AX456" s="8"/>
      <c r="AY456" s="47"/>
      <c r="AZ456" s="47"/>
      <c r="BA456" s="8"/>
      <c r="BB456" s="8"/>
      <c r="BC456" s="47"/>
      <c r="BD456" s="47"/>
      <c r="BE456" s="8"/>
      <c r="BF456" s="8"/>
      <c r="BG456" s="47"/>
      <c r="BH456" s="47"/>
      <c r="BI456" s="8"/>
      <c r="BJ456" s="3"/>
      <c r="BK456" s="47"/>
      <c r="BL456" s="47"/>
      <c r="BM456" s="24">
        <f t="shared" si="74"/>
        <v>19320</v>
      </c>
      <c r="BN456" s="28">
        <f t="shared" si="68"/>
        <v>-434030.72550000012</v>
      </c>
      <c r="BO456" s="2">
        <v>45489</v>
      </c>
    </row>
    <row r="457" spans="4:67" hidden="1" x14ac:dyDescent="0.25">
      <c r="D457" s="9" t="s">
        <v>31</v>
      </c>
      <c r="E457" s="2">
        <v>45490</v>
      </c>
      <c r="F457" s="38"/>
      <c r="G457" s="51"/>
      <c r="H457" s="4">
        <f t="shared" si="69"/>
        <v>1666.325</v>
      </c>
      <c r="I457" s="5">
        <v>2991</v>
      </c>
      <c r="J457" s="4">
        <f t="shared" si="70"/>
        <v>-1324.675</v>
      </c>
      <c r="K457" s="4">
        <f t="shared" si="75"/>
        <v>-26056.74</v>
      </c>
      <c r="L457" s="3"/>
      <c r="M457" s="3"/>
      <c r="N457" s="33">
        <f t="shared" si="71"/>
        <v>2991</v>
      </c>
      <c r="O457" s="28">
        <f t="shared" si="76"/>
        <v>-26056.74</v>
      </c>
      <c r="P457" s="9" t="s">
        <v>31</v>
      </c>
      <c r="Q457" s="2">
        <v>45490</v>
      </c>
      <c r="R457" s="38"/>
      <c r="S457" s="52"/>
      <c r="T457" s="4">
        <f t="shared" si="72"/>
        <v>4553.1000000000004</v>
      </c>
      <c r="U457" s="5"/>
      <c r="V457" s="4">
        <f t="shared" si="65"/>
        <v>4553.1000000000004</v>
      </c>
      <c r="W457" s="4">
        <f t="shared" si="77"/>
        <v>51923.715000000018</v>
      </c>
      <c r="X457" s="3"/>
      <c r="Y457" s="3"/>
      <c r="Z457" s="25">
        <f t="shared" si="78"/>
        <v>0</v>
      </c>
      <c r="AA457" s="72">
        <f t="shared" si="79"/>
        <v>51923.715000000018</v>
      </c>
      <c r="AB457" s="9" t="s">
        <v>31</v>
      </c>
      <c r="AC457" s="19">
        <v>45490</v>
      </c>
      <c r="AD457" s="41"/>
      <c r="AE457" s="42"/>
      <c r="AF457" s="4">
        <f t="shared" si="67"/>
        <v>7231.2249999999985</v>
      </c>
      <c r="AG457" s="3"/>
      <c r="AH457" s="8">
        <v>1546.1</v>
      </c>
      <c r="AI457" s="4">
        <f t="shared" si="66"/>
        <v>5685.1249999999982</v>
      </c>
      <c r="AJ457" s="4">
        <f t="shared" si="73"/>
        <v>-428345.60050000012</v>
      </c>
      <c r="AK457" s="8" t="s">
        <v>13</v>
      </c>
      <c r="AL457" s="8">
        <f>(500)</f>
        <v>500</v>
      </c>
      <c r="AM457" s="47"/>
      <c r="AN457" s="47"/>
      <c r="AO457" s="8"/>
      <c r="AP457" s="8"/>
      <c r="AQ457" s="47"/>
      <c r="AR457" s="47"/>
      <c r="AS457" s="8"/>
      <c r="AT457" s="8"/>
      <c r="AU457" s="47"/>
      <c r="AV457" s="47"/>
      <c r="AW457" s="8"/>
      <c r="AX457" s="8"/>
      <c r="AY457" s="47"/>
      <c r="AZ457" s="47"/>
      <c r="BA457" s="8" t="s">
        <v>203</v>
      </c>
      <c r="BB457" s="8">
        <f>(720)</f>
        <v>720</v>
      </c>
      <c r="BC457" s="47"/>
      <c r="BD457" s="47"/>
      <c r="BE457" s="8"/>
      <c r="BF457" s="8"/>
      <c r="BG457" s="47"/>
      <c r="BH457" s="47"/>
      <c r="BI457" s="8"/>
      <c r="BJ457" s="3"/>
      <c r="BK457" s="47"/>
      <c r="BL457" s="47"/>
      <c r="BM457" s="24">
        <f t="shared" si="74"/>
        <v>1220</v>
      </c>
      <c r="BN457" s="28">
        <f t="shared" si="68"/>
        <v>-429565.60050000012</v>
      </c>
      <c r="BO457" s="2">
        <v>45490</v>
      </c>
    </row>
    <row r="458" spans="4:67" hidden="1" x14ac:dyDescent="0.25">
      <c r="D458" s="9" t="s">
        <v>32</v>
      </c>
      <c r="E458" s="2">
        <v>45491</v>
      </c>
      <c r="F458" s="38"/>
      <c r="G458" s="51"/>
      <c r="H458" s="4">
        <f t="shared" si="69"/>
        <v>1732.6</v>
      </c>
      <c r="I458" s="5">
        <v>1534</v>
      </c>
      <c r="J458" s="4">
        <f t="shared" si="70"/>
        <v>198.59999999999991</v>
      </c>
      <c r="K458" s="4">
        <f t="shared" si="75"/>
        <v>-25858.140000000003</v>
      </c>
      <c r="L458" s="3"/>
      <c r="M458" s="3"/>
      <c r="N458" s="33">
        <f t="shared" si="71"/>
        <v>1534</v>
      </c>
      <c r="O458" s="28">
        <f t="shared" si="76"/>
        <v>-25858.140000000003</v>
      </c>
      <c r="P458" s="9" t="s">
        <v>32</v>
      </c>
      <c r="Q458" s="2">
        <v>45491</v>
      </c>
      <c r="R458" s="38"/>
      <c r="S458" s="52"/>
      <c r="T458" s="4">
        <f t="shared" si="72"/>
        <v>3310.2000000000003</v>
      </c>
      <c r="U458" s="5">
        <v>1326</v>
      </c>
      <c r="V458" s="4">
        <f t="shared" si="65"/>
        <v>1984.2000000000003</v>
      </c>
      <c r="W458" s="4">
        <f t="shared" si="77"/>
        <v>53907.915000000015</v>
      </c>
      <c r="X458" s="3"/>
      <c r="Y458" s="3"/>
      <c r="Z458" s="25">
        <f t="shared" si="78"/>
        <v>1326</v>
      </c>
      <c r="AA458" s="72">
        <f t="shared" si="79"/>
        <v>53907.915000000015</v>
      </c>
      <c r="AB458" s="9" t="s">
        <v>32</v>
      </c>
      <c r="AC458" s="19">
        <v>45491</v>
      </c>
      <c r="AD458" s="41"/>
      <c r="AE458" s="42"/>
      <c r="AF458" s="4">
        <f t="shared" si="67"/>
        <v>5778.4</v>
      </c>
      <c r="AG458" s="3"/>
      <c r="AH458" s="8">
        <v>1122</v>
      </c>
      <c r="AI458" s="4">
        <f t="shared" si="66"/>
        <v>4656.3999999999996</v>
      </c>
      <c r="AJ458" s="4">
        <f t="shared" si="73"/>
        <v>-424909.20050000009</v>
      </c>
      <c r="AK458" s="8" t="s">
        <v>13</v>
      </c>
      <c r="AL458" s="8">
        <f>(1864)</f>
        <v>1864</v>
      </c>
      <c r="AM458" s="47" t="s">
        <v>178</v>
      </c>
      <c r="AN458" s="47">
        <f>(24550)</f>
        <v>24550</v>
      </c>
      <c r="AO458" s="8"/>
      <c r="AP458" s="8"/>
      <c r="AQ458" s="47"/>
      <c r="AR458" s="47"/>
      <c r="AS458" s="8"/>
      <c r="AT458" s="8"/>
      <c r="AU458" s="47"/>
      <c r="AV458" s="47"/>
      <c r="AW458" s="8"/>
      <c r="AX458" s="8"/>
      <c r="AY458" s="47" t="s">
        <v>206</v>
      </c>
      <c r="AZ458" s="47">
        <f>(210)</f>
        <v>210</v>
      </c>
      <c r="BA458" s="8" t="s">
        <v>205</v>
      </c>
      <c r="BB458" s="8">
        <f>(3000)</f>
        <v>3000</v>
      </c>
      <c r="BC458" s="47"/>
      <c r="BD458" s="47"/>
      <c r="BE458" s="8"/>
      <c r="BF458" s="8"/>
      <c r="BG458" s="47"/>
      <c r="BH458" s="47"/>
      <c r="BI458" s="8"/>
      <c r="BJ458" s="3"/>
      <c r="BK458" s="47"/>
      <c r="BL458" s="47"/>
      <c r="BM458" s="24">
        <f t="shared" si="74"/>
        <v>29624</v>
      </c>
      <c r="BN458" s="28">
        <f t="shared" si="68"/>
        <v>-454533.20050000009</v>
      </c>
      <c r="BO458" s="2">
        <v>45491</v>
      </c>
    </row>
    <row r="459" spans="4:67" hidden="1" x14ac:dyDescent="0.25">
      <c r="D459" s="9" t="s">
        <v>26</v>
      </c>
      <c r="E459" s="2">
        <v>45492</v>
      </c>
      <c r="F459" s="38"/>
      <c r="G459" s="51"/>
      <c r="H459" s="4">
        <f t="shared" si="69"/>
        <v>2373.6999999999998</v>
      </c>
      <c r="I459" s="5">
        <v>2032</v>
      </c>
      <c r="J459" s="4">
        <f t="shared" si="70"/>
        <v>341.69999999999982</v>
      </c>
      <c r="K459" s="4">
        <f t="shared" si="75"/>
        <v>-25516.440000000002</v>
      </c>
      <c r="L459" s="3"/>
      <c r="M459" s="3"/>
      <c r="N459" s="33">
        <f t="shared" si="71"/>
        <v>2032</v>
      </c>
      <c r="O459" s="28">
        <f t="shared" si="76"/>
        <v>-25516.440000000002</v>
      </c>
      <c r="P459" s="9" t="s">
        <v>26</v>
      </c>
      <c r="Q459" s="2">
        <v>45492</v>
      </c>
      <c r="R459" s="38"/>
      <c r="S459" s="52"/>
      <c r="T459" s="4">
        <f t="shared" si="72"/>
        <v>2700</v>
      </c>
      <c r="U459" s="5">
        <v>1515</v>
      </c>
      <c r="V459" s="4">
        <f t="shared" si="65"/>
        <v>1185</v>
      </c>
      <c r="W459" s="4">
        <f t="shared" si="77"/>
        <v>55092.915000000015</v>
      </c>
      <c r="X459" s="3"/>
      <c r="Y459" s="3"/>
      <c r="Z459" s="25">
        <f t="shared" si="78"/>
        <v>1515</v>
      </c>
      <c r="AA459" s="72">
        <f t="shared" si="79"/>
        <v>55092.915000000015</v>
      </c>
      <c r="AB459" s="9" t="s">
        <v>26</v>
      </c>
      <c r="AC459" s="19">
        <v>45492</v>
      </c>
      <c r="AD459" s="41"/>
      <c r="AE459" s="42"/>
      <c r="AF459" s="4">
        <f t="shared" si="67"/>
        <v>5673.7000000000007</v>
      </c>
      <c r="AG459" s="3"/>
      <c r="AH459" s="8">
        <v>838</v>
      </c>
      <c r="AI459" s="4">
        <f t="shared" si="66"/>
        <v>4835.7000000000007</v>
      </c>
      <c r="AJ459" s="4">
        <f t="shared" si="73"/>
        <v>-449697.50050000008</v>
      </c>
      <c r="AK459" s="8"/>
      <c r="AL459" s="8"/>
      <c r="AM459" s="47"/>
      <c r="AN459" s="47"/>
      <c r="AO459" s="8"/>
      <c r="AP459" s="8"/>
      <c r="AQ459" s="47"/>
      <c r="AR459" s="47"/>
      <c r="AS459" s="8"/>
      <c r="AT459" s="8"/>
      <c r="AU459" s="47"/>
      <c r="AV459" s="47"/>
      <c r="AW459" s="8"/>
      <c r="AX459" s="8"/>
      <c r="AY459" s="47"/>
      <c r="AZ459" s="47"/>
      <c r="BA459" s="8"/>
      <c r="BB459" s="8"/>
      <c r="BC459" s="47"/>
      <c r="BD459" s="47"/>
      <c r="BE459" s="8"/>
      <c r="BF459" s="8"/>
      <c r="BG459" s="47"/>
      <c r="BH459" s="47"/>
      <c r="BI459" s="8"/>
      <c r="BJ459" s="3"/>
      <c r="BK459" s="47"/>
      <c r="BL459" s="47"/>
      <c r="BM459" s="24">
        <f t="shared" si="74"/>
        <v>0</v>
      </c>
      <c r="BN459" s="28">
        <f t="shared" si="68"/>
        <v>-449697.50050000008</v>
      </c>
      <c r="BO459" s="2">
        <v>45492</v>
      </c>
    </row>
    <row r="460" spans="4:67" hidden="1" x14ac:dyDescent="0.25">
      <c r="D460" s="9" t="s">
        <v>27</v>
      </c>
      <c r="E460" s="2">
        <v>45493</v>
      </c>
      <c r="F460" s="38"/>
      <c r="G460" s="51"/>
      <c r="H460" s="4">
        <f t="shared" si="69"/>
        <v>2407.4749999999999</v>
      </c>
      <c r="I460" s="5">
        <v>1693.8</v>
      </c>
      <c r="J460" s="4">
        <f t="shared" si="70"/>
        <v>713.67499999999995</v>
      </c>
      <c r="K460" s="4">
        <f t="shared" si="75"/>
        <v>-24802.765000000003</v>
      </c>
      <c r="L460" s="3"/>
      <c r="M460" s="3"/>
      <c r="N460" s="33">
        <f t="shared" si="71"/>
        <v>1693.8</v>
      </c>
      <c r="O460" s="28">
        <f t="shared" si="76"/>
        <v>-24802.765000000003</v>
      </c>
      <c r="P460" s="9" t="s">
        <v>27</v>
      </c>
      <c r="Q460" s="2">
        <v>45493</v>
      </c>
      <c r="R460" s="38"/>
      <c r="S460" s="52"/>
      <c r="T460" s="4">
        <f t="shared" si="72"/>
        <v>2843.1</v>
      </c>
      <c r="U460" s="5"/>
      <c r="V460" s="4">
        <f t="shared" si="65"/>
        <v>2843.1</v>
      </c>
      <c r="W460" s="4">
        <f t="shared" si="77"/>
        <v>57936.015000000014</v>
      </c>
      <c r="X460" s="3"/>
      <c r="Y460" s="3"/>
      <c r="Z460" s="25">
        <f t="shared" si="78"/>
        <v>0</v>
      </c>
      <c r="AA460" s="72">
        <f t="shared" si="79"/>
        <v>57936.015000000014</v>
      </c>
      <c r="AB460" s="9" t="s">
        <v>27</v>
      </c>
      <c r="AC460" s="19">
        <v>45493</v>
      </c>
      <c r="AD460" s="41"/>
      <c r="AE460" s="42"/>
      <c r="AF460" s="4">
        <f t="shared" si="67"/>
        <v>5882.375</v>
      </c>
      <c r="AG460" s="3"/>
      <c r="AH460" s="8">
        <v>1316</v>
      </c>
      <c r="AI460" s="4">
        <f t="shared" si="66"/>
        <v>4566.375</v>
      </c>
      <c r="AJ460" s="4">
        <f t="shared" si="73"/>
        <v>-445131.12550000008</v>
      </c>
      <c r="AK460" s="8"/>
      <c r="AL460" s="8"/>
      <c r="AM460" s="47" t="s">
        <v>207</v>
      </c>
      <c r="AN460" s="47">
        <f>(16100)</f>
        <v>16100</v>
      </c>
      <c r="AO460" s="8"/>
      <c r="AP460" s="8"/>
      <c r="AQ460" s="47"/>
      <c r="AR460" s="47"/>
      <c r="AS460" s="8"/>
      <c r="AT460" s="8"/>
      <c r="AU460" s="47"/>
      <c r="AV460" s="47"/>
      <c r="AW460" s="8"/>
      <c r="AX460" s="8"/>
      <c r="AY460" s="47"/>
      <c r="AZ460" s="47"/>
      <c r="BA460" s="8" t="s">
        <v>208</v>
      </c>
      <c r="BB460" s="8">
        <f>(375)</f>
        <v>375</v>
      </c>
      <c r="BC460" s="47"/>
      <c r="BD460" s="47"/>
      <c r="BE460" s="8"/>
      <c r="BF460" s="8"/>
      <c r="BG460" s="47"/>
      <c r="BH460" s="47"/>
      <c r="BI460" s="8"/>
      <c r="BJ460" s="3"/>
      <c r="BK460" s="47"/>
      <c r="BL460" s="47"/>
      <c r="BM460" s="24">
        <f t="shared" si="74"/>
        <v>16475</v>
      </c>
      <c r="BN460" s="28">
        <f t="shared" si="68"/>
        <v>-461606.12550000008</v>
      </c>
      <c r="BO460" s="2">
        <v>45493</v>
      </c>
    </row>
    <row r="461" spans="4:67" hidden="1" x14ac:dyDescent="0.25">
      <c r="D461" s="9" t="s">
        <v>28</v>
      </c>
      <c r="E461" s="2">
        <v>45494</v>
      </c>
      <c r="F461" s="38"/>
      <c r="G461" s="51"/>
      <c r="H461" s="4">
        <f t="shared" si="69"/>
        <v>2187.4749999999999</v>
      </c>
      <c r="I461" s="5"/>
      <c r="J461" s="4">
        <f t="shared" si="70"/>
        <v>2187.4749999999999</v>
      </c>
      <c r="K461" s="4">
        <f t="shared" si="75"/>
        <v>-22615.290000000005</v>
      </c>
      <c r="L461" s="3"/>
      <c r="M461" s="3"/>
      <c r="N461" s="33">
        <f t="shared" si="71"/>
        <v>0</v>
      </c>
      <c r="O461" s="28">
        <f t="shared" si="76"/>
        <v>-22615.290000000005</v>
      </c>
      <c r="P461" s="9" t="s">
        <v>28</v>
      </c>
      <c r="Q461" s="2">
        <v>45494</v>
      </c>
      <c r="R461" s="38"/>
      <c r="S461" s="52"/>
      <c r="T461" s="4">
        <f t="shared" si="72"/>
        <v>5126.4000000000005</v>
      </c>
      <c r="U461" s="5"/>
      <c r="V461" s="4">
        <f t="shared" si="65"/>
        <v>5126.4000000000005</v>
      </c>
      <c r="W461" s="4">
        <f t="shared" si="77"/>
        <v>63062.415000000015</v>
      </c>
      <c r="X461" s="3"/>
      <c r="Y461" s="3"/>
      <c r="Z461" s="25">
        <f t="shared" si="78"/>
        <v>0</v>
      </c>
      <c r="AA461" s="72">
        <f t="shared" si="79"/>
        <v>63062.415000000015</v>
      </c>
      <c r="AB461" s="9" t="s">
        <v>28</v>
      </c>
      <c r="AC461" s="19">
        <v>45494</v>
      </c>
      <c r="AD461" s="41"/>
      <c r="AE461" s="42"/>
      <c r="AF461" s="4">
        <f t="shared" si="67"/>
        <v>8453.0750000000007</v>
      </c>
      <c r="AG461" s="3"/>
      <c r="AH461" s="8">
        <v>1358.4</v>
      </c>
      <c r="AI461" s="4">
        <f t="shared" si="66"/>
        <v>7094.6750000000011</v>
      </c>
      <c r="AJ461" s="4">
        <f t="shared" si="73"/>
        <v>-454511.45050000009</v>
      </c>
      <c r="AK461" s="8"/>
      <c r="AL461" s="8"/>
      <c r="AM461" s="47"/>
      <c r="AN461" s="47"/>
      <c r="AO461" s="8"/>
      <c r="AP461" s="8"/>
      <c r="AQ461" s="47"/>
      <c r="AR461" s="47"/>
      <c r="AS461" s="8"/>
      <c r="AT461" s="8"/>
      <c r="AU461" s="47"/>
      <c r="AV461" s="47"/>
      <c r="AW461" s="8"/>
      <c r="AX461" s="8"/>
      <c r="AY461" s="47"/>
      <c r="AZ461" s="47"/>
      <c r="BA461" s="8"/>
      <c r="BB461" s="8"/>
      <c r="BC461" s="47"/>
      <c r="BD461" s="47"/>
      <c r="BE461" s="8"/>
      <c r="BF461" s="8"/>
      <c r="BG461" s="47"/>
      <c r="BH461" s="47"/>
      <c r="BI461" s="8"/>
      <c r="BJ461" s="3"/>
      <c r="BK461" s="48"/>
      <c r="BL461" s="47"/>
      <c r="BM461" s="24">
        <f t="shared" si="74"/>
        <v>0</v>
      </c>
      <c r="BN461" s="28">
        <f t="shared" si="68"/>
        <v>-454511.45050000009</v>
      </c>
      <c r="BO461" s="2">
        <v>45494</v>
      </c>
    </row>
    <row r="462" spans="4:67" hidden="1" x14ac:dyDescent="0.25">
      <c r="D462" s="9" t="s">
        <v>29</v>
      </c>
      <c r="E462" s="2">
        <v>45495</v>
      </c>
      <c r="F462" s="38"/>
      <c r="G462" s="51"/>
      <c r="H462" s="4">
        <f t="shared" si="69"/>
        <v>2819.2249999999999</v>
      </c>
      <c r="I462" s="5"/>
      <c r="J462" s="4">
        <f t="shared" si="70"/>
        <v>2819.2249999999999</v>
      </c>
      <c r="K462" s="4">
        <f t="shared" si="75"/>
        <v>-19796.065000000006</v>
      </c>
      <c r="L462" s="3"/>
      <c r="M462" s="3"/>
      <c r="N462" s="33">
        <f t="shared" si="71"/>
        <v>0</v>
      </c>
      <c r="O462" s="28">
        <f t="shared" si="76"/>
        <v>-19796.065000000006</v>
      </c>
      <c r="P462" s="9" t="s">
        <v>29</v>
      </c>
      <c r="Q462" s="2">
        <v>45495</v>
      </c>
      <c r="R462" s="38"/>
      <c r="S462" s="52"/>
      <c r="T462" s="4">
        <f t="shared" si="72"/>
        <v>2981.7000000000003</v>
      </c>
      <c r="U462" s="5"/>
      <c r="V462" s="4">
        <f t="shared" si="65"/>
        <v>2981.7000000000003</v>
      </c>
      <c r="W462" s="4">
        <f t="shared" si="77"/>
        <v>66044.11500000002</v>
      </c>
      <c r="X462" s="3"/>
      <c r="Y462" s="3"/>
      <c r="Z462" s="25">
        <f t="shared" si="78"/>
        <v>0</v>
      </c>
      <c r="AA462" s="72">
        <f t="shared" si="79"/>
        <v>66044.11500000002</v>
      </c>
      <c r="AB462" s="9" t="s">
        <v>29</v>
      </c>
      <c r="AC462" s="19">
        <v>45495</v>
      </c>
      <c r="AD462" s="41"/>
      <c r="AE462" s="42"/>
      <c r="AF462" s="4">
        <f t="shared" si="67"/>
        <v>6463.5249999999996</v>
      </c>
      <c r="AG462" s="3"/>
      <c r="AH462" s="8">
        <v>1253.4000000000001</v>
      </c>
      <c r="AI462" s="4">
        <f t="shared" si="66"/>
        <v>5210.125</v>
      </c>
      <c r="AJ462" s="4">
        <f t="shared" si="73"/>
        <v>-449301.32550000009</v>
      </c>
      <c r="AK462" s="8"/>
      <c r="AL462" s="8"/>
      <c r="AM462" s="47"/>
      <c r="AN462" s="47"/>
      <c r="AO462" s="8"/>
      <c r="AP462" s="8"/>
      <c r="AQ462" s="47"/>
      <c r="AR462" s="47"/>
      <c r="AS462" s="8"/>
      <c r="AT462" s="8"/>
      <c r="AU462" s="47"/>
      <c r="AV462" s="47"/>
      <c r="AW462" s="8"/>
      <c r="AX462" s="8"/>
      <c r="AY462" s="47"/>
      <c r="AZ462" s="47"/>
      <c r="BA462" s="8"/>
      <c r="BB462" s="8"/>
      <c r="BC462" s="47"/>
      <c r="BD462" s="47"/>
      <c r="BE462" s="8"/>
      <c r="BF462" s="8"/>
      <c r="BG462" s="47"/>
      <c r="BH462" s="47"/>
      <c r="BI462" s="8"/>
      <c r="BJ462" s="3"/>
      <c r="BK462" s="47"/>
      <c r="BL462" s="47"/>
      <c r="BM462" s="24">
        <f t="shared" si="74"/>
        <v>0</v>
      </c>
      <c r="BN462" s="28">
        <f t="shared" si="68"/>
        <v>-449301.32550000009</v>
      </c>
      <c r="BO462" s="2">
        <v>45495</v>
      </c>
    </row>
    <row r="463" spans="4:67" hidden="1" x14ac:dyDescent="0.25">
      <c r="D463" s="9" t="s">
        <v>30</v>
      </c>
      <c r="E463" s="2">
        <v>45496</v>
      </c>
      <c r="F463" s="38"/>
      <c r="G463" s="51"/>
      <c r="H463" s="4">
        <f t="shared" si="69"/>
        <v>2718.1</v>
      </c>
      <c r="I463" s="5">
        <v>2814.8</v>
      </c>
      <c r="J463" s="4">
        <f t="shared" si="70"/>
        <v>-96.700000000000273</v>
      </c>
      <c r="K463" s="4">
        <f t="shared" si="75"/>
        <v>-19892.765000000007</v>
      </c>
      <c r="L463" s="3"/>
      <c r="M463" s="3"/>
      <c r="N463" s="33">
        <f t="shared" si="71"/>
        <v>2814.8</v>
      </c>
      <c r="O463" s="28">
        <f t="shared" si="76"/>
        <v>-19892.765000000007</v>
      </c>
      <c r="P463" s="9" t="s">
        <v>30</v>
      </c>
      <c r="Q463" s="2">
        <v>45496</v>
      </c>
      <c r="R463" s="38"/>
      <c r="S463" s="52"/>
      <c r="T463" s="4">
        <f t="shared" si="72"/>
        <v>2155.0500000000002</v>
      </c>
      <c r="U463" s="5">
        <v>2375</v>
      </c>
      <c r="V463" s="4">
        <f t="shared" ref="V463:V526" si="80">(S463+T463)-U463</f>
        <v>-219.94999999999982</v>
      </c>
      <c r="W463" s="4">
        <f t="shared" si="77"/>
        <v>65824.165000000023</v>
      </c>
      <c r="X463" s="3"/>
      <c r="Y463" s="3"/>
      <c r="Z463" s="25">
        <f t="shared" si="78"/>
        <v>2375</v>
      </c>
      <c r="AA463" s="72">
        <f t="shared" si="79"/>
        <v>65824.165000000023</v>
      </c>
      <c r="AB463" s="9" t="s">
        <v>30</v>
      </c>
      <c r="AC463" s="19">
        <v>45496</v>
      </c>
      <c r="AD463" s="41"/>
      <c r="AE463" s="42"/>
      <c r="AF463" s="4">
        <f t="shared" si="67"/>
        <v>5352.05</v>
      </c>
      <c r="AG463" s="3"/>
      <c r="AH463" s="8">
        <v>851</v>
      </c>
      <c r="AI463" s="4">
        <f t="shared" ref="AI463:AI526" si="81">(AE463+AF463)-AH463</f>
        <v>4501.05</v>
      </c>
      <c r="AJ463" s="4">
        <f t="shared" si="73"/>
        <v>-444800.27550000011</v>
      </c>
      <c r="AK463" s="8"/>
      <c r="AL463" s="8"/>
      <c r="AM463" s="47"/>
      <c r="AN463" s="47"/>
      <c r="AO463" s="8"/>
      <c r="AP463" s="8"/>
      <c r="AQ463" s="47"/>
      <c r="AR463" s="47"/>
      <c r="AS463" s="8"/>
      <c r="AT463" s="8"/>
      <c r="AU463" s="47"/>
      <c r="AV463" s="47"/>
      <c r="AW463" s="8"/>
      <c r="AX463" s="8"/>
      <c r="AY463" s="47"/>
      <c r="AZ463" s="47"/>
      <c r="BA463" s="8" t="s">
        <v>209</v>
      </c>
      <c r="BB463" s="8">
        <f>(258.85)</f>
        <v>258.85000000000002</v>
      </c>
      <c r="BC463" s="47"/>
      <c r="BD463" s="47"/>
      <c r="BE463" s="8"/>
      <c r="BF463" s="8"/>
      <c r="BG463" s="47"/>
      <c r="BH463" s="47"/>
      <c r="BI463" s="8"/>
      <c r="BJ463" s="3"/>
      <c r="BK463" s="47"/>
      <c r="BL463" s="47"/>
      <c r="BM463" s="24">
        <f t="shared" si="74"/>
        <v>258.85000000000002</v>
      </c>
      <c r="BN463" s="28">
        <f t="shared" si="68"/>
        <v>-445059.12550000008</v>
      </c>
      <c r="BO463" s="2">
        <v>45496</v>
      </c>
    </row>
    <row r="464" spans="4:67" hidden="1" x14ac:dyDescent="0.25">
      <c r="D464" s="9" t="s">
        <v>31</v>
      </c>
      <c r="E464" s="2">
        <v>45497</v>
      </c>
      <c r="F464" s="38"/>
      <c r="G464" s="51"/>
      <c r="H464" s="4">
        <f t="shared" si="69"/>
        <v>1414.075</v>
      </c>
      <c r="I464" s="5">
        <v>990</v>
      </c>
      <c r="J464" s="4">
        <f t="shared" si="70"/>
        <v>424.07500000000005</v>
      </c>
      <c r="K464" s="4">
        <f t="shared" si="75"/>
        <v>-19468.690000000006</v>
      </c>
      <c r="L464" s="3"/>
      <c r="M464" s="3"/>
      <c r="N464" s="33">
        <f t="shared" si="71"/>
        <v>990</v>
      </c>
      <c r="O464" s="28">
        <f t="shared" si="76"/>
        <v>-19468.690000000006</v>
      </c>
      <c r="P464" s="9" t="s">
        <v>31</v>
      </c>
      <c r="Q464" s="2">
        <v>45497</v>
      </c>
      <c r="R464" s="38"/>
      <c r="S464" s="52"/>
      <c r="T464" s="4">
        <f t="shared" si="72"/>
        <v>3618.9</v>
      </c>
      <c r="U464" s="5">
        <v>2067</v>
      </c>
      <c r="V464" s="4">
        <f t="shared" si="80"/>
        <v>1551.9</v>
      </c>
      <c r="W464" s="4">
        <f t="shared" si="77"/>
        <v>67376.065000000017</v>
      </c>
      <c r="X464" s="3"/>
      <c r="Y464" s="3"/>
      <c r="Z464" s="25">
        <f t="shared" si="78"/>
        <v>2067</v>
      </c>
      <c r="AA464" s="72">
        <f t="shared" si="79"/>
        <v>67376.065000000017</v>
      </c>
      <c r="AB464" s="9" t="s">
        <v>31</v>
      </c>
      <c r="AC464" s="19">
        <v>45497</v>
      </c>
      <c r="AD464" s="41"/>
      <c r="AE464" s="42"/>
      <c r="AF464" s="4">
        <f t="shared" si="67"/>
        <v>5837.1749999999993</v>
      </c>
      <c r="AG464" s="3"/>
      <c r="AH464" s="8">
        <v>1036</v>
      </c>
      <c r="AI464" s="4">
        <f t="shared" si="81"/>
        <v>4801.1749999999993</v>
      </c>
      <c r="AJ464" s="4">
        <f t="shared" si="73"/>
        <v>-440257.95050000009</v>
      </c>
      <c r="AK464" s="8"/>
      <c r="AL464" s="8"/>
      <c r="AM464" s="48"/>
      <c r="AN464" s="47"/>
      <c r="AO464" s="8"/>
      <c r="AP464" s="8"/>
      <c r="AQ464" s="47"/>
      <c r="AR464" s="47"/>
      <c r="AS464" s="8"/>
      <c r="AT464" s="8"/>
      <c r="AU464" s="47"/>
      <c r="AV464" s="47"/>
      <c r="AW464" s="8"/>
      <c r="AX464" s="8"/>
      <c r="AY464" s="47"/>
      <c r="AZ464" s="47"/>
      <c r="BA464" s="8"/>
      <c r="BB464" s="8"/>
      <c r="BC464" s="47"/>
      <c r="BD464" s="47"/>
      <c r="BE464" s="8"/>
      <c r="BF464" s="8"/>
      <c r="BG464" s="47"/>
      <c r="BH464" s="47"/>
      <c r="BI464" s="8"/>
      <c r="BJ464" s="3"/>
      <c r="BK464" s="47"/>
      <c r="BL464" s="47"/>
      <c r="BM464" s="24">
        <f t="shared" si="74"/>
        <v>0</v>
      </c>
      <c r="BN464" s="28">
        <f t="shared" si="68"/>
        <v>-440257.95050000009</v>
      </c>
      <c r="BO464" s="2">
        <v>45497</v>
      </c>
    </row>
    <row r="465" spans="4:67" hidden="1" x14ac:dyDescent="0.25">
      <c r="D465" s="9" t="s">
        <v>32</v>
      </c>
      <c r="E465" s="2">
        <v>45498</v>
      </c>
      <c r="F465" s="38"/>
      <c r="G465" s="51"/>
      <c r="H465" s="4">
        <f t="shared" si="69"/>
        <v>2062.6</v>
      </c>
      <c r="I465" s="5">
        <v>2279.6999999999998</v>
      </c>
      <c r="J465" s="4">
        <f t="shared" si="70"/>
        <v>-217.09999999999991</v>
      </c>
      <c r="K465" s="4">
        <f t="shared" si="75"/>
        <v>-19685.790000000005</v>
      </c>
      <c r="L465" s="3"/>
      <c r="M465" s="3"/>
      <c r="N465" s="33">
        <f t="shared" si="71"/>
        <v>2279.6999999999998</v>
      </c>
      <c r="O465" s="28">
        <f t="shared" si="76"/>
        <v>-19685.790000000005</v>
      </c>
      <c r="P465" s="9" t="s">
        <v>32</v>
      </c>
      <c r="Q465" s="2">
        <v>45498</v>
      </c>
      <c r="R465" s="38"/>
      <c r="S465" s="52"/>
      <c r="T465" s="4">
        <f t="shared" si="72"/>
        <v>3149.1</v>
      </c>
      <c r="U465" s="5"/>
      <c r="V465" s="4">
        <f t="shared" si="80"/>
        <v>3149.1</v>
      </c>
      <c r="W465" s="4">
        <f t="shared" si="77"/>
        <v>70525.165000000023</v>
      </c>
      <c r="X465" s="3"/>
      <c r="Y465" s="3"/>
      <c r="Z465" s="25">
        <f t="shared" si="78"/>
        <v>0</v>
      </c>
      <c r="AA465" s="72">
        <f t="shared" si="79"/>
        <v>70525.165000000023</v>
      </c>
      <c r="AB465" s="9" t="s">
        <v>32</v>
      </c>
      <c r="AC465" s="19">
        <v>45498</v>
      </c>
      <c r="AD465" s="41"/>
      <c r="AE465" s="42"/>
      <c r="AF465" s="4">
        <f t="shared" si="67"/>
        <v>5911.5</v>
      </c>
      <c r="AG465" s="3"/>
      <c r="AH465" s="8">
        <v>882</v>
      </c>
      <c r="AI465" s="4">
        <f t="shared" si="81"/>
        <v>5029.5</v>
      </c>
      <c r="AJ465" s="4">
        <f t="shared" si="73"/>
        <v>-435228.45050000009</v>
      </c>
      <c r="AK465" s="8" t="s">
        <v>13</v>
      </c>
      <c r="AL465" s="8">
        <f>(5000)</f>
        <v>5000</v>
      </c>
      <c r="AM465" s="47" t="s">
        <v>185</v>
      </c>
      <c r="AN465" s="47">
        <f>(729)</f>
        <v>729</v>
      </c>
      <c r="AO465" s="8"/>
      <c r="AP465" s="8"/>
      <c r="AQ465" s="47"/>
      <c r="AR465" s="47"/>
      <c r="AS465" s="8"/>
      <c r="AT465" s="8"/>
      <c r="AU465" s="47"/>
      <c r="AV465" s="47"/>
      <c r="AW465" s="8"/>
      <c r="AX465" s="8"/>
      <c r="AY465" s="47"/>
      <c r="AZ465" s="47"/>
      <c r="BA465" s="8"/>
      <c r="BB465" s="8"/>
      <c r="BC465" s="47"/>
      <c r="BD465" s="47"/>
      <c r="BE465" s="8"/>
      <c r="BF465" s="8"/>
      <c r="BG465" s="47"/>
      <c r="BH465" s="47"/>
      <c r="BI465" s="8"/>
      <c r="BJ465" s="3"/>
      <c r="BK465" s="47"/>
      <c r="BL465" s="47"/>
      <c r="BM465" s="24">
        <f t="shared" si="74"/>
        <v>5729</v>
      </c>
      <c r="BN465" s="28">
        <f t="shared" si="68"/>
        <v>-440957.45050000009</v>
      </c>
      <c r="BO465" s="2">
        <v>45498</v>
      </c>
    </row>
    <row r="466" spans="4:67" hidden="1" x14ac:dyDescent="0.25">
      <c r="D466" s="9" t="s">
        <v>26</v>
      </c>
      <c r="E466" s="2">
        <v>45499</v>
      </c>
      <c r="F466" s="38"/>
      <c r="G466" s="51"/>
      <c r="H466" s="4">
        <f t="shared" si="69"/>
        <v>2461.85</v>
      </c>
      <c r="I466" s="5">
        <v>2079</v>
      </c>
      <c r="J466" s="4">
        <f t="shared" si="70"/>
        <v>382.84999999999991</v>
      </c>
      <c r="K466" s="4">
        <f t="shared" si="75"/>
        <v>-19302.940000000006</v>
      </c>
      <c r="L466" s="3"/>
      <c r="M466" s="3"/>
      <c r="N466" s="33">
        <f t="shared" si="71"/>
        <v>2079</v>
      </c>
      <c r="O466" s="28">
        <f t="shared" si="76"/>
        <v>-19302.940000000006</v>
      </c>
      <c r="P466" s="9" t="s">
        <v>26</v>
      </c>
      <c r="Q466" s="2">
        <v>45499</v>
      </c>
      <c r="R466" s="38"/>
      <c r="S466" s="52"/>
      <c r="T466" s="4">
        <f t="shared" si="72"/>
        <v>4675.05</v>
      </c>
      <c r="U466" s="5"/>
      <c r="V466" s="4">
        <f t="shared" si="80"/>
        <v>4675.05</v>
      </c>
      <c r="W466" s="4">
        <f t="shared" si="77"/>
        <v>75200.215000000026</v>
      </c>
      <c r="X466" s="3"/>
      <c r="Y466" s="3"/>
      <c r="Z466" s="25">
        <f t="shared" si="78"/>
        <v>0</v>
      </c>
      <c r="AA466" s="72">
        <f t="shared" si="79"/>
        <v>75200.215000000026</v>
      </c>
      <c r="AB466" s="9" t="s">
        <v>26</v>
      </c>
      <c r="AC466" s="19">
        <v>45499</v>
      </c>
      <c r="AD466" s="41"/>
      <c r="AE466" s="42"/>
      <c r="AF466" s="4">
        <f t="shared" si="67"/>
        <v>8175.8</v>
      </c>
      <c r="AG466" s="3"/>
      <c r="AH466" s="8">
        <v>1101</v>
      </c>
      <c r="AI466" s="4">
        <f t="shared" si="81"/>
        <v>7074.8</v>
      </c>
      <c r="AJ466" s="4">
        <f t="shared" si="73"/>
        <v>-433882.65050000011</v>
      </c>
      <c r="AK466" s="8"/>
      <c r="AL466" s="8"/>
      <c r="AM466" s="47"/>
      <c r="AN466" s="47"/>
      <c r="AO466" s="8"/>
      <c r="AP466" s="8"/>
      <c r="AQ466" s="47"/>
      <c r="AR466" s="47"/>
      <c r="AS466" s="8"/>
      <c r="AT466" s="8"/>
      <c r="AU466" s="47"/>
      <c r="AV466" s="47"/>
      <c r="AW466" s="8"/>
      <c r="AX466" s="8"/>
      <c r="AY466" s="47" t="s">
        <v>210</v>
      </c>
      <c r="AZ466" s="47">
        <f>(313.01)</f>
        <v>313.01</v>
      </c>
      <c r="BA466" s="8" t="s">
        <v>205</v>
      </c>
      <c r="BB466" s="8">
        <f>(6000)</f>
        <v>6000</v>
      </c>
      <c r="BC466" s="47"/>
      <c r="BD466" s="47"/>
      <c r="BE466" s="8"/>
      <c r="BF466" s="8"/>
      <c r="BG466" s="47"/>
      <c r="BH466" s="47"/>
      <c r="BI466" s="8"/>
      <c r="BJ466" s="3"/>
      <c r="BK466" s="48"/>
      <c r="BL466" s="47"/>
      <c r="BM466" s="24">
        <f t="shared" si="74"/>
        <v>6313.01</v>
      </c>
      <c r="BN466" s="28">
        <f t="shared" si="68"/>
        <v>-440195.66050000011</v>
      </c>
      <c r="BO466" s="2">
        <v>45499</v>
      </c>
    </row>
    <row r="467" spans="4:67" hidden="1" x14ac:dyDescent="0.25">
      <c r="D467" s="9" t="s">
        <v>27</v>
      </c>
      <c r="E467" s="2">
        <v>45500</v>
      </c>
      <c r="F467" s="38"/>
      <c r="G467" s="51"/>
      <c r="H467" s="4">
        <f t="shared" si="69"/>
        <v>1685.55</v>
      </c>
      <c r="I467" s="5">
        <v>2288.5</v>
      </c>
      <c r="J467" s="4">
        <f t="shared" si="70"/>
        <v>-602.95000000000005</v>
      </c>
      <c r="K467" s="4">
        <f t="shared" si="75"/>
        <v>-19905.890000000007</v>
      </c>
      <c r="L467" s="3"/>
      <c r="M467" s="3"/>
      <c r="N467" s="33">
        <f t="shared" si="71"/>
        <v>2288.5</v>
      </c>
      <c r="O467" s="28">
        <f t="shared" si="76"/>
        <v>-19905.890000000007</v>
      </c>
      <c r="P467" s="9" t="s">
        <v>27</v>
      </c>
      <c r="Q467" s="2">
        <v>45500</v>
      </c>
      <c r="R467" s="38"/>
      <c r="S467" s="52"/>
      <c r="T467" s="4">
        <f t="shared" si="72"/>
        <v>3902.4</v>
      </c>
      <c r="U467" s="5">
        <v>2555</v>
      </c>
      <c r="V467" s="4">
        <f t="shared" si="80"/>
        <v>1347.4</v>
      </c>
      <c r="W467" s="4">
        <f t="shared" si="77"/>
        <v>76547.61500000002</v>
      </c>
      <c r="X467" s="3"/>
      <c r="Y467" s="3"/>
      <c r="Z467" s="25">
        <f t="shared" si="78"/>
        <v>2555</v>
      </c>
      <c r="AA467" s="72">
        <f t="shared" si="79"/>
        <v>76547.61500000002</v>
      </c>
      <c r="AB467" s="9" t="s">
        <v>27</v>
      </c>
      <c r="AC467" s="19">
        <v>45500</v>
      </c>
      <c r="AD467" s="41"/>
      <c r="AE467" s="42"/>
      <c r="AF467" s="4">
        <f t="shared" si="67"/>
        <v>6455.1500000000015</v>
      </c>
      <c r="AG467" s="3"/>
      <c r="AH467" s="8">
        <v>1566</v>
      </c>
      <c r="AI467" s="4">
        <f t="shared" si="81"/>
        <v>4889.1500000000015</v>
      </c>
      <c r="AJ467" s="4">
        <f t="shared" si="73"/>
        <v>-435306.51050000009</v>
      </c>
      <c r="AK467" s="8"/>
      <c r="AL467" s="8"/>
      <c r="AM467" s="47"/>
      <c r="AN467" s="47"/>
      <c r="AO467" s="8"/>
      <c r="AP467" s="8"/>
      <c r="AQ467" s="47"/>
      <c r="AR467" s="47"/>
      <c r="AS467" s="8"/>
      <c r="AT467" s="8"/>
      <c r="AU467" s="47"/>
      <c r="AV467" s="47"/>
      <c r="AW467" s="8"/>
      <c r="AX467" s="8"/>
      <c r="AY467" s="47"/>
      <c r="AZ467" s="47"/>
      <c r="BA467" s="8" t="s">
        <v>200</v>
      </c>
      <c r="BB467" s="8">
        <f>(2014)</f>
        <v>2014</v>
      </c>
      <c r="BC467" s="47"/>
      <c r="BD467" s="47"/>
      <c r="BE467" s="8"/>
      <c r="BF467" s="8"/>
      <c r="BG467" s="47"/>
      <c r="BH467" s="47"/>
      <c r="BI467" s="8"/>
      <c r="BJ467" s="3"/>
      <c r="BK467" s="47"/>
      <c r="BL467" s="47"/>
      <c r="BM467" s="24">
        <f t="shared" si="74"/>
        <v>2014</v>
      </c>
      <c r="BN467" s="28">
        <f t="shared" si="68"/>
        <v>-437320.51050000009</v>
      </c>
      <c r="BO467" s="2">
        <v>45500</v>
      </c>
    </row>
    <row r="468" spans="4:67" hidden="1" x14ac:dyDescent="0.25">
      <c r="D468" s="9" t="s">
        <v>28</v>
      </c>
      <c r="E468" s="2">
        <v>45501</v>
      </c>
      <c r="F468" s="38"/>
      <c r="G468" s="51"/>
      <c r="H468" s="4">
        <f t="shared" si="69"/>
        <v>2240.375</v>
      </c>
      <c r="I468" s="5"/>
      <c r="J468" s="4">
        <f t="shared" si="70"/>
        <v>2240.375</v>
      </c>
      <c r="K468" s="4">
        <f t="shared" si="75"/>
        <v>-17665.515000000007</v>
      </c>
      <c r="L468" s="3"/>
      <c r="M468" s="3"/>
      <c r="N468" s="33">
        <f t="shared" si="71"/>
        <v>0</v>
      </c>
      <c r="O468" s="28">
        <f t="shared" si="76"/>
        <v>-17665.515000000007</v>
      </c>
      <c r="P468" s="9" t="s">
        <v>28</v>
      </c>
      <c r="Q468" s="2">
        <v>45501</v>
      </c>
      <c r="R468" s="38"/>
      <c r="S468" s="52"/>
      <c r="T468" s="4">
        <f t="shared" si="72"/>
        <v>5082.75</v>
      </c>
      <c r="U468" s="5"/>
      <c r="V468" s="4">
        <f t="shared" si="80"/>
        <v>5082.75</v>
      </c>
      <c r="W468" s="4">
        <f t="shared" si="77"/>
        <v>81630.36500000002</v>
      </c>
      <c r="X468" s="3"/>
      <c r="Y468" s="3"/>
      <c r="Z468" s="25">
        <f t="shared" si="78"/>
        <v>0</v>
      </c>
      <c r="AA468" s="72">
        <f t="shared" si="79"/>
        <v>81630.36500000002</v>
      </c>
      <c r="AB468" s="9" t="s">
        <v>28</v>
      </c>
      <c r="AC468" s="19">
        <v>45501</v>
      </c>
      <c r="AD468" s="41"/>
      <c r="AE468" s="42"/>
      <c r="AF468" s="4">
        <f t="shared" si="67"/>
        <v>8452.625</v>
      </c>
      <c r="AG468" s="3"/>
      <c r="AH468" s="8">
        <v>1206</v>
      </c>
      <c r="AI468" s="4">
        <f t="shared" si="81"/>
        <v>7246.625</v>
      </c>
      <c r="AJ468" s="4">
        <f t="shared" si="73"/>
        <v>-430073.88550000009</v>
      </c>
      <c r="AK468" s="8"/>
      <c r="AL468" s="8"/>
      <c r="AM468" s="47"/>
      <c r="AN468" s="47"/>
      <c r="AO468" s="8"/>
      <c r="AP468" s="8"/>
      <c r="AQ468" s="47"/>
      <c r="AR468" s="47"/>
      <c r="AS468" s="8"/>
      <c r="AT468" s="8"/>
      <c r="AU468" s="47"/>
      <c r="AV468" s="47"/>
      <c r="AW468" s="8"/>
      <c r="AX468" s="8"/>
      <c r="AY468" s="47"/>
      <c r="AZ468" s="47"/>
      <c r="BA468" s="8" t="s">
        <v>212</v>
      </c>
      <c r="BB468" s="8">
        <f>(3000+1500)</f>
        <v>4500</v>
      </c>
      <c r="BC468" s="47"/>
      <c r="BD468" s="47"/>
      <c r="BE468" s="8"/>
      <c r="BF468" s="8"/>
      <c r="BG468" s="47"/>
      <c r="BH468" s="47"/>
      <c r="BI468" s="8"/>
      <c r="BJ468" s="3"/>
      <c r="BK468" s="47" t="s">
        <v>211</v>
      </c>
      <c r="BL468" s="47">
        <f>(3000)</f>
        <v>3000</v>
      </c>
      <c r="BM468" s="24">
        <f t="shared" si="74"/>
        <v>7500</v>
      </c>
      <c r="BN468" s="28">
        <f t="shared" si="68"/>
        <v>-437573.88550000009</v>
      </c>
      <c r="BO468" s="2">
        <v>45501</v>
      </c>
    </row>
    <row r="469" spans="4:67" hidden="1" x14ac:dyDescent="0.25">
      <c r="D469" s="9" t="s">
        <v>29</v>
      </c>
      <c r="E469" s="2">
        <v>45502</v>
      </c>
      <c r="F469" s="38"/>
      <c r="G469" s="51"/>
      <c r="H469" s="4">
        <f t="shared" si="69"/>
        <v>2096.25</v>
      </c>
      <c r="I469" s="5"/>
      <c r="J469" s="4">
        <f t="shared" si="70"/>
        <v>2096.25</v>
      </c>
      <c r="K469" s="4">
        <f t="shared" si="75"/>
        <v>-15569.265000000007</v>
      </c>
      <c r="L469" s="3"/>
      <c r="M469" s="3"/>
      <c r="N469" s="33">
        <f t="shared" si="71"/>
        <v>0</v>
      </c>
      <c r="O469" s="28">
        <f t="shared" si="76"/>
        <v>-15569.265000000007</v>
      </c>
      <c r="P469" s="9" t="s">
        <v>29</v>
      </c>
      <c r="Q469" s="2">
        <v>45502</v>
      </c>
      <c r="R469" s="38"/>
      <c r="S469" s="52"/>
      <c r="T469" s="4">
        <f t="shared" si="72"/>
        <v>2358</v>
      </c>
      <c r="U469" s="5"/>
      <c r="V469" s="4">
        <f t="shared" si="80"/>
        <v>2358</v>
      </c>
      <c r="W469" s="4">
        <f t="shared" si="77"/>
        <v>83988.36500000002</v>
      </c>
      <c r="X469" s="3"/>
      <c r="Y469" s="3"/>
      <c r="Z469" s="25">
        <f t="shared" si="78"/>
        <v>0</v>
      </c>
      <c r="AA469" s="72">
        <f t="shared" si="79"/>
        <v>83988.36500000002</v>
      </c>
      <c r="AB469" s="9" t="s">
        <v>29</v>
      </c>
      <c r="AC469" s="19">
        <v>45502</v>
      </c>
      <c r="AD469" s="41"/>
      <c r="AE469" s="42"/>
      <c r="AF469" s="4">
        <f t="shared" si="67"/>
        <v>4978.25</v>
      </c>
      <c r="AG469" s="3"/>
      <c r="AH469" s="8">
        <v>931</v>
      </c>
      <c r="AI469" s="4">
        <f t="shared" si="81"/>
        <v>4047.25</v>
      </c>
      <c r="AJ469" s="4">
        <f t="shared" si="73"/>
        <v>-433526.63550000009</v>
      </c>
      <c r="AK469" s="8"/>
      <c r="AL469" s="8"/>
      <c r="AM469" s="47"/>
      <c r="AN469" s="47"/>
      <c r="AO469" s="8"/>
      <c r="AP469" s="8"/>
      <c r="AQ469" s="47"/>
      <c r="AR469" s="47"/>
      <c r="AS469" s="8"/>
      <c r="AT469" s="8"/>
      <c r="AU469" s="47"/>
      <c r="AV469" s="47"/>
      <c r="AW469" s="8"/>
      <c r="AX469" s="8"/>
      <c r="AY469" s="47"/>
      <c r="AZ469" s="47"/>
      <c r="BA469" s="8"/>
      <c r="BB469" s="8"/>
      <c r="BC469" s="47"/>
      <c r="BD469" s="47"/>
      <c r="BE469" s="8"/>
      <c r="BF469" s="8"/>
      <c r="BG469" s="47"/>
      <c r="BH469" s="47"/>
      <c r="BI469" s="8"/>
      <c r="BJ469" s="3"/>
      <c r="BK469" s="47"/>
      <c r="BL469" s="47"/>
      <c r="BM469" s="24">
        <f t="shared" si="74"/>
        <v>0</v>
      </c>
      <c r="BN469" s="28">
        <f t="shared" si="68"/>
        <v>-433526.63550000009</v>
      </c>
      <c r="BO469" s="2">
        <v>45502</v>
      </c>
    </row>
    <row r="470" spans="4:67" hidden="1" x14ac:dyDescent="0.25">
      <c r="D470" s="9" t="s">
        <v>30</v>
      </c>
      <c r="E470" s="2">
        <v>45503</v>
      </c>
      <c r="F470" s="38"/>
      <c r="G470" s="51"/>
      <c r="H470" s="4">
        <f t="shared" si="69"/>
        <v>2132.6</v>
      </c>
      <c r="I470" s="5">
        <v>3214.4</v>
      </c>
      <c r="J470" s="4">
        <f t="shared" si="70"/>
        <v>-1081.8000000000002</v>
      </c>
      <c r="K470" s="4">
        <f t="shared" si="75"/>
        <v>-16651.065000000006</v>
      </c>
      <c r="L470" s="3"/>
      <c r="M470" s="3"/>
      <c r="N470" s="33">
        <f t="shared" si="71"/>
        <v>3214.4</v>
      </c>
      <c r="O470" s="28">
        <f t="shared" si="76"/>
        <v>-16651.065000000006</v>
      </c>
      <c r="P470" s="9" t="s">
        <v>30</v>
      </c>
      <c r="Q470" s="2">
        <v>45503</v>
      </c>
      <c r="R470" s="38"/>
      <c r="S470" s="52"/>
      <c r="T470" s="4">
        <f t="shared" si="72"/>
        <v>3510</v>
      </c>
      <c r="U470" s="5">
        <v>3902</v>
      </c>
      <c r="V470" s="4">
        <f t="shared" si="80"/>
        <v>-392</v>
      </c>
      <c r="W470" s="4">
        <f t="shared" si="77"/>
        <v>83596.36500000002</v>
      </c>
      <c r="X470" s="3"/>
      <c r="Y470" s="3"/>
      <c r="Z470" s="25">
        <f t="shared" si="78"/>
        <v>3902</v>
      </c>
      <c r="AA470" s="72">
        <f t="shared" si="79"/>
        <v>83596.36500000002</v>
      </c>
      <c r="AB470" s="9" t="s">
        <v>30</v>
      </c>
      <c r="AC470" s="19">
        <v>45503</v>
      </c>
      <c r="AD470" s="41" t="s">
        <v>200</v>
      </c>
      <c r="AE470" s="42">
        <f>(150+1945.06+978.92+465.4+500+164.8+196.3+197.42+519.2+190.08+193.76+641.84+520.52+326+565+590)</f>
        <v>8144.3000000000011</v>
      </c>
      <c r="AF470" s="4">
        <f t="shared" si="67"/>
        <v>6422.6</v>
      </c>
      <c r="AG470" s="3"/>
      <c r="AH470" s="8">
        <v>1101</v>
      </c>
      <c r="AI470" s="4">
        <f t="shared" si="81"/>
        <v>13465.900000000001</v>
      </c>
      <c r="AJ470" s="4">
        <f t="shared" si="73"/>
        <v>-420060.73550000007</v>
      </c>
      <c r="AK470" s="8" t="s">
        <v>93</v>
      </c>
      <c r="AL470" s="8">
        <f>(31000)</f>
        <v>31000</v>
      </c>
      <c r="AM470" s="47" t="s">
        <v>214</v>
      </c>
      <c r="AN470" s="47">
        <f>(3348.02)</f>
        <v>3348.02</v>
      </c>
      <c r="AO470" s="8"/>
      <c r="AP470" s="8"/>
      <c r="AQ470" s="47"/>
      <c r="AR470" s="47"/>
      <c r="AS470" s="8"/>
      <c r="AT470" s="8"/>
      <c r="AU470" s="47"/>
      <c r="AV470" s="47"/>
      <c r="AW470" s="8"/>
      <c r="AX470" s="8"/>
      <c r="AY470" s="47"/>
      <c r="AZ470" s="47"/>
      <c r="BA470" s="8"/>
      <c r="BB470" s="8"/>
      <c r="BC470" s="47"/>
      <c r="BD470" s="47"/>
      <c r="BE470" s="8"/>
      <c r="BF470" s="8"/>
      <c r="BG470" s="47"/>
      <c r="BH470" s="47"/>
      <c r="BI470" s="8"/>
      <c r="BJ470" s="3"/>
      <c r="BK470" s="47"/>
      <c r="BL470" s="47"/>
      <c r="BM470" s="24">
        <f t="shared" si="74"/>
        <v>34348.019999999997</v>
      </c>
      <c r="BN470" s="28">
        <f t="shared" si="68"/>
        <v>-454408.75550000009</v>
      </c>
      <c r="BO470" s="2">
        <v>45503</v>
      </c>
    </row>
    <row r="471" spans="4:67" s="13" customFormat="1" hidden="1" x14ac:dyDescent="0.25">
      <c r="D471" s="13" t="s">
        <v>31</v>
      </c>
      <c r="E471" s="10">
        <v>45504</v>
      </c>
      <c r="F471" s="10"/>
      <c r="G471" s="54"/>
      <c r="H471" s="11">
        <f t="shared" si="69"/>
        <v>1765.125</v>
      </c>
      <c r="I471" s="12">
        <v>885</v>
      </c>
      <c r="J471" s="11">
        <f t="shared" si="70"/>
        <v>880.125</v>
      </c>
      <c r="K471" s="11">
        <f t="shared" si="75"/>
        <v>-15770.940000000006</v>
      </c>
      <c r="L471" s="11"/>
      <c r="M471" s="11"/>
      <c r="N471" s="26">
        <f t="shared" si="71"/>
        <v>885</v>
      </c>
      <c r="O471" s="11">
        <f t="shared" si="76"/>
        <v>-15770.940000000006</v>
      </c>
      <c r="P471" s="13" t="s">
        <v>31</v>
      </c>
      <c r="Q471" s="10">
        <v>45504</v>
      </c>
      <c r="R471" s="10"/>
      <c r="S471" s="53"/>
      <c r="T471" s="11">
        <f t="shared" si="72"/>
        <v>4225.05</v>
      </c>
      <c r="U471" s="12">
        <v>1995.24</v>
      </c>
      <c r="V471" s="11">
        <f t="shared" si="80"/>
        <v>2229.8100000000004</v>
      </c>
      <c r="W471" s="11">
        <f t="shared" si="77"/>
        <v>85826.175000000017</v>
      </c>
      <c r="X471" s="11"/>
      <c r="Y471" s="11"/>
      <c r="Z471" s="26">
        <f t="shared" si="78"/>
        <v>1995.24</v>
      </c>
      <c r="AA471" s="53">
        <f t="shared" si="79"/>
        <v>85826.175000000017</v>
      </c>
      <c r="AB471" s="13" t="s">
        <v>31</v>
      </c>
      <c r="AC471" s="20">
        <v>45504</v>
      </c>
      <c r="AD471" s="14" t="s">
        <v>196</v>
      </c>
      <c r="AE471" s="27">
        <f>(12000)</f>
        <v>12000</v>
      </c>
      <c r="AF471" s="11">
        <f t="shared" si="67"/>
        <v>6929.0749999999998</v>
      </c>
      <c r="AG471" s="11"/>
      <c r="AH471" s="15">
        <v>1461</v>
      </c>
      <c r="AI471" s="11">
        <f t="shared" si="81"/>
        <v>17468.075000000001</v>
      </c>
      <c r="AJ471" s="11">
        <f t="shared" si="73"/>
        <v>-436940.68050000007</v>
      </c>
      <c r="AK471" s="15"/>
      <c r="AL471" s="15"/>
      <c r="AM471" s="15" t="s">
        <v>213</v>
      </c>
      <c r="AN471" s="15">
        <f>(24550)</f>
        <v>24550</v>
      </c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1"/>
      <c r="BK471" s="15"/>
      <c r="BL471" s="15"/>
      <c r="BM471" s="23">
        <f t="shared" si="74"/>
        <v>24550</v>
      </c>
      <c r="BN471" s="11">
        <f t="shared" si="68"/>
        <v>-461490.68050000007</v>
      </c>
      <c r="BO471" s="10">
        <v>45504</v>
      </c>
    </row>
    <row r="472" spans="4:67" hidden="1" x14ac:dyDescent="0.25">
      <c r="D472" s="9" t="s">
        <v>32</v>
      </c>
      <c r="E472" s="2">
        <v>45505</v>
      </c>
      <c r="F472" s="38"/>
      <c r="G472" s="51"/>
      <c r="H472" s="4">
        <f t="shared" si="69"/>
        <v>1919.4</v>
      </c>
      <c r="I472" s="5">
        <v>1473.8</v>
      </c>
      <c r="J472" s="4">
        <f t="shared" si="70"/>
        <v>445.60000000000014</v>
      </c>
      <c r="K472" s="4">
        <f t="shared" si="75"/>
        <v>-15325.340000000006</v>
      </c>
      <c r="L472" s="3"/>
      <c r="M472" s="3"/>
      <c r="N472" s="33">
        <f t="shared" si="71"/>
        <v>1473.8</v>
      </c>
      <c r="O472" s="28">
        <f t="shared" si="76"/>
        <v>-15325.340000000006</v>
      </c>
      <c r="P472" s="9" t="s">
        <v>32</v>
      </c>
      <c r="Q472" s="2">
        <v>45505</v>
      </c>
      <c r="R472" s="38"/>
      <c r="S472" s="52"/>
      <c r="T472" s="4">
        <f t="shared" si="72"/>
        <v>3909.6</v>
      </c>
      <c r="U472" s="5">
        <v>0</v>
      </c>
      <c r="V472" s="4">
        <f t="shared" si="80"/>
        <v>3909.6</v>
      </c>
      <c r="W472" s="4">
        <f t="shared" si="77"/>
        <v>89735.775000000023</v>
      </c>
      <c r="X472" s="3"/>
      <c r="Y472" s="3"/>
      <c r="Z472" s="25">
        <f t="shared" si="78"/>
        <v>0</v>
      </c>
      <c r="AA472" s="72">
        <f t="shared" si="79"/>
        <v>89735.775000000023</v>
      </c>
      <c r="AB472" s="9" t="s">
        <v>32</v>
      </c>
      <c r="AC472" s="19">
        <v>45505</v>
      </c>
      <c r="AD472" s="41"/>
      <c r="AE472" s="42"/>
      <c r="AF472" s="4">
        <f t="shared" si="67"/>
        <v>6697.7999999999993</v>
      </c>
      <c r="AG472" s="3"/>
      <c r="AH472" s="8">
        <v>548.4</v>
      </c>
      <c r="AI472" s="4">
        <f t="shared" si="81"/>
        <v>6149.4</v>
      </c>
      <c r="AJ472" s="4">
        <f t="shared" si="73"/>
        <v>-455341.28050000005</v>
      </c>
      <c r="AK472" s="8" t="s">
        <v>222</v>
      </c>
      <c r="AL472" s="8">
        <f>(4000)</f>
        <v>4000</v>
      </c>
      <c r="AM472" s="47" t="s">
        <v>60</v>
      </c>
      <c r="AN472" s="47">
        <f>(13600)</f>
        <v>13600</v>
      </c>
      <c r="AO472" s="8"/>
      <c r="AP472" s="8"/>
      <c r="AQ472" s="47"/>
      <c r="AR472" s="47"/>
      <c r="AS472" s="8"/>
      <c r="AT472" s="8"/>
      <c r="AU472" s="47"/>
      <c r="AV472" s="47"/>
      <c r="AW472" s="8"/>
      <c r="AX472" s="8"/>
      <c r="AY472" s="47"/>
      <c r="AZ472" s="47"/>
      <c r="BA472" s="8" t="s">
        <v>221</v>
      </c>
      <c r="BB472" s="8">
        <f>(300)</f>
        <v>300</v>
      </c>
      <c r="BC472" s="47"/>
      <c r="BD472" s="47"/>
      <c r="BE472" s="8"/>
      <c r="BF472" s="8"/>
      <c r="BG472" s="47"/>
      <c r="BH472" s="47"/>
      <c r="BI472" s="8"/>
      <c r="BJ472" s="3"/>
      <c r="BK472" s="47"/>
      <c r="BL472" s="47"/>
      <c r="BM472" s="24">
        <f t="shared" si="74"/>
        <v>17900</v>
      </c>
      <c r="BN472" s="28">
        <f t="shared" si="68"/>
        <v>-473241.28050000005</v>
      </c>
      <c r="BO472" s="2">
        <v>45505</v>
      </c>
    </row>
    <row r="473" spans="4:67" hidden="1" x14ac:dyDescent="0.25">
      <c r="D473" s="9" t="s">
        <v>26</v>
      </c>
      <c r="E473" s="2">
        <v>45506</v>
      </c>
      <c r="F473" s="38"/>
      <c r="G473" s="51"/>
      <c r="H473" s="4">
        <f t="shared" si="69"/>
        <v>1235.0250000000001</v>
      </c>
      <c r="I473" s="5">
        <v>1539.4</v>
      </c>
      <c r="J473" s="4">
        <f t="shared" si="70"/>
        <v>-304.375</v>
      </c>
      <c r="K473" s="4">
        <f t="shared" si="75"/>
        <v>-15629.715000000006</v>
      </c>
      <c r="L473" s="3"/>
      <c r="M473" s="3"/>
      <c r="N473" s="33">
        <f t="shared" si="71"/>
        <v>1539.4</v>
      </c>
      <c r="O473" s="28">
        <f t="shared" si="76"/>
        <v>-15629.715000000006</v>
      </c>
      <c r="P473" s="9" t="s">
        <v>26</v>
      </c>
      <c r="Q473" s="2">
        <v>45506</v>
      </c>
      <c r="R473" s="38"/>
      <c r="S473" s="52"/>
      <c r="T473" s="4">
        <f t="shared" si="72"/>
        <v>3558.6</v>
      </c>
      <c r="U473" s="5">
        <v>680</v>
      </c>
      <c r="V473" s="4">
        <f t="shared" si="80"/>
        <v>2878.6</v>
      </c>
      <c r="W473" s="4">
        <f t="shared" si="77"/>
        <v>92614.375000000029</v>
      </c>
      <c r="X473" s="3"/>
      <c r="Y473" s="3"/>
      <c r="Z473" s="25">
        <f t="shared" si="78"/>
        <v>680</v>
      </c>
      <c r="AA473" s="72">
        <f t="shared" si="79"/>
        <v>92614.375000000029</v>
      </c>
      <c r="AB473" s="9" t="s">
        <v>26</v>
      </c>
      <c r="AC473" s="19">
        <v>45506</v>
      </c>
      <c r="AD473" s="41"/>
      <c r="AE473" s="42"/>
      <c r="AF473" s="4">
        <f t="shared" si="67"/>
        <v>5584.4249999999993</v>
      </c>
      <c r="AG473" s="3"/>
      <c r="AH473" s="8">
        <v>414</v>
      </c>
      <c r="AI473" s="4">
        <f t="shared" si="81"/>
        <v>5170.4249999999993</v>
      </c>
      <c r="AJ473" s="4">
        <f t="shared" si="73"/>
        <v>-468070.85550000006</v>
      </c>
      <c r="AK473" s="8"/>
      <c r="AL473" s="8"/>
      <c r="AM473" s="47" t="s">
        <v>106</v>
      </c>
      <c r="AN473" s="47">
        <f>(2000)</f>
        <v>2000</v>
      </c>
      <c r="AO473" s="8"/>
      <c r="AP473" s="8"/>
      <c r="AQ473" s="47"/>
      <c r="AR473" s="47"/>
      <c r="AS473" s="8"/>
      <c r="AT473" s="8"/>
      <c r="AU473" s="47"/>
      <c r="AV473" s="47"/>
      <c r="AW473" s="8"/>
      <c r="AX473" s="8"/>
      <c r="AY473" s="47"/>
      <c r="AZ473" s="47"/>
      <c r="BA473" s="8"/>
      <c r="BB473" s="8"/>
      <c r="BC473" s="47"/>
      <c r="BD473" s="47"/>
      <c r="BE473" s="8"/>
      <c r="BF473" s="8"/>
      <c r="BG473" s="47"/>
      <c r="BH473" s="47"/>
      <c r="BI473" s="8"/>
      <c r="BJ473" s="3"/>
      <c r="BK473" s="47"/>
      <c r="BL473" s="47"/>
      <c r="BM473" s="24">
        <f t="shared" si="74"/>
        <v>2000</v>
      </c>
      <c r="BN473" s="28">
        <f t="shared" si="68"/>
        <v>-470070.85550000006</v>
      </c>
      <c r="BO473" s="2">
        <v>45506</v>
      </c>
    </row>
    <row r="474" spans="4:67" hidden="1" x14ac:dyDescent="0.25">
      <c r="D474" s="9" t="s">
        <v>27</v>
      </c>
      <c r="E474" s="2">
        <v>45507</v>
      </c>
      <c r="F474" s="38"/>
      <c r="G474" s="51"/>
      <c r="H474" s="4">
        <f t="shared" si="69"/>
        <v>2495.375</v>
      </c>
      <c r="I474" s="5">
        <v>1250</v>
      </c>
      <c r="J474" s="4">
        <f t="shared" si="70"/>
        <v>1245.375</v>
      </c>
      <c r="K474" s="4">
        <f t="shared" si="75"/>
        <v>-14384.340000000006</v>
      </c>
      <c r="L474" s="3"/>
      <c r="M474" s="3"/>
      <c r="N474" s="33">
        <f t="shared" si="71"/>
        <v>1250</v>
      </c>
      <c r="O474" s="28">
        <f t="shared" si="76"/>
        <v>-14384.340000000006</v>
      </c>
      <c r="P474" s="9" t="s">
        <v>27</v>
      </c>
      <c r="Q474" s="2">
        <v>45507</v>
      </c>
      <c r="R474" s="38"/>
      <c r="S474" s="52"/>
      <c r="T474" s="4">
        <f t="shared" si="72"/>
        <v>2625.75</v>
      </c>
      <c r="U474" s="5"/>
      <c r="V474" s="4">
        <f t="shared" si="80"/>
        <v>2625.75</v>
      </c>
      <c r="W474" s="4">
        <f t="shared" si="77"/>
        <v>95240.125000000029</v>
      </c>
      <c r="X474" s="3"/>
      <c r="Y474" s="3"/>
      <c r="Z474" s="25">
        <f t="shared" si="78"/>
        <v>0</v>
      </c>
      <c r="AA474" s="72">
        <f t="shared" si="79"/>
        <v>95240.125000000029</v>
      </c>
      <c r="AB474" s="9" t="s">
        <v>27</v>
      </c>
      <c r="AC474" s="19">
        <v>45507</v>
      </c>
      <c r="AD474" s="41"/>
      <c r="AE474" s="42"/>
      <c r="AF474" s="4">
        <f t="shared" si="67"/>
        <v>5704.625</v>
      </c>
      <c r="AG474" s="3"/>
      <c r="AH474" s="8">
        <v>777</v>
      </c>
      <c r="AI474" s="4">
        <f t="shared" si="81"/>
        <v>4927.625</v>
      </c>
      <c r="AJ474" s="4">
        <f t="shared" si="73"/>
        <v>-465143.23050000006</v>
      </c>
      <c r="AK474" s="3"/>
      <c r="AL474" s="8"/>
      <c r="AM474" s="47"/>
      <c r="AN474" s="47"/>
      <c r="AO474" s="8"/>
      <c r="AP474" s="8"/>
      <c r="AQ474" s="47"/>
      <c r="AR474" s="47"/>
      <c r="AS474" s="8"/>
      <c r="AT474" s="8"/>
      <c r="AU474" s="47"/>
      <c r="AV474" s="47"/>
      <c r="AW474" s="8"/>
      <c r="AX474" s="8"/>
      <c r="AY474" s="47"/>
      <c r="AZ474" s="47"/>
      <c r="BA474" s="8"/>
      <c r="BB474" s="8"/>
      <c r="BC474" s="47"/>
      <c r="BD474" s="47"/>
      <c r="BE474" s="8"/>
      <c r="BF474" s="8"/>
      <c r="BG474" s="47"/>
      <c r="BH474" s="47"/>
      <c r="BI474" s="8"/>
      <c r="BJ474" s="3"/>
      <c r="BK474" s="47"/>
      <c r="BL474" s="47"/>
      <c r="BM474" s="24">
        <f t="shared" si="74"/>
        <v>0</v>
      </c>
      <c r="BN474" s="28">
        <f t="shared" si="68"/>
        <v>-465143.23050000006</v>
      </c>
      <c r="BO474" s="2">
        <v>45507</v>
      </c>
    </row>
    <row r="475" spans="4:67" hidden="1" x14ac:dyDescent="0.25">
      <c r="D475" s="9" t="s">
        <v>28</v>
      </c>
      <c r="E475" s="2">
        <v>45508</v>
      </c>
      <c r="F475" s="38"/>
      <c r="G475" s="51"/>
      <c r="H475" s="4">
        <f t="shared" si="69"/>
        <v>1908.425</v>
      </c>
      <c r="I475" s="5"/>
      <c r="J475" s="4">
        <f t="shared" si="70"/>
        <v>1908.425</v>
      </c>
      <c r="K475" s="4">
        <f t="shared" si="75"/>
        <v>-12475.915000000006</v>
      </c>
      <c r="L475" s="3"/>
      <c r="M475" s="3"/>
      <c r="N475" s="33">
        <f t="shared" si="71"/>
        <v>0</v>
      </c>
      <c r="O475" s="28">
        <f t="shared" si="76"/>
        <v>-12475.915000000006</v>
      </c>
      <c r="P475" s="9" t="s">
        <v>28</v>
      </c>
      <c r="Q475" s="2">
        <v>45508</v>
      </c>
      <c r="R475" s="38"/>
      <c r="S475" s="52"/>
      <c r="T475" s="4">
        <f t="shared" si="72"/>
        <v>4282.2</v>
      </c>
      <c r="U475" s="5"/>
      <c r="V475" s="4">
        <f t="shared" si="80"/>
        <v>4282.2</v>
      </c>
      <c r="W475" s="4">
        <f t="shared" si="77"/>
        <v>99522.325000000026</v>
      </c>
      <c r="X475" s="3"/>
      <c r="Y475" s="3"/>
      <c r="Z475" s="25">
        <f t="shared" si="78"/>
        <v>0</v>
      </c>
      <c r="AA475" s="72">
        <f t="shared" si="79"/>
        <v>99522.325000000026</v>
      </c>
      <c r="AB475" s="9" t="s">
        <v>28</v>
      </c>
      <c r="AC475" s="19">
        <v>45508</v>
      </c>
      <c r="AD475" s="41"/>
      <c r="AE475" s="42"/>
      <c r="AF475" s="4">
        <f t="shared" si="67"/>
        <v>7142.2250000000013</v>
      </c>
      <c r="AG475" s="3"/>
      <c r="AH475" s="8">
        <v>373</v>
      </c>
      <c r="AI475" s="4">
        <f t="shared" si="81"/>
        <v>6769.2250000000013</v>
      </c>
      <c r="AJ475" s="4">
        <f t="shared" si="73"/>
        <v>-458374.00550000009</v>
      </c>
      <c r="AK475" s="8"/>
      <c r="AL475" s="8"/>
      <c r="AM475" s="47" t="s">
        <v>223</v>
      </c>
      <c r="AN475" s="47">
        <f>(4500)</f>
        <v>4500</v>
      </c>
      <c r="AO475" s="8"/>
      <c r="AP475" s="8"/>
      <c r="AQ475" s="47"/>
      <c r="AR475" s="47"/>
      <c r="AS475" s="8"/>
      <c r="AT475" s="8"/>
      <c r="AU475" s="47"/>
      <c r="AV475" s="47"/>
      <c r="AW475" s="8"/>
      <c r="AX475" s="8"/>
      <c r="AY475" s="47"/>
      <c r="AZ475" s="47"/>
      <c r="BA475" s="3"/>
      <c r="BB475" s="8"/>
      <c r="BC475" s="47"/>
      <c r="BD475" s="47"/>
      <c r="BE475" s="8"/>
      <c r="BF475" s="8"/>
      <c r="BG475" s="47"/>
      <c r="BH475" s="47"/>
      <c r="BI475" s="8"/>
      <c r="BJ475" s="3"/>
      <c r="BK475" s="47"/>
      <c r="BL475" s="47"/>
      <c r="BM475" s="24">
        <f t="shared" si="74"/>
        <v>4500</v>
      </c>
      <c r="BN475" s="28">
        <f t="shared" si="68"/>
        <v>-462874.00550000009</v>
      </c>
      <c r="BO475" s="2">
        <v>45508</v>
      </c>
    </row>
    <row r="476" spans="4:67" hidden="1" x14ac:dyDescent="0.25">
      <c r="D476" s="9" t="s">
        <v>29</v>
      </c>
      <c r="E476" s="2">
        <v>45509</v>
      </c>
      <c r="F476" s="38"/>
      <c r="G476" s="51"/>
      <c r="H476" s="4">
        <f t="shared" si="69"/>
        <v>1990.65</v>
      </c>
      <c r="I476" s="5">
        <v>2997.3</v>
      </c>
      <c r="J476" s="4">
        <f t="shared" si="70"/>
        <v>-1006.6500000000001</v>
      </c>
      <c r="K476" s="4">
        <f t="shared" si="75"/>
        <v>-13482.565000000006</v>
      </c>
      <c r="L476" s="3"/>
      <c r="M476" s="3"/>
      <c r="N476" s="33">
        <f t="shared" si="71"/>
        <v>2997.3</v>
      </c>
      <c r="O476" s="28">
        <f t="shared" si="76"/>
        <v>-13482.565000000006</v>
      </c>
      <c r="P476" s="9" t="s">
        <v>29</v>
      </c>
      <c r="Q476" s="2">
        <v>45509</v>
      </c>
      <c r="R476" s="38"/>
      <c r="S476" s="52"/>
      <c r="T476" s="4">
        <f t="shared" si="72"/>
        <v>2305.35</v>
      </c>
      <c r="U476" s="5">
        <v>1355</v>
      </c>
      <c r="V476" s="4">
        <f t="shared" si="80"/>
        <v>950.34999999999991</v>
      </c>
      <c r="W476" s="4">
        <f t="shared" si="77"/>
        <v>100472.67500000003</v>
      </c>
      <c r="X476" s="3"/>
      <c r="Y476" s="3"/>
      <c r="Z476" s="25">
        <f t="shared" si="78"/>
        <v>1355</v>
      </c>
      <c r="AA476" s="72">
        <f t="shared" si="79"/>
        <v>100472.67500000003</v>
      </c>
      <c r="AB476" s="9" t="s">
        <v>29</v>
      </c>
      <c r="AC476" s="19">
        <v>45509</v>
      </c>
      <c r="AD476" s="41"/>
      <c r="AE476" s="42"/>
      <c r="AF476" s="4">
        <f t="shared" si="67"/>
        <v>4808.2999999999993</v>
      </c>
      <c r="AG476" s="3"/>
      <c r="AH476" s="8">
        <v>358.6</v>
      </c>
      <c r="AI476" s="4">
        <f t="shared" si="81"/>
        <v>4449.6999999999989</v>
      </c>
      <c r="AJ476" s="4">
        <f t="shared" si="73"/>
        <v>-458424.30550000007</v>
      </c>
      <c r="AK476" s="8"/>
      <c r="AL476" s="8"/>
      <c r="AM476" s="47"/>
      <c r="AN476" s="47"/>
      <c r="AO476" s="8"/>
      <c r="AP476" s="8"/>
      <c r="AQ476" s="47"/>
      <c r="AR476" s="47"/>
      <c r="AS476" s="8"/>
      <c r="AT476" s="8"/>
      <c r="AU476" s="47"/>
      <c r="AV476" s="47"/>
      <c r="AW476" s="8"/>
      <c r="AX476" s="8"/>
      <c r="AY476" s="47" t="s">
        <v>224</v>
      </c>
      <c r="AZ476" s="47">
        <f>(104.25)</f>
        <v>104.25</v>
      </c>
      <c r="BA476" s="8" t="s">
        <v>225</v>
      </c>
      <c r="BB476" s="8">
        <f>(720)</f>
        <v>720</v>
      </c>
      <c r="BC476" s="47"/>
      <c r="BD476" s="47"/>
      <c r="BE476" s="8"/>
      <c r="BF476" s="8"/>
      <c r="BG476" s="47"/>
      <c r="BH476" s="47"/>
      <c r="BI476" s="8"/>
      <c r="BJ476" s="3"/>
      <c r="BK476" s="47"/>
      <c r="BL476" s="47"/>
      <c r="BM476" s="24">
        <f t="shared" si="74"/>
        <v>824.25</v>
      </c>
      <c r="BN476" s="28">
        <f t="shared" si="68"/>
        <v>-459248.55550000007</v>
      </c>
      <c r="BO476" s="2">
        <v>45509</v>
      </c>
    </row>
    <row r="477" spans="4:67" hidden="1" x14ac:dyDescent="0.25">
      <c r="D477" s="9" t="s">
        <v>30</v>
      </c>
      <c r="E477" s="2">
        <v>45510</v>
      </c>
      <c r="F477" s="38"/>
      <c r="G477" s="51"/>
      <c r="H477" s="4">
        <f t="shared" si="69"/>
        <v>2351.7249999999999</v>
      </c>
      <c r="I477" s="5">
        <v>4082.54</v>
      </c>
      <c r="J477" s="4">
        <f t="shared" si="70"/>
        <v>-1730.8150000000001</v>
      </c>
      <c r="K477" s="4">
        <f t="shared" si="75"/>
        <v>-15213.380000000006</v>
      </c>
      <c r="L477" s="3"/>
      <c r="M477" s="3"/>
      <c r="N477" s="33">
        <f t="shared" si="71"/>
        <v>4082.54</v>
      </c>
      <c r="O477" s="28">
        <f t="shared" si="76"/>
        <v>-15213.380000000006</v>
      </c>
      <c r="P477" s="9" t="s">
        <v>30</v>
      </c>
      <c r="Q477" s="2">
        <v>45510</v>
      </c>
      <c r="R477" s="38"/>
      <c r="S477" s="52"/>
      <c r="T477" s="4">
        <f t="shared" si="72"/>
        <v>3147.75</v>
      </c>
      <c r="U477" s="5">
        <v>0</v>
      </c>
      <c r="V477" s="4">
        <f t="shared" si="80"/>
        <v>3147.75</v>
      </c>
      <c r="W477" s="4">
        <f t="shared" si="77"/>
        <v>103620.42500000003</v>
      </c>
      <c r="X477" s="3"/>
      <c r="Y477" s="3"/>
      <c r="Z477" s="25">
        <f t="shared" si="78"/>
        <v>0</v>
      </c>
      <c r="AA477" s="72">
        <f t="shared" si="79"/>
        <v>103620.42500000003</v>
      </c>
      <c r="AB477" s="9" t="s">
        <v>30</v>
      </c>
      <c r="AC477" s="19">
        <v>45510</v>
      </c>
      <c r="AD477" s="41"/>
      <c r="AE477" s="42"/>
      <c r="AF477" s="4">
        <f t="shared" si="67"/>
        <v>6198.9750000000004</v>
      </c>
      <c r="AG477" s="3"/>
      <c r="AH477" s="8">
        <v>483.7</v>
      </c>
      <c r="AI477" s="4">
        <f t="shared" si="81"/>
        <v>5715.2750000000005</v>
      </c>
      <c r="AJ477" s="4">
        <f t="shared" si="73"/>
        <v>-453533.28050000005</v>
      </c>
      <c r="AK477" s="8" t="s">
        <v>13</v>
      </c>
      <c r="AL477" s="8">
        <f>(8025.46+1800)</f>
        <v>9825.4599999999991</v>
      </c>
      <c r="AM477" s="47"/>
      <c r="AN477" s="47"/>
      <c r="AO477" s="8"/>
      <c r="AP477" s="8"/>
      <c r="AQ477" s="47"/>
      <c r="AR477" s="47"/>
      <c r="AS477" s="8"/>
      <c r="AT477" s="8"/>
      <c r="AU477" s="47"/>
      <c r="AV477" s="47"/>
      <c r="AW477" s="8"/>
      <c r="AX477" s="8"/>
      <c r="AY477" s="47"/>
      <c r="AZ477" s="47"/>
      <c r="BA477" s="8"/>
      <c r="BB477" s="8"/>
      <c r="BC477" s="47"/>
      <c r="BD477" s="47"/>
      <c r="BE477" s="8"/>
      <c r="BF477" s="8"/>
      <c r="BG477" s="47"/>
      <c r="BH477" s="47"/>
      <c r="BI477" s="8"/>
      <c r="BJ477" s="3"/>
      <c r="BK477" s="47"/>
      <c r="BL477" s="47"/>
      <c r="BM477" s="24">
        <f t="shared" si="74"/>
        <v>9825.4599999999991</v>
      </c>
      <c r="BN477" s="28">
        <f t="shared" si="68"/>
        <v>-463358.74050000007</v>
      </c>
      <c r="BO477" s="2">
        <v>45510</v>
      </c>
    </row>
    <row r="478" spans="4:67" hidden="1" x14ac:dyDescent="0.25">
      <c r="D478" s="9" t="s">
        <v>31</v>
      </c>
      <c r="E478" s="2">
        <v>45511</v>
      </c>
      <c r="F478" s="38"/>
      <c r="G478" s="51"/>
      <c r="H478" s="4">
        <f t="shared" si="69"/>
        <v>1505.8</v>
      </c>
      <c r="I478" s="5">
        <v>1638</v>
      </c>
      <c r="J478" s="4">
        <f t="shared" si="70"/>
        <v>-132.20000000000005</v>
      </c>
      <c r="K478" s="4">
        <f t="shared" si="75"/>
        <v>-15345.580000000007</v>
      </c>
      <c r="L478" s="3"/>
      <c r="M478" s="3"/>
      <c r="N478" s="33">
        <f t="shared" si="71"/>
        <v>1638</v>
      </c>
      <c r="O478" s="28">
        <f t="shared" si="76"/>
        <v>-15345.580000000007</v>
      </c>
      <c r="P478" s="9" t="s">
        <v>31</v>
      </c>
      <c r="Q478" s="2">
        <v>45511</v>
      </c>
      <c r="R478" s="38"/>
      <c r="S478" s="52"/>
      <c r="T478" s="4">
        <f t="shared" si="72"/>
        <v>1665.45</v>
      </c>
      <c r="U478" s="5">
        <v>1873</v>
      </c>
      <c r="V478" s="4">
        <f t="shared" si="80"/>
        <v>-207.54999999999995</v>
      </c>
      <c r="W478" s="4">
        <f t="shared" si="77"/>
        <v>103412.87500000003</v>
      </c>
      <c r="X478" s="3"/>
      <c r="Y478" s="3"/>
      <c r="Z478" s="25">
        <f t="shared" si="78"/>
        <v>1873</v>
      </c>
      <c r="AA478" s="72">
        <f t="shared" si="79"/>
        <v>103412.87500000003</v>
      </c>
      <c r="AB478" s="9" t="s">
        <v>31</v>
      </c>
      <c r="AC478" s="19">
        <v>45511</v>
      </c>
      <c r="AD478" s="41" t="s">
        <v>196</v>
      </c>
      <c r="AE478" s="42">
        <f>(3200)</f>
        <v>3200</v>
      </c>
      <c r="AF478" s="4">
        <f t="shared" si="67"/>
        <v>3541.3500000000004</v>
      </c>
      <c r="AG478" s="3"/>
      <c r="AH478" s="8">
        <v>341.8</v>
      </c>
      <c r="AI478" s="4">
        <f t="shared" si="81"/>
        <v>6399.55</v>
      </c>
      <c r="AJ478" s="4">
        <f t="shared" si="73"/>
        <v>-456959.19050000008</v>
      </c>
      <c r="AK478" s="8" t="s">
        <v>13</v>
      </c>
      <c r="AL478" s="8">
        <f>(5370.79)</f>
        <v>5370.79</v>
      </c>
      <c r="AM478" s="47"/>
      <c r="AN478" s="47"/>
      <c r="AO478" s="8"/>
      <c r="AP478" s="8"/>
      <c r="AQ478" s="47"/>
      <c r="AR478" s="47"/>
      <c r="AS478" s="8"/>
      <c r="AT478" s="8"/>
      <c r="AU478" s="47"/>
      <c r="AV478" s="47"/>
      <c r="AW478" s="8"/>
      <c r="AX478" s="8"/>
      <c r="AY478" s="47"/>
      <c r="AZ478" s="47"/>
      <c r="BA478" s="8" t="s">
        <v>226</v>
      </c>
      <c r="BB478" s="8">
        <f>(300)</f>
        <v>300</v>
      </c>
      <c r="BC478" s="47"/>
      <c r="BD478" s="47"/>
      <c r="BE478" s="8"/>
      <c r="BF478" s="8"/>
      <c r="BG478" s="47"/>
      <c r="BH478" s="47"/>
      <c r="BI478" s="8"/>
      <c r="BJ478" s="3"/>
      <c r="BK478" s="47"/>
      <c r="BL478" s="47"/>
      <c r="BM478" s="24">
        <f t="shared" si="74"/>
        <v>5670.79</v>
      </c>
      <c r="BN478" s="28">
        <f t="shared" si="68"/>
        <v>-462629.98050000006</v>
      </c>
      <c r="BO478" s="2">
        <v>45511</v>
      </c>
    </row>
    <row r="479" spans="4:67" hidden="1" x14ac:dyDescent="0.25">
      <c r="D479" s="9" t="s">
        <v>32</v>
      </c>
      <c r="E479" s="2">
        <v>45512</v>
      </c>
      <c r="F479" s="38"/>
      <c r="G479" s="51"/>
      <c r="H479" s="4">
        <f t="shared" si="69"/>
        <v>2340.0250000000001</v>
      </c>
      <c r="I479" s="5">
        <v>1920.4</v>
      </c>
      <c r="J479" s="4">
        <f t="shared" si="70"/>
        <v>419.625</v>
      </c>
      <c r="K479" s="4">
        <f t="shared" si="75"/>
        <v>-14925.955000000007</v>
      </c>
      <c r="L479" s="3"/>
      <c r="M479" s="3"/>
      <c r="N479" s="33">
        <f t="shared" si="71"/>
        <v>1920.4</v>
      </c>
      <c r="O479" s="28">
        <f t="shared" si="76"/>
        <v>-14925.955000000007</v>
      </c>
      <c r="P479" s="9" t="s">
        <v>32</v>
      </c>
      <c r="Q479" s="2">
        <v>45512</v>
      </c>
      <c r="R479" s="38"/>
      <c r="S479" s="52"/>
      <c r="T479" s="4">
        <f t="shared" si="72"/>
        <v>2355.3000000000002</v>
      </c>
      <c r="U479" s="5">
        <v>0</v>
      </c>
      <c r="V479" s="4">
        <f t="shared" si="80"/>
        <v>2355.3000000000002</v>
      </c>
      <c r="W479" s="4">
        <f t="shared" si="77"/>
        <v>105768.17500000003</v>
      </c>
      <c r="X479" s="3"/>
      <c r="Y479" s="3"/>
      <c r="Z479" s="25">
        <f t="shared" si="78"/>
        <v>0</v>
      </c>
      <c r="AA479" s="72">
        <f t="shared" si="79"/>
        <v>105768.17500000003</v>
      </c>
      <c r="AB479" s="9" t="s">
        <v>32</v>
      </c>
      <c r="AC479" s="19">
        <v>45512</v>
      </c>
      <c r="AD479" s="41" t="s">
        <v>196</v>
      </c>
      <c r="AE479" s="42">
        <f>(1200+2225)</f>
        <v>3425</v>
      </c>
      <c r="AF479" s="4">
        <f t="shared" si="67"/>
        <v>5218.7249999999995</v>
      </c>
      <c r="AG479" s="3"/>
      <c r="AH479" s="8">
        <v>471</v>
      </c>
      <c r="AI479" s="4">
        <f t="shared" si="81"/>
        <v>8172.7249999999985</v>
      </c>
      <c r="AJ479" s="4">
        <f t="shared" si="73"/>
        <v>-454457.25550000009</v>
      </c>
      <c r="AK479" s="8" t="s">
        <v>13</v>
      </c>
      <c r="AL479" s="8">
        <f>(6522.6)</f>
        <v>6522.6</v>
      </c>
      <c r="AM479" s="47"/>
      <c r="AN479" s="47"/>
      <c r="AO479" s="8"/>
      <c r="AP479" s="8"/>
      <c r="AQ479" s="47"/>
      <c r="AR479" s="47"/>
      <c r="AS479" s="8"/>
      <c r="AT479" s="8"/>
      <c r="AU479" s="47"/>
      <c r="AV479" s="47"/>
      <c r="AW479" s="8"/>
      <c r="AX479" s="8"/>
      <c r="AY479" s="47"/>
      <c r="AZ479" s="47"/>
      <c r="BA479" s="3" t="s">
        <v>228</v>
      </c>
      <c r="BB479" s="8">
        <f>(400+1200+2225+3200)</f>
        <v>7025</v>
      </c>
      <c r="BC479" s="47"/>
      <c r="BD479" s="47"/>
      <c r="BE479" s="8"/>
      <c r="BF479" s="8"/>
      <c r="BG479" s="47"/>
      <c r="BH479" s="47"/>
      <c r="BI479" s="8"/>
      <c r="BJ479" s="3"/>
      <c r="BK479" s="47"/>
      <c r="BL479" s="47"/>
      <c r="BM479" s="24">
        <f t="shared" si="74"/>
        <v>13547.6</v>
      </c>
      <c r="BN479" s="28">
        <f t="shared" si="68"/>
        <v>-468004.85550000006</v>
      </c>
      <c r="BO479" s="2">
        <v>45512</v>
      </c>
    </row>
    <row r="480" spans="4:67" hidden="1" x14ac:dyDescent="0.25">
      <c r="D480" s="9" t="s">
        <v>26</v>
      </c>
      <c r="E480" s="2">
        <v>45513</v>
      </c>
      <c r="F480" s="38"/>
      <c r="G480" s="51"/>
      <c r="H480" s="4">
        <f t="shared" si="69"/>
        <v>1581.175</v>
      </c>
      <c r="I480" s="5"/>
      <c r="J480" s="4">
        <f t="shared" si="70"/>
        <v>1581.175</v>
      </c>
      <c r="K480" s="4">
        <f t="shared" si="75"/>
        <v>-13344.780000000008</v>
      </c>
      <c r="L480" s="3"/>
      <c r="M480" s="3"/>
      <c r="N480" s="33">
        <f t="shared" si="71"/>
        <v>0</v>
      </c>
      <c r="O480" s="28">
        <f t="shared" si="76"/>
        <v>-13344.780000000008</v>
      </c>
      <c r="P480" s="9" t="s">
        <v>26</v>
      </c>
      <c r="Q480" s="2">
        <v>45513</v>
      </c>
      <c r="R480" s="38"/>
      <c r="S480" s="52"/>
      <c r="T480" s="4">
        <f t="shared" si="72"/>
        <v>5131.3500000000004</v>
      </c>
      <c r="U480" s="5">
        <f>(440+26388.43)</f>
        <v>26828.43</v>
      </c>
      <c r="V480" s="4">
        <f t="shared" si="80"/>
        <v>-21697.08</v>
      </c>
      <c r="W480" s="4">
        <f t="shared" si="77"/>
        <v>84071.09500000003</v>
      </c>
      <c r="X480" s="3"/>
      <c r="Y480" s="3"/>
      <c r="Z480" s="25">
        <f t="shared" si="78"/>
        <v>26828.43</v>
      </c>
      <c r="AA480" s="72">
        <f t="shared" si="79"/>
        <v>84071.09500000003</v>
      </c>
      <c r="AB480" s="9" t="s">
        <v>26</v>
      </c>
      <c r="AC480" s="19">
        <v>45513</v>
      </c>
      <c r="AD480" s="41" t="s">
        <v>196</v>
      </c>
      <c r="AE480" s="42">
        <f>(5300+8300)</f>
        <v>13600</v>
      </c>
      <c r="AF480" s="4">
        <f t="shared" si="67"/>
        <v>7852.8250000000007</v>
      </c>
      <c r="AG480" s="3"/>
      <c r="AH480" s="8">
        <v>934.9</v>
      </c>
      <c r="AI480" s="4">
        <f t="shared" si="81"/>
        <v>20517.924999999999</v>
      </c>
      <c r="AJ480" s="4">
        <f t="shared" si="73"/>
        <v>-447486.93050000007</v>
      </c>
      <c r="AK480" s="8" t="s">
        <v>13</v>
      </c>
      <c r="AL480" s="8">
        <f>(6147.3)</f>
        <v>6147.3</v>
      </c>
      <c r="AM480" s="47"/>
      <c r="AN480" s="47"/>
      <c r="AO480" s="8"/>
      <c r="AP480" s="8"/>
      <c r="AQ480" s="47"/>
      <c r="AR480" s="47"/>
      <c r="AS480" s="8"/>
      <c r="AT480" s="8"/>
      <c r="AU480" s="47"/>
      <c r="AV480" s="47"/>
      <c r="AW480" s="8"/>
      <c r="AX480" s="8"/>
      <c r="AY480" s="47"/>
      <c r="AZ480" s="47"/>
      <c r="BA480" s="8" t="s">
        <v>200</v>
      </c>
      <c r="BB480" s="8">
        <f>(5300)</f>
        <v>5300</v>
      </c>
      <c r="BC480" s="47"/>
      <c r="BD480" s="47"/>
      <c r="BE480" s="8"/>
      <c r="BF480" s="8"/>
      <c r="BG480" s="47"/>
      <c r="BH480" s="47"/>
      <c r="BI480" s="8"/>
      <c r="BJ480" s="3"/>
      <c r="BK480" s="47"/>
      <c r="BL480" s="47"/>
      <c r="BM480" s="24">
        <f t="shared" si="74"/>
        <v>11447.3</v>
      </c>
      <c r="BN480" s="28">
        <f t="shared" si="68"/>
        <v>-458934.23050000006</v>
      </c>
      <c r="BO480" s="2">
        <v>45513</v>
      </c>
    </row>
    <row r="481" spans="4:67" hidden="1" x14ac:dyDescent="0.25">
      <c r="D481" s="9" t="s">
        <v>27</v>
      </c>
      <c r="E481" s="2">
        <v>45514</v>
      </c>
      <c r="F481" s="38"/>
      <c r="G481" s="51"/>
      <c r="H481" s="4">
        <f t="shared" si="69"/>
        <v>2090.0749999999998</v>
      </c>
      <c r="I481" s="5"/>
      <c r="J481" s="4">
        <f t="shared" si="70"/>
        <v>2090.0749999999998</v>
      </c>
      <c r="K481" s="4">
        <f t="shared" si="75"/>
        <v>-11254.705000000009</v>
      </c>
      <c r="L481" s="3"/>
      <c r="M481" s="3"/>
      <c r="N481" s="33">
        <f t="shared" si="71"/>
        <v>0</v>
      </c>
      <c r="O481" s="28">
        <f t="shared" si="76"/>
        <v>-11254.705000000009</v>
      </c>
      <c r="P481" s="9" t="s">
        <v>27</v>
      </c>
      <c r="Q481" s="2">
        <v>45514</v>
      </c>
      <c r="R481" s="38"/>
      <c r="S481" s="52"/>
      <c r="T481" s="4">
        <f t="shared" si="72"/>
        <v>5634</v>
      </c>
      <c r="U481" s="5"/>
      <c r="V481" s="4">
        <f t="shared" si="80"/>
        <v>5634</v>
      </c>
      <c r="W481" s="4">
        <f t="shared" si="77"/>
        <v>89705.09500000003</v>
      </c>
      <c r="X481" s="3"/>
      <c r="Y481" s="3"/>
      <c r="Z481" s="25">
        <f t="shared" si="78"/>
        <v>0</v>
      </c>
      <c r="AA481" s="72">
        <f t="shared" si="79"/>
        <v>89705.09500000003</v>
      </c>
      <c r="AB481" s="9" t="s">
        <v>27</v>
      </c>
      <c r="AC481" s="19">
        <v>45514</v>
      </c>
      <c r="AD481" s="41" t="s">
        <v>196</v>
      </c>
      <c r="AE481" s="42">
        <f>(1300+4800+10000)</f>
        <v>16100</v>
      </c>
      <c r="AF481" s="4">
        <f t="shared" si="67"/>
        <v>8976.0750000000007</v>
      </c>
      <c r="AG481" s="3"/>
      <c r="AH481" s="8">
        <v>1140.05</v>
      </c>
      <c r="AI481" s="4">
        <f t="shared" si="81"/>
        <v>23936.025000000001</v>
      </c>
      <c r="AJ481" s="4">
        <f t="shared" si="73"/>
        <v>-434998.20550000004</v>
      </c>
      <c r="AK481" s="8" t="s">
        <v>93</v>
      </c>
      <c r="AL481" s="8">
        <f>(10000)</f>
        <v>10000</v>
      </c>
      <c r="AM481" s="47"/>
      <c r="AN481" s="47"/>
      <c r="AO481" s="8"/>
      <c r="AP481" s="8"/>
      <c r="AQ481" s="47"/>
      <c r="AR481" s="47"/>
      <c r="AS481" s="8"/>
      <c r="AT481" s="8"/>
      <c r="AU481" s="47"/>
      <c r="AV481" s="47"/>
      <c r="AW481" s="8"/>
      <c r="AX481" s="8"/>
      <c r="AY481" s="47"/>
      <c r="AZ481" s="47"/>
      <c r="BA481" s="8" t="s">
        <v>227</v>
      </c>
      <c r="BB481" s="8">
        <f>(1300+4800)</f>
        <v>6100</v>
      </c>
      <c r="BC481" s="47"/>
      <c r="BD481" s="47"/>
      <c r="BE481" s="8"/>
      <c r="BF481" s="8"/>
      <c r="BG481" s="47"/>
      <c r="BH481" s="47"/>
      <c r="BI481" s="8"/>
      <c r="BJ481" s="3"/>
      <c r="BK481" s="47"/>
      <c r="BL481" s="47"/>
      <c r="BM481" s="24">
        <f t="shared" si="74"/>
        <v>16100</v>
      </c>
      <c r="BN481" s="28">
        <f t="shared" si="68"/>
        <v>-451098.20550000004</v>
      </c>
      <c r="BO481" s="2">
        <v>45514</v>
      </c>
    </row>
    <row r="482" spans="4:67" hidden="1" x14ac:dyDescent="0.25">
      <c r="D482" s="9" t="s">
        <v>28</v>
      </c>
      <c r="E482" s="2">
        <v>45515</v>
      </c>
      <c r="F482" s="38"/>
      <c r="G482" s="51"/>
      <c r="H482" s="4">
        <f t="shared" si="69"/>
        <v>2003.4749999999999</v>
      </c>
      <c r="I482" s="5"/>
      <c r="J482" s="4">
        <f t="shared" si="70"/>
        <v>2003.4749999999999</v>
      </c>
      <c r="K482" s="4">
        <f t="shared" si="75"/>
        <v>-9251.2300000000087</v>
      </c>
      <c r="L482" s="3"/>
      <c r="M482" s="3"/>
      <c r="N482" s="33">
        <f t="shared" si="71"/>
        <v>0</v>
      </c>
      <c r="O482" s="28">
        <f t="shared" si="76"/>
        <v>-9251.2300000000087</v>
      </c>
      <c r="P482" s="9" t="s">
        <v>28</v>
      </c>
      <c r="Q482" s="2">
        <v>45515</v>
      </c>
      <c r="R482" s="38"/>
      <c r="S482" s="52"/>
      <c r="T482" s="4">
        <f t="shared" si="72"/>
        <v>5806.35</v>
      </c>
      <c r="U482" s="5"/>
      <c r="V482" s="4">
        <f t="shared" si="80"/>
        <v>5806.35</v>
      </c>
      <c r="W482" s="4">
        <f t="shared" si="77"/>
        <v>95511.445000000036</v>
      </c>
      <c r="X482" s="3"/>
      <c r="Y482" s="3"/>
      <c r="Z482" s="25">
        <f t="shared" si="78"/>
        <v>0</v>
      </c>
      <c r="AA482" s="72">
        <f t="shared" si="79"/>
        <v>95511.445000000036</v>
      </c>
      <c r="AB482" s="9" t="s">
        <v>28</v>
      </c>
      <c r="AC482" s="19">
        <v>45515</v>
      </c>
      <c r="AD482" s="41"/>
      <c r="AE482" s="42"/>
      <c r="AF482" s="4">
        <f t="shared" si="67"/>
        <v>9100.125</v>
      </c>
      <c r="AG482" s="3"/>
      <c r="AH482" s="8"/>
      <c r="AI482" s="4">
        <f t="shared" si="81"/>
        <v>9100.125</v>
      </c>
      <c r="AJ482" s="4">
        <f t="shared" si="73"/>
        <v>-441998.08050000004</v>
      </c>
      <c r="AK482" s="8"/>
      <c r="AL482" s="8"/>
      <c r="AM482" s="47"/>
      <c r="AN482" s="47"/>
      <c r="AO482" s="8"/>
      <c r="AP482" s="8"/>
      <c r="AQ482" s="47"/>
      <c r="AR482" s="47"/>
      <c r="AS482" s="8"/>
      <c r="AT482" s="8"/>
      <c r="AU482" s="47"/>
      <c r="AV482" s="47"/>
      <c r="AW482" s="8"/>
      <c r="AX482" s="8"/>
      <c r="AY482" s="47"/>
      <c r="AZ482" s="47"/>
      <c r="BA482" s="8"/>
      <c r="BB482" s="8"/>
      <c r="BC482" s="47"/>
      <c r="BD482" s="47"/>
      <c r="BE482" s="8"/>
      <c r="BF482" s="8"/>
      <c r="BG482" s="47"/>
      <c r="BH482" s="47"/>
      <c r="BI482" s="8"/>
      <c r="BJ482" s="3"/>
      <c r="BK482" s="47"/>
      <c r="BL482" s="47"/>
      <c r="BM482" s="24">
        <f t="shared" si="74"/>
        <v>0</v>
      </c>
      <c r="BN482" s="28">
        <f t="shared" si="68"/>
        <v>-441998.08050000004</v>
      </c>
      <c r="BO482" s="2">
        <v>45515</v>
      </c>
    </row>
    <row r="483" spans="4:67" hidden="1" x14ac:dyDescent="0.25">
      <c r="D483" s="9" t="s">
        <v>29</v>
      </c>
      <c r="E483" s="2">
        <v>45516</v>
      </c>
      <c r="F483" s="38"/>
      <c r="G483" s="51"/>
      <c r="H483" s="4">
        <f t="shared" si="69"/>
        <v>2088.5</v>
      </c>
      <c r="I483" s="5"/>
      <c r="J483" s="4">
        <f t="shared" si="70"/>
        <v>2088.5</v>
      </c>
      <c r="K483" s="4">
        <f t="shared" si="75"/>
        <v>-7162.7300000000087</v>
      </c>
      <c r="L483" s="3"/>
      <c r="M483" s="3"/>
      <c r="N483" s="33">
        <f t="shared" si="71"/>
        <v>0</v>
      </c>
      <c r="O483" s="28">
        <f t="shared" si="76"/>
        <v>-7162.7300000000087</v>
      </c>
      <c r="P483" s="9" t="s">
        <v>29</v>
      </c>
      <c r="Q483" s="2">
        <v>45516</v>
      </c>
      <c r="R483" s="38"/>
      <c r="S483" s="52"/>
      <c r="T483" s="4">
        <f t="shared" si="72"/>
        <v>2090.7000000000003</v>
      </c>
      <c r="U483" s="5"/>
      <c r="V483" s="4">
        <f t="shared" si="80"/>
        <v>2090.7000000000003</v>
      </c>
      <c r="W483" s="4">
        <f t="shared" si="77"/>
        <v>97602.145000000033</v>
      </c>
      <c r="X483" s="3"/>
      <c r="Y483" s="3"/>
      <c r="Z483" s="25">
        <f t="shared" si="78"/>
        <v>0</v>
      </c>
      <c r="AA483" s="72">
        <f t="shared" si="79"/>
        <v>97602.145000000033</v>
      </c>
      <c r="AB483" s="9" t="s">
        <v>29</v>
      </c>
      <c r="AC483" s="19">
        <v>45516</v>
      </c>
      <c r="AD483" s="41"/>
      <c r="AE483" s="42"/>
      <c r="AF483" s="4">
        <f t="shared" si="67"/>
        <v>4643.7999999999993</v>
      </c>
      <c r="AG483" s="3"/>
      <c r="AH483" s="8"/>
      <c r="AI483" s="4">
        <f t="shared" si="81"/>
        <v>4643.7999999999993</v>
      </c>
      <c r="AJ483" s="4">
        <f t="shared" si="73"/>
        <v>-437354.28050000005</v>
      </c>
      <c r="AK483" s="8"/>
      <c r="AL483" s="8"/>
      <c r="AM483" s="47"/>
      <c r="AN483" s="47"/>
      <c r="AO483" s="8"/>
      <c r="AP483" s="8"/>
      <c r="AQ483" s="47"/>
      <c r="AR483" s="47"/>
      <c r="AS483" s="8"/>
      <c r="AT483" s="8"/>
      <c r="AU483" s="47"/>
      <c r="AV483" s="47"/>
      <c r="AW483" s="8"/>
      <c r="AX483" s="8"/>
      <c r="AY483" s="47"/>
      <c r="AZ483" s="47"/>
      <c r="BA483" s="8"/>
      <c r="BB483" s="8"/>
      <c r="BC483" s="47"/>
      <c r="BD483" s="47"/>
      <c r="BE483" s="8"/>
      <c r="BF483" s="8"/>
      <c r="BG483" s="47"/>
      <c r="BH483" s="47"/>
      <c r="BI483" s="8"/>
      <c r="BJ483" s="3"/>
      <c r="BK483" s="47"/>
      <c r="BL483" s="47"/>
      <c r="BM483" s="24">
        <f t="shared" si="74"/>
        <v>0</v>
      </c>
      <c r="BN483" s="28">
        <f t="shared" si="68"/>
        <v>-437354.28050000005</v>
      </c>
      <c r="BO483" s="2">
        <v>45516</v>
      </c>
    </row>
    <row r="484" spans="4:67" hidden="1" x14ac:dyDescent="0.25">
      <c r="D484" s="9" t="s">
        <v>30</v>
      </c>
      <c r="E484" s="2">
        <v>45517</v>
      </c>
      <c r="F484" s="38"/>
      <c r="G484" s="51"/>
      <c r="H484" s="4">
        <f t="shared" si="69"/>
        <v>2059.0500000000002</v>
      </c>
      <c r="I484" s="5"/>
      <c r="J484" s="4">
        <f t="shared" si="70"/>
        <v>2059.0500000000002</v>
      </c>
      <c r="K484" s="4">
        <f t="shared" si="75"/>
        <v>-5103.6800000000085</v>
      </c>
      <c r="L484" s="3"/>
      <c r="M484" s="3"/>
      <c r="N484" s="33">
        <f t="shared" si="71"/>
        <v>0</v>
      </c>
      <c r="O484" s="28">
        <f t="shared" si="76"/>
        <v>-5103.6800000000085</v>
      </c>
      <c r="P484" s="9" t="s">
        <v>30</v>
      </c>
      <c r="Q484" s="2">
        <v>45517</v>
      </c>
      <c r="R484" s="38"/>
      <c r="S484" s="52"/>
      <c r="T484" s="4">
        <f t="shared" si="72"/>
        <v>3098.7000000000003</v>
      </c>
      <c r="U484" s="5"/>
      <c r="V484" s="4">
        <f t="shared" si="80"/>
        <v>3098.7000000000003</v>
      </c>
      <c r="W484" s="4">
        <f t="shared" si="77"/>
        <v>100700.84500000003</v>
      </c>
      <c r="X484" s="3"/>
      <c r="Y484" s="3"/>
      <c r="Z484" s="25">
        <f t="shared" si="78"/>
        <v>0</v>
      </c>
      <c r="AA484" s="72">
        <f t="shared" si="79"/>
        <v>100700.84500000003</v>
      </c>
      <c r="AB484" s="9" t="s">
        <v>30</v>
      </c>
      <c r="AC484" s="19">
        <v>45517</v>
      </c>
      <c r="AD484" s="41"/>
      <c r="AE484" s="42"/>
      <c r="AF484" s="4">
        <f t="shared" si="67"/>
        <v>5846.3499999999985</v>
      </c>
      <c r="AG484" s="3"/>
      <c r="AH484" s="8"/>
      <c r="AI484" s="4">
        <f t="shared" si="81"/>
        <v>5846.3499999999985</v>
      </c>
      <c r="AJ484" s="4">
        <f t="shared" si="73"/>
        <v>-431507.93050000007</v>
      </c>
      <c r="AK484" s="8"/>
      <c r="AL484" s="8"/>
      <c r="AM484" s="47"/>
      <c r="AN484" s="47"/>
      <c r="AO484" s="8"/>
      <c r="AP484" s="8"/>
      <c r="AQ484" s="47"/>
      <c r="AR484" s="47"/>
      <c r="AS484" s="8"/>
      <c r="AT484" s="8"/>
      <c r="AU484" s="47"/>
      <c r="AV484" s="47"/>
      <c r="AW484" s="8"/>
      <c r="AX484" s="8"/>
      <c r="AY484" s="47"/>
      <c r="AZ484" s="47"/>
      <c r="BA484" s="8"/>
      <c r="BB484" s="8"/>
      <c r="BC484" s="47"/>
      <c r="BD484" s="47"/>
      <c r="BE484" s="8"/>
      <c r="BF484" s="8"/>
      <c r="BG484" s="47"/>
      <c r="BH484" s="47"/>
      <c r="BI484" s="8"/>
      <c r="BJ484" s="3"/>
      <c r="BK484" s="47"/>
      <c r="BL484" s="47"/>
      <c r="BM484" s="24">
        <f t="shared" si="74"/>
        <v>0</v>
      </c>
      <c r="BN484" s="28">
        <f t="shared" si="68"/>
        <v>-431507.93050000007</v>
      </c>
      <c r="BO484" s="2">
        <v>45517</v>
      </c>
    </row>
    <row r="485" spans="4:67" hidden="1" x14ac:dyDescent="0.25">
      <c r="D485" s="9" t="s">
        <v>31</v>
      </c>
      <c r="E485" s="2">
        <v>45518</v>
      </c>
      <c r="F485" s="38"/>
      <c r="G485" s="51"/>
      <c r="H485" s="4">
        <f t="shared" si="69"/>
        <v>2410.4499999999998</v>
      </c>
      <c r="I485" s="5"/>
      <c r="J485" s="4">
        <f t="shared" si="70"/>
        <v>2410.4499999999998</v>
      </c>
      <c r="K485" s="4">
        <f t="shared" si="75"/>
        <v>-2693.2300000000087</v>
      </c>
      <c r="L485" s="3"/>
      <c r="M485" s="3"/>
      <c r="N485" s="33">
        <f t="shared" si="71"/>
        <v>0</v>
      </c>
      <c r="O485" s="28">
        <f t="shared" si="76"/>
        <v>-2693.2300000000087</v>
      </c>
      <c r="P485" s="9" t="s">
        <v>31</v>
      </c>
      <c r="Q485" s="2">
        <v>45518</v>
      </c>
      <c r="R485" s="38"/>
      <c r="S485" s="52"/>
      <c r="T485" s="4">
        <f t="shared" si="72"/>
        <v>2046.6000000000001</v>
      </c>
      <c r="U485" s="5"/>
      <c r="V485" s="4">
        <f t="shared" si="80"/>
        <v>2046.6000000000001</v>
      </c>
      <c r="W485" s="4">
        <f t="shared" si="77"/>
        <v>102747.44500000004</v>
      </c>
      <c r="X485" s="3"/>
      <c r="Y485" s="3"/>
      <c r="Z485" s="25">
        <f t="shared" si="78"/>
        <v>0</v>
      </c>
      <c r="AA485" s="72">
        <f t="shared" si="79"/>
        <v>102747.44500000004</v>
      </c>
      <c r="AB485" s="9" t="s">
        <v>31</v>
      </c>
      <c r="AC485" s="19">
        <v>45518</v>
      </c>
      <c r="AD485" s="41"/>
      <c r="AE485" s="42"/>
      <c r="AF485" s="4">
        <f t="shared" si="67"/>
        <v>4911.8499999999995</v>
      </c>
      <c r="AG485" s="3"/>
      <c r="AH485" s="8"/>
      <c r="AI485" s="4">
        <f t="shared" si="81"/>
        <v>4911.8499999999995</v>
      </c>
      <c r="AJ485" s="4">
        <f t="shared" si="73"/>
        <v>-426596.0805000001</v>
      </c>
      <c r="AK485" s="8"/>
      <c r="AL485" s="8"/>
      <c r="AM485" s="47"/>
      <c r="AN485" s="47"/>
      <c r="AO485" s="8"/>
      <c r="AP485" s="8"/>
      <c r="AQ485" s="47"/>
      <c r="AR485" s="47"/>
      <c r="AS485" s="8"/>
      <c r="AT485" s="8"/>
      <c r="AU485" s="47"/>
      <c r="AV485" s="47"/>
      <c r="AW485" s="8"/>
      <c r="AX485" s="8"/>
      <c r="AY485" s="47"/>
      <c r="AZ485" s="47"/>
      <c r="BA485" s="8"/>
      <c r="BB485" s="8"/>
      <c r="BC485" s="47"/>
      <c r="BD485" s="47"/>
      <c r="BE485" s="8"/>
      <c r="BF485" s="8"/>
      <c r="BG485" s="47"/>
      <c r="BH485" s="47"/>
      <c r="BI485" s="8"/>
      <c r="BJ485" s="3"/>
      <c r="BK485" s="47"/>
      <c r="BL485" s="47"/>
      <c r="BM485" s="24">
        <f t="shared" si="74"/>
        <v>0</v>
      </c>
      <c r="BN485" s="28">
        <f t="shared" si="68"/>
        <v>-426596.0805000001</v>
      </c>
      <c r="BO485" s="2">
        <v>45518</v>
      </c>
    </row>
    <row r="486" spans="4:67" hidden="1" x14ac:dyDescent="0.25">
      <c r="D486" s="9" t="s">
        <v>32</v>
      </c>
      <c r="E486" s="2">
        <v>45519</v>
      </c>
      <c r="F486" s="38"/>
      <c r="G486" s="51"/>
      <c r="H486" s="4">
        <f t="shared" si="69"/>
        <v>1535.175</v>
      </c>
      <c r="I486" s="5"/>
      <c r="J486" s="4">
        <f t="shared" si="70"/>
        <v>1535.175</v>
      </c>
      <c r="K486" s="4">
        <f t="shared" si="75"/>
        <v>-1158.0550000000087</v>
      </c>
      <c r="L486" s="3"/>
      <c r="M486" s="3"/>
      <c r="N486" s="33">
        <f t="shared" si="71"/>
        <v>0</v>
      </c>
      <c r="O486" s="28">
        <f t="shared" si="76"/>
        <v>-1158.0550000000087</v>
      </c>
      <c r="P486" s="9" t="s">
        <v>32</v>
      </c>
      <c r="Q486" s="2">
        <v>45519</v>
      </c>
      <c r="R486" s="38"/>
      <c r="S486" s="52"/>
      <c r="T486" s="4">
        <f t="shared" si="72"/>
        <v>2337.75</v>
      </c>
      <c r="U486" s="5"/>
      <c r="V486" s="4">
        <f t="shared" si="80"/>
        <v>2337.75</v>
      </c>
      <c r="W486" s="4">
        <f t="shared" si="77"/>
        <v>105085.19500000004</v>
      </c>
      <c r="X486" s="3"/>
      <c r="Y486" s="3"/>
      <c r="Z486" s="25">
        <f t="shared" si="78"/>
        <v>0</v>
      </c>
      <c r="AA486" s="72">
        <f t="shared" si="79"/>
        <v>105085.19500000004</v>
      </c>
      <c r="AB486" s="9" t="s">
        <v>32</v>
      </c>
      <c r="AC486" s="19">
        <v>45519</v>
      </c>
      <c r="AD486" s="41"/>
      <c r="AE486" s="42"/>
      <c r="AF486" s="4">
        <f t="shared" si="67"/>
        <v>4392.4250000000002</v>
      </c>
      <c r="AG486" s="3"/>
      <c r="AH486" s="8"/>
      <c r="AI486" s="4">
        <f t="shared" si="81"/>
        <v>4392.4250000000002</v>
      </c>
      <c r="AJ486" s="4">
        <f t="shared" si="73"/>
        <v>-422203.65550000011</v>
      </c>
      <c r="AK486" s="8"/>
      <c r="AL486" s="8"/>
      <c r="AM486" s="47"/>
      <c r="AN486" s="47"/>
      <c r="AO486" s="8"/>
      <c r="AP486" s="8"/>
      <c r="AQ486" s="47"/>
      <c r="AR486" s="47"/>
      <c r="AS486" s="8"/>
      <c r="AT486" s="8"/>
      <c r="AU486" s="47"/>
      <c r="AV486" s="47"/>
      <c r="AW486" s="8"/>
      <c r="AX486" s="8"/>
      <c r="AY486" s="47"/>
      <c r="AZ486" s="47"/>
      <c r="BA486" s="8"/>
      <c r="BB486" s="8"/>
      <c r="BC486" s="47"/>
      <c r="BD486" s="47"/>
      <c r="BE486" s="8"/>
      <c r="BF486" s="8"/>
      <c r="BG486" s="47"/>
      <c r="BH486" s="47"/>
      <c r="BI486" s="8"/>
      <c r="BJ486" s="3"/>
      <c r="BK486" s="47"/>
      <c r="BL486" s="47"/>
      <c r="BM486" s="24">
        <f t="shared" si="74"/>
        <v>0</v>
      </c>
      <c r="BN486" s="28">
        <f t="shared" si="68"/>
        <v>-422203.65550000011</v>
      </c>
      <c r="BO486" s="2">
        <v>45519</v>
      </c>
    </row>
    <row r="487" spans="4:67" hidden="1" x14ac:dyDescent="0.25">
      <c r="D487" s="9" t="s">
        <v>26</v>
      </c>
      <c r="E487" s="2">
        <v>45520</v>
      </c>
      <c r="F487" s="38"/>
      <c r="G487" s="51"/>
      <c r="H487" s="4">
        <f t="shared" si="69"/>
        <v>2272.2750000000001</v>
      </c>
      <c r="I487" s="5"/>
      <c r="J487" s="4">
        <f t="shared" si="70"/>
        <v>2272.2750000000001</v>
      </c>
      <c r="K487" s="4">
        <f t="shared" si="75"/>
        <v>1114.2199999999914</v>
      </c>
      <c r="L487" s="3"/>
      <c r="M487" s="3"/>
      <c r="N487" s="33">
        <f t="shared" si="71"/>
        <v>0</v>
      </c>
      <c r="O487" s="28">
        <f t="shared" si="76"/>
        <v>1114.2199999999914</v>
      </c>
      <c r="P487" s="9" t="s">
        <v>26</v>
      </c>
      <c r="Q487" s="2">
        <v>45520</v>
      </c>
      <c r="R487" s="38"/>
      <c r="S487" s="52"/>
      <c r="T487" s="4">
        <f t="shared" si="72"/>
        <v>4005.4500000000003</v>
      </c>
      <c r="U487" s="5"/>
      <c r="V487" s="4">
        <f t="shared" si="80"/>
        <v>4005.4500000000003</v>
      </c>
      <c r="W487" s="4">
        <f t="shared" si="77"/>
        <v>109090.64500000003</v>
      </c>
      <c r="X487" s="3"/>
      <c r="Y487" s="3"/>
      <c r="Z487" s="25">
        <f t="shared" si="78"/>
        <v>0</v>
      </c>
      <c r="AA487" s="72">
        <f t="shared" si="79"/>
        <v>109090.64500000003</v>
      </c>
      <c r="AB487" s="9" t="s">
        <v>26</v>
      </c>
      <c r="AC487" s="19">
        <v>45520</v>
      </c>
      <c r="AD487" s="41"/>
      <c r="AE487" s="42"/>
      <c r="AF487" s="4">
        <f t="shared" si="67"/>
        <v>7167.8249999999989</v>
      </c>
      <c r="AG487" s="3"/>
      <c r="AH487" s="8"/>
      <c r="AI487" s="4">
        <f t="shared" si="81"/>
        <v>7167.8249999999989</v>
      </c>
      <c r="AJ487" s="4">
        <f t="shared" si="73"/>
        <v>-415035.8305000001</v>
      </c>
      <c r="AK487" s="8"/>
      <c r="AL487" s="8"/>
      <c r="AM487" s="47"/>
      <c r="AN487" s="47"/>
      <c r="AO487" s="8"/>
      <c r="AP487" s="8"/>
      <c r="AQ487" s="47"/>
      <c r="AR487" s="47"/>
      <c r="AS487" s="8"/>
      <c r="AT487" s="8"/>
      <c r="AU487" s="47"/>
      <c r="AV487" s="47"/>
      <c r="AW487" s="8"/>
      <c r="AX487" s="8"/>
      <c r="AY487" s="47"/>
      <c r="AZ487" s="47"/>
      <c r="BA487" s="8"/>
      <c r="BB487" s="8"/>
      <c r="BC487" s="47"/>
      <c r="BD487" s="47"/>
      <c r="BE487" s="8"/>
      <c r="BF487" s="8"/>
      <c r="BG487" s="47"/>
      <c r="BH487" s="47"/>
      <c r="BI487" s="8"/>
      <c r="BJ487" s="3"/>
      <c r="BK487" s="47"/>
      <c r="BL487" s="47"/>
      <c r="BM487" s="24">
        <f t="shared" si="74"/>
        <v>0</v>
      </c>
      <c r="BN487" s="28">
        <f t="shared" si="68"/>
        <v>-415035.8305000001</v>
      </c>
      <c r="BO487" s="2">
        <v>45520</v>
      </c>
    </row>
    <row r="488" spans="4:67" hidden="1" x14ac:dyDescent="0.25">
      <c r="D488" s="9" t="s">
        <v>27</v>
      </c>
      <c r="E488" s="2">
        <v>45521</v>
      </c>
      <c r="F488" s="38"/>
      <c r="G488" s="51"/>
      <c r="H488" s="4">
        <f t="shared" si="69"/>
        <v>1525.15</v>
      </c>
      <c r="I488" s="5"/>
      <c r="J488" s="4">
        <f t="shared" si="70"/>
        <v>1525.15</v>
      </c>
      <c r="K488" s="4">
        <f t="shared" si="75"/>
        <v>2639.3699999999917</v>
      </c>
      <c r="L488" s="3"/>
      <c r="M488" s="3"/>
      <c r="N488" s="33">
        <f t="shared" si="71"/>
        <v>0</v>
      </c>
      <c r="O488" s="28">
        <f t="shared" si="76"/>
        <v>2639.3699999999917</v>
      </c>
      <c r="P488" s="9" t="s">
        <v>27</v>
      </c>
      <c r="Q488" s="2">
        <v>45521</v>
      </c>
      <c r="R488" s="38"/>
      <c r="S488" s="52"/>
      <c r="T488" s="4">
        <f t="shared" si="72"/>
        <v>1425.6000000000001</v>
      </c>
      <c r="U488" s="5"/>
      <c r="V488" s="4">
        <f t="shared" si="80"/>
        <v>1425.6000000000001</v>
      </c>
      <c r="W488" s="4">
        <f t="shared" si="77"/>
        <v>110516.24500000004</v>
      </c>
      <c r="X488" s="3"/>
      <c r="Y488" s="3"/>
      <c r="Z488" s="25">
        <f t="shared" si="78"/>
        <v>0</v>
      </c>
      <c r="AA488" s="72">
        <f t="shared" si="79"/>
        <v>110516.24500000004</v>
      </c>
      <c r="AB488" s="9" t="s">
        <v>27</v>
      </c>
      <c r="AC488" s="19">
        <v>45521</v>
      </c>
      <c r="AD488" s="41"/>
      <c r="AE488" s="42"/>
      <c r="AF488" s="4">
        <f t="shared" si="67"/>
        <v>3267.5499999999993</v>
      </c>
      <c r="AG488" s="3"/>
      <c r="AH488" s="8"/>
      <c r="AI488" s="4">
        <f t="shared" si="81"/>
        <v>3267.5499999999993</v>
      </c>
      <c r="AJ488" s="4">
        <f t="shared" si="73"/>
        <v>-411768.28050000011</v>
      </c>
      <c r="AK488" s="8"/>
      <c r="AL488" s="8"/>
      <c r="AM488" s="47"/>
      <c r="AN488" s="47"/>
      <c r="AO488" s="8"/>
      <c r="AP488" s="8"/>
      <c r="AQ488" s="47"/>
      <c r="AR488" s="47"/>
      <c r="AS488" s="8"/>
      <c r="AT488" s="8"/>
      <c r="AU488" s="47"/>
      <c r="AV488" s="47"/>
      <c r="AW488" s="8"/>
      <c r="AX488" s="8"/>
      <c r="AY488" s="47"/>
      <c r="AZ488" s="47"/>
      <c r="BA488" s="8"/>
      <c r="BB488" s="8"/>
      <c r="BC488" s="47"/>
      <c r="BD488" s="47"/>
      <c r="BE488" s="8"/>
      <c r="BF488" s="8"/>
      <c r="BG488" s="47"/>
      <c r="BH488" s="47"/>
      <c r="BI488" s="8"/>
      <c r="BJ488" s="3"/>
      <c r="BK488" s="47"/>
      <c r="BL488" s="47"/>
      <c r="BM488" s="24">
        <f t="shared" si="74"/>
        <v>0</v>
      </c>
      <c r="BN488" s="28">
        <f t="shared" si="68"/>
        <v>-411768.28050000011</v>
      </c>
      <c r="BO488" s="2">
        <v>45521</v>
      </c>
    </row>
    <row r="489" spans="4:67" hidden="1" x14ac:dyDescent="0.25">
      <c r="D489" s="9" t="s">
        <v>28</v>
      </c>
      <c r="E489" s="2">
        <v>45522</v>
      </c>
      <c r="F489" s="38"/>
      <c r="G489" s="51"/>
      <c r="H489" s="4">
        <f t="shared" si="69"/>
        <v>2233.6999999999998</v>
      </c>
      <c r="I489" s="5"/>
      <c r="J489" s="4">
        <f t="shared" si="70"/>
        <v>2233.6999999999998</v>
      </c>
      <c r="K489" s="4">
        <f t="shared" si="75"/>
        <v>4873.0699999999915</v>
      </c>
      <c r="L489" s="3"/>
      <c r="M489" s="3"/>
      <c r="N489" s="33">
        <f t="shared" si="71"/>
        <v>0</v>
      </c>
      <c r="O489" s="28">
        <f t="shared" si="76"/>
        <v>4873.0699999999915</v>
      </c>
      <c r="P489" s="9" t="s">
        <v>28</v>
      </c>
      <c r="Q489" s="2">
        <v>45522</v>
      </c>
      <c r="R489" s="38"/>
      <c r="S489" s="52"/>
      <c r="T489" s="4">
        <f t="shared" si="72"/>
        <v>2218.0500000000002</v>
      </c>
      <c r="U489" s="5"/>
      <c r="V489" s="4">
        <f t="shared" si="80"/>
        <v>2218.0500000000002</v>
      </c>
      <c r="W489" s="4">
        <f t="shared" si="77"/>
        <v>112734.29500000004</v>
      </c>
      <c r="X489" s="3"/>
      <c r="Y489" s="3"/>
      <c r="Z489" s="25">
        <f t="shared" si="78"/>
        <v>0</v>
      </c>
      <c r="AA489" s="72">
        <f t="shared" si="79"/>
        <v>112734.29500000004</v>
      </c>
      <c r="AB489" s="9" t="s">
        <v>28</v>
      </c>
      <c r="AC489" s="19">
        <v>45522</v>
      </c>
      <c r="AD489" s="41"/>
      <c r="AE489" s="42"/>
      <c r="AF489" s="4">
        <f t="shared" si="67"/>
        <v>4944.6499999999996</v>
      </c>
      <c r="AG489" s="3"/>
      <c r="AH489" s="8"/>
      <c r="AI489" s="4">
        <f t="shared" si="81"/>
        <v>4944.6499999999996</v>
      </c>
      <c r="AJ489" s="4">
        <f t="shared" si="73"/>
        <v>-406823.63050000009</v>
      </c>
      <c r="AK489" s="8"/>
      <c r="AL489" s="8"/>
      <c r="AM489" s="47"/>
      <c r="AN489" s="47"/>
      <c r="AO489" s="8"/>
      <c r="AP489" s="8"/>
      <c r="AQ489" s="47"/>
      <c r="AR489" s="47"/>
      <c r="AS489" s="8"/>
      <c r="AT489" s="8"/>
      <c r="AU489" s="47"/>
      <c r="AV489" s="47"/>
      <c r="AW489" s="8"/>
      <c r="AX489" s="8"/>
      <c r="AY489" s="47"/>
      <c r="AZ489" s="47"/>
      <c r="BA489" s="8"/>
      <c r="BB489" s="8"/>
      <c r="BC489" s="47"/>
      <c r="BD489" s="47"/>
      <c r="BE489" s="8"/>
      <c r="BF489" s="8"/>
      <c r="BG489" s="47"/>
      <c r="BH489" s="47"/>
      <c r="BI489" s="8"/>
      <c r="BJ489" s="3"/>
      <c r="BK489" s="47"/>
      <c r="BL489" s="47"/>
      <c r="BM489" s="24">
        <f t="shared" si="74"/>
        <v>0</v>
      </c>
      <c r="BN489" s="28">
        <f t="shared" si="68"/>
        <v>-406823.63050000009</v>
      </c>
      <c r="BO489" s="2">
        <v>45522</v>
      </c>
    </row>
    <row r="490" spans="4:67" hidden="1" x14ac:dyDescent="0.25">
      <c r="D490" s="9" t="s">
        <v>29</v>
      </c>
      <c r="E490" s="2">
        <v>45523</v>
      </c>
      <c r="F490" s="38"/>
      <c r="G490" s="51"/>
      <c r="H490" s="4">
        <f t="shared" si="69"/>
        <v>2054.9499999999998</v>
      </c>
      <c r="I490" s="5"/>
      <c r="J490" s="4">
        <f t="shared" si="70"/>
        <v>2054.9499999999998</v>
      </c>
      <c r="K490" s="4">
        <f t="shared" si="75"/>
        <v>6928.0199999999913</v>
      </c>
      <c r="L490" s="3"/>
      <c r="M490" s="3"/>
      <c r="N490" s="33">
        <f t="shared" si="71"/>
        <v>0</v>
      </c>
      <c r="O490" s="28">
        <f t="shared" si="76"/>
        <v>6928.0199999999913</v>
      </c>
      <c r="P490" s="9" t="s">
        <v>29</v>
      </c>
      <c r="Q490" s="2">
        <v>45523</v>
      </c>
      <c r="R490" s="38"/>
      <c r="S490" s="52"/>
      <c r="T490" s="4">
        <f t="shared" si="72"/>
        <v>1258.2</v>
      </c>
      <c r="U490" s="5"/>
      <c r="V490" s="4">
        <f t="shared" si="80"/>
        <v>1258.2</v>
      </c>
      <c r="W490" s="4">
        <f t="shared" si="77"/>
        <v>113992.49500000004</v>
      </c>
      <c r="X490" s="3"/>
      <c r="Y490" s="3"/>
      <c r="Z490" s="25">
        <f t="shared" si="78"/>
        <v>0</v>
      </c>
      <c r="AA490" s="72">
        <f t="shared" si="79"/>
        <v>113992.49500000004</v>
      </c>
      <c r="AB490" s="9" t="s">
        <v>29</v>
      </c>
      <c r="AC490" s="19">
        <v>45523</v>
      </c>
      <c r="AD490" s="41"/>
      <c r="AE490" s="42"/>
      <c r="AF490" s="4">
        <f t="shared" si="67"/>
        <v>3592.75</v>
      </c>
      <c r="AG490" s="3"/>
      <c r="AH490" s="8"/>
      <c r="AI490" s="4">
        <f t="shared" si="81"/>
        <v>3592.75</v>
      </c>
      <c r="AJ490" s="4">
        <f t="shared" si="73"/>
        <v>-403230.88050000009</v>
      </c>
      <c r="AK490" s="8"/>
      <c r="AL490" s="8"/>
      <c r="AM490" s="47"/>
      <c r="AN490" s="47"/>
      <c r="AO490" s="8"/>
      <c r="AP490" s="8"/>
      <c r="AQ490" s="47"/>
      <c r="AR490" s="47"/>
      <c r="AS490" s="8"/>
      <c r="AT490" s="8"/>
      <c r="AU490" s="47"/>
      <c r="AV490" s="47"/>
      <c r="AW490" s="8"/>
      <c r="AX490" s="8"/>
      <c r="AY490" s="47"/>
      <c r="AZ490" s="47"/>
      <c r="BA490" s="8"/>
      <c r="BB490" s="8"/>
      <c r="BC490" s="47"/>
      <c r="BD490" s="47"/>
      <c r="BE490" s="8"/>
      <c r="BF490" s="8"/>
      <c r="BG490" s="47"/>
      <c r="BH490" s="47"/>
      <c r="BI490" s="8"/>
      <c r="BJ490" s="3"/>
      <c r="BK490" s="47"/>
      <c r="BL490" s="47"/>
      <c r="BM490" s="24">
        <f t="shared" si="74"/>
        <v>0</v>
      </c>
      <c r="BN490" s="28">
        <f t="shared" si="68"/>
        <v>-403230.88050000009</v>
      </c>
      <c r="BO490" s="2">
        <v>45523</v>
      </c>
    </row>
    <row r="491" spans="4:67" hidden="1" x14ac:dyDescent="0.25">
      <c r="D491" s="9" t="s">
        <v>30</v>
      </c>
      <c r="E491" s="2">
        <v>45524</v>
      </c>
      <c r="F491" s="38"/>
      <c r="G491" s="51"/>
      <c r="H491" s="4">
        <f t="shared" si="69"/>
        <v>2410.8249999999998</v>
      </c>
      <c r="I491" s="5"/>
      <c r="J491" s="4">
        <f t="shared" si="70"/>
        <v>2410.8249999999998</v>
      </c>
      <c r="K491" s="4">
        <f t="shared" si="75"/>
        <v>9338.8449999999903</v>
      </c>
      <c r="L491" s="3"/>
      <c r="M491" s="3"/>
      <c r="N491" s="33">
        <f t="shared" si="71"/>
        <v>0</v>
      </c>
      <c r="O491" s="28">
        <f t="shared" si="76"/>
        <v>9338.8449999999903</v>
      </c>
      <c r="P491" s="9" t="s">
        <v>30</v>
      </c>
      <c r="Q491" s="2">
        <v>45524</v>
      </c>
      <c r="R491" s="38"/>
      <c r="S491" s="52"/>
      <c r="T491" s="4">
        <f t="shared" si="72"/>
        <v>3274.65</v>
      </c>
      <c r="U491" s="5"/>
      <c r="V491" s="4">
        <f t="shared" si="80"/>
        <v>3274.65</v>
      </c>
      <c r="W491" s="4">
        <f t="shared" si="77"/>
        <v>117267.14500000003</v>
      </c>
      <c r="X491" s="3"/>
      <c r="Y491" s="3"/>
      <c r="Z491" s="25">
        <f t="shared" si="78"/>
        <v>0</v>
      </c>
      <c r="AA491" s="72">
        <f t="shared" si="79"/>
        <v>117267.14500000003</v>
      </c>
      <c r="AB491" s="9" t="s">
        <v>30</v>
      </c>
      <c r="AC491" s="19">
        <v>45524</v>
      </c>
      <c r="AD491" s="41"/>
      <c r="AE491" s="42"/>
      <c r="AF491" s="4">
        <f t="shared" si="67"/>
        <v>6413.1750000000011</v>
      </c>
      <c r="AG491" s="3"/>
      <c r="AH491" s="8"/>
      <c r="AI491" s="4">
        <f t="shared" si="81"/>
        <v>6413.1750000000011</v>
      </c>
      <c r="AJ491" s="4">
        <f t="shared" si="73"/>
        <v>-396817.7055000001</v>
      </c>
      <c r="AK491" s="8"/>
      <c r="AL491" s="8"/>
      <c r="AM491" s="47"/>
      <c r="AN491" s="47"/>
      <c r="AO491" s="8"/>
      <c r="AP491" s="8"/>
      <c r="AQ491" s="47"/>
      <c r="AR491" s="47"/>
      <c r="AS491" s="8"/>
      <c r="AT491" s="8"/>
      <c r="AU491" s="47"/>
      <c r="AV491" s="47"/>
      <c r="AW491" s="8"/>
      <c r="AX491" s="8"/>
      <c r="AY491" s="47"/>
      <c r="AZ491" s="47"/>
      <c r="BA491" s="8"/>
      <c r="BB491" s="8"/>
      <c r="BC491" s="47"/>
      <c r="BD491" s="47"/>
      <c r="BE491" s="8"/>
      <c r="BF491" s="8"/>
      <c r="BG491" s="47"/>
      <c r="BH491" s="47"/>
      <c r="BI491" s="8"/>
      <c r="BJ491" s="3"/>
      <c r="BK491" s="47"/>
      <c r="BL491" s="47"/>
      <c r="BM491" s="24">
        <f t="shared" si="74"/>
        <v>0</v>
      </c>
      <c r="BN491" s="28">
        <f t="shared" si="68"/>
        <v>-396817.7055000001</v>
      </c>
      <c r="BO491" s="2">
        <v>45524</v>
      </c>
    </row>
    <row r="492" spans="4:67" hidden="1" x14ac:dyDescent="0.25">
      <c r="D492" s="9" t="s">
        <v>31</v>
      </c>
      <c r="E492" s="2">
        <v>45525</v>
      </c>
      <c r="F492" s="38"/>
      <c r="G492" s="51"/>
      <c r="H492" s="4">
        <f t="shared" si="69"/>
        <v>1680.9</v>
      </c>
      <c r="I492" s="5"/>
      <c r="J492" s="4">
        <f t="shared" si="70"/>
        <v>1680.9</v>
      </c>
      <c r="K492" s="4">
        <f t="shared" si="75"/>
        <v>11019.74499999999</v>
      </c>
      <c r="L492" s="3"/>
      <c r="M492" s="3"/>
      <c r="N492" s="33">
        <f t="shared" si="71"/>
        <v>0</v>
      </c>
      <c r="O492" s="28">
        <f t="shared" si="76"/>
        <v>11019.74499999999</v>
      </c>
      <c r="P492" s="9" t="s">
        <v>31</v>
      </c>
      <c r="Q492" s="2">
        <v>45525</v>
      </c>
      <c r="R492" s="38"/>
      <c r="S492" s="52"/>
      <c r="T492" s="4">
        <f t="shared" si="72"/>
        <v>2386.8000000000002</v>
      </c>
      <c r="U492" s="5"/>
      <c r="V492" s="4">
        <f t="shared" si="80"/>
        <v>2386.8000000000002</v>
      </c>
      <c r="W492" s="4">
        <f t="shared" si="77"/>
        <v>119653.94500000004</v>
      </c>
      <c r="X492" s="3"/>
      <c r="Y492" s="3"/>
      <c r="Z492" s="25">
        <f t="shared" si="78"/>
        <v>0</v>
      </c>
      <c r="AA492" s="72">
        <f t="shared" si="79"/>
        <v>119653.94500000004</v>
      </c>
      <c r="AB492" s="9" t="s">
        <v>31</v>
      </c>
      <c r="AC492" s="19">
        <v>45525</v>
      </c>
      <c r="AD492" s="41"/>
      <c r="AE492" s="42"/>
      <c r="AF492" s="4">
        <f t="shared" si="67"/>
        <v>4598.0999999999995</v>
      </c>
      <c r="AG492" s="3"/>
      <c r="AH492" s="8"/>
      <c r="AI492" s="4">
        <f t="shared" si="81"/>
        <v>4598.0999999999995</v>
      </c>
      <c r="AJ492" s="4">
        <f t="shared" si="73"/>
        <v>-392219.60550000012</v>
      </c>
      <c r="AK492" s="8"/>
      <c r="AL492" s="8"/>
      <c r="AM492" s="47"/>
      <c r="AN492" s="47"/>
      <c r="AO492" s="8"/>
      <c r="AP492" s="8"/>
      <c r="AQ492" s="47"/>
      <c r="AR492" s="47"/>
      <c r="AS492" s="8"/>
      <c r="AT492" s="8"/>
      <c r="AU492" s="47"/>
      <c r="AV492" s="47"/>
      <c r="AW492" s="8"/>
      <c r="AX492" s="8"/>
      <c r="AY492" s="47"/>
      <c r="AZ492" s="47"/>
      <c r="BA492" s="8"/>
      <c r="BB492" s="8"/>
      <c r="BC492" s="47"/>
      <c r="BD492" s="47"/>
      <c r="BE492" s="8"/>
      <c r="BF492" s="8"/>
      <c r="BG492" s="47"/>
      <c r="BH492" s="47"/>
      <c r="BI492" s="8"/>
      <c r="BJ492" s="3"/>
      <c r="BK492" s="47"/>
      <c r="BL492" s="47"/>
      <c r="BM492" s="24">
        <f t="shared" si="74"/>
        <v>0</v>
      </c>
      <c r="BN492" s="28">
        <f t="shared" si="68"/>
        <v>-392219.60550000012</v>
      </c>
      <c r="BO492" s="2">
        <v>45525</v>
      </c>
    </row>
    <row r="493" spans="4:67" hidden="1" x14ac:dyDescent="0.25">
      <c r="D493" s="9" t="s">
        <v>32</v>
      </c>
      <c r="E493" s="2">
        <v>45526</v>
      </c>
      <c r="F493" s="38"/>
      <c r="G493" s="51"/>
      <c r="H493" s="4">
        <f t="shared" si="69"/>
        <v>1904.65</v>
      </c>
      <c r="I493" s="5"/>
      <c r="J493" s="4">
        <f t="shared" si="70"/>
        <v>1904.65</v>
      </c>
      <c r="K493" s="4">
        <f t="shared" si="75"/>
        <v>12924.39499999999</v>
      </c>
      <c r="L493" s="3"/>
      <c r="M493" s="3"/>
      <c r="N493" s="33">
        <f t="shared" si="71"/>
        <v>0</v>
      </c>
      <c r="O493" s="28">
        <f t="shared" si="76"/>
        <v>12924.39499999999</v>
      </c>
      <c r="P493" s="9" t="s">
        <v>32</v>
      </c>
      <c r="Q493" s="2">
        <v>45526</v>
      </c>
      <c r="R493" s="38"/>
      <c r="S493" s="52"/>
      <c r="T493" s="4">
        <f t="shared" si="72"/>
        <v>2433.6</v>
      </c>
      <c r="U493" s="5"/>
      <c r="V493" s="4">
        <f t="shared" si="80"/>
        <v>2433.6</v>
      </c>
      <c r="W493" s="4">
        <f t="shared" si="77"/>
        <v>122087.54500000004</v>
      </c>
      <c r="X493" s="3"/>
      <c r="Y493" s="3"/>
      <c r="Z493" s="25">
        <f t="shared" si="78"/>
        <v>0</v>
      </c>
      <c r="AA493" s="72">
        <f t="shared" si="79"/>
        <v>122087.54500000004</v>
      </c>
      <c r="AB493" s="9" t="s">
        <v>32</v>
      </c>
      <c r="AC493" s="19">
        <v>45526</v>
      </c>
      <c r="AD493" s="41"/>
      <c r="AE493" s="42"/>
      <c r="AF493" s="4">
        <f t="shared" si="67"/>
        <v>4879.0499999999993</v>
      </c>
      <c r="AG493" s="3"/>
      <c r="AH493" s="8"/>
      <c r="AI493" s="4">
        <f t="shared" si="81"/>
        <v>4879.0499999999993</v>
      </c>
      <c r="AJ493" s="4">
        <f t="shared" si="73"/>
        <v>-387340.55550000013</v>
      </c>
      <c r="AK493" s="8"/>
      <c r="AL493" s="8"/>
      <c r="AM493" s="47"/>
      <c r="AN493" s="47"/>
      <c r="AO493" s="8"/>
      <c r="AP493" s="8"/>
      <c r="AQ493" s="47"/>
      <c r="AR493" s="47"/>
      <c r="AS493" s="8"/>
      <c r="AT493" s="8"/>
      <c r="AU493" s="47"/>
      <c r="AV493" s="47"/>
      <c r="AW493" s="8"/>
      <c r="AX493" s="8"/>
      <c r="AY493" s="47"/>
      <c r="AZ493" s="47"/>
      <c r="BA493" s="8"/>
      <c r="BB493" s="8"/>
      <c r="BC493" s="47"/>
      <c r="BD493" s="47"/>
      <c r="BE493" s="8"/>
      <c r="BF493" s="8"/>
      <c r="BG493" s="47"/>
      <c r="BH493" s="47"/>
      <c r="BI493" s="8"/>
      <c r="BJ493" s="3"/>
      <c r="BK493" s="47"/>
      <c r="BL493" s="47"/>
      <c r="BM493" s="24">
        <f t="shared" si="74"/>
        <v>0</v>
      </c>
      <c r="BN493" s="28">
        <f t="shared" si="68"/>
        <v>-387340.55550000013</v>
      </c>
      <c r="BO493" s="2">
        <v>45526</v>
      </c>
    </row>
    <row r="494" spans="4:67" hidden="1" x14ac:dyDescent="0.25">
      <c r="D494" s="9" t="s">
        <v>26</v>
      </c>
      <c r="E494" s="2">
        <v>45527</v>
      </c>
      <c r="F494" s="38"/>
      <c r="G494" s="51"/>
      <c r="H494" s="4">
        <f t="shared" si="69"/>
        <v>1808.375</v>
      </c>
      <c r="I494" s="5"/>
      <c r="J494" s="4">
        <f t="shared" si="70"/>
        <v>1808.375</v>
      </c>
      <c r="K494" s="4">
        <f t="shared" si="75"/>
        <v>14732.76999999999</v>
      </c>
      <c r="L494" s="3"/>
      <c r="M494" s="3"/>
      <c r="N494" s="33">
        <f t="shared" si="71"/>
        <v>0</v>
      </c>
      <c r="O494" s="28">
        <f t="shared" si="76"/>
        <v>14732.76999999999</v>
      </c>
      <c r="P494" s="9" t="s">
        <v>26</v>
      </c>
      <c r="Q494" s="2">
        <v>45527</v>
      </c>
      <c r="R494" s="38"/>
      <c r="S494" s="52"/>
      <c r="T494" s="4">
        <f t="shared" si="72"/>
        <v>1474.2</v>
      </c>
      <c r="U494" s="5"/>
      <c r="V494" s="4">
        <f t="shared" si="80"/>
        <v>1474.2</v>
      </c>
      <c r="W494" s="4">
        <f t="shared" si="77"/>
        <v>123561.74500000004</v>
      </c>
      <c r="X494" s="3"/>
      <c r="Y494" s="3"/>
      <c r="Z494" s="25">
        <f t="shared" si="78"/>
        <v>0</v>
      </c>
      <c r="AA494" s="72">
        <f t="shared" si="79"/>
        <v>123561.74500000004</v>
      </c>
      <c r="AB494" s="9" t="s">
        <v>26</v>
      </c>
      <c r="AC494" s="19">
        <v>45527</v>
      </c>
      <c r="AD494" s="41"/>
      <c r="AE494" s="42"/>
      <c r="AF494" s="4">
        <f t="shared" si="67"/>
        <v>3610.1750000000002</v>
      </c>
      <c r="AG494" s="3"/>
      <c r="AH494" s="8"/>
      <c r="AI494" s="4">
        <f t="shared" si="81"/>
        <v>3610.1750000000002</v>
      </c>
      <c r="AJ494" s="4">
        <f t="shared" si="73"/>
        <v>-383730.38050000014</v>
      </c>
      <c r="AK494" s="8"/>
      <c r="AL494" s="8"/>
      <c r="AM494" s="47"/>
      <c r="AN494" s="47"/>
      <c r="AO494" s="8"/>
      <c r="AP494" s="8"/>
      <c r="AQ494" s="47"/>
      <c r="AR494" s="47"/>
      <c r="AS494" s="8"/>
      <c r="AT494" s="8"/>
      <c r="AU494" s="47"/>
      <c r="AV494" s="47"/>
      <c r="AW494" s="8"/>
      <c r="AX494" s="8"/>
      <c r="AY494" s="47"/>
      <c r="AZ494" s="47"/>
      <c r="BA494" s="8"/>
      <c r="BB494" s="8"/>
      <c r="BC494" s="47"/>
      <c r="BD494" s="47"/>
      <c r="BE494" s="8"/>
      <c r="BF494" s="8"/>
      <c r="BG494" s="47"/>
      <c r="BH494" s="47"/>
      <c r="BI494" s="8"/>
      <c r="BJ494" s="3"/>
      <c r="BK494" s="47"/>
      <c r="BL494" s="47"/>
      <c r="BM494" s="24">
        <f t="shared" si="74"/>
        <v>0</v>
      </c>
      <c r="BN494" s="28">
        <f t="shared" si="68"/>
        <v>-383730.38050000014</v>
      </c>
      <c r="BO494" s="2">
        <v>45527</v>
      </c>
    </row>
    <row r="495" spans="4:67" hidden="1" x14ac:dyDescent="0.25">
      <c r="D495" s="9" t="s">
        <v>27</v>
      </c>
      <c r="E495" s="2">
        <v>45528</v>
      </c>
      <c r="F495" s="38"/>
      <c r="G495" s="51"/>
      <c r="H495" s="4">
        <f t="shared" si="69"/>
        <v>2398.75</v>
      </c>
      <c r="I495" s="5"/>
      <c r="J495" s="4">
        <f t="shared" si="70"/>
        <v>2398.75</v>
      </c>
      <c r="K495" s="4">
        <f t="shared" si="75"/>
        <v>17131.51999999999</v>
      </c>
      <c r="L495" s="3"/>
      <c r="M495" s="3"/>
      <c r="N495" s="33">
        <f t="shared" si="71"/>
        <v>0</v>
      </c>
      <c r="O495" s="28">
        <f t="shared" si="76"/>
        <v>17131.51999999999</v>
      </c>
      <c r="P495" s="9" t="s">
        <v>27</v>
      </c>
      <c r="Q495" s="2">
        <v>45528</v>
      </c>
      <c r="R495" s="38"/>
      <c r="S495" s="52"/>
      <c r="T495" s="4">
        <f t="shared" si="72"/>
        <v>3794.4</v>
      </c>
      <c r="U495" s="5"/>
      <c r="V495" s="4">
        <f t="shared" si="80"/>
        <v>3794.4</v>
      </c>
      <c r="W495" s="4">
        <f t="shared" si="77"/>
        <v>127356.14500000003</v>
      </c>
      <c r="X495" s="3"/>
      <c r="Y495" s="3"/>
      <c r="Z495" s="25">
        <f t="shared" si="78"/>
        <v>0</v>
      </c>
      <c r="AA495" s="72">
        <f t="shared" si="79"/>
        <v>127356.14500000003</v>
      </c>
      <c r="AB495" s="9" t="s">
        <v>27</v>
      </c>
      <c r="AC495" s="19">
        <v>45528</v>
      </c>
      <c r="AD495" s="41"/>
      <c r="AE495" s="42"/>
      <c r="AF495" s="4">
        <f t="shared" si="67"/>
        <v>7036.35</v>
      </c>
      <c r="AG495" s="3"/>
      <c r="AH495" s="8"/>
      <c r="AI495" s="4">
        <f t="shared" si="81"/>
        <v>7036.35</v>
      </c>
      <c r="AJ495" s="4">
        <f t="shared" si="73"/>
        <v>-376694.03050000017</v>
      </c>
      <c r="AK495" s="8"/>
      <c r="AL495" s="8"/>
      <c r="AM495" s="48"/>
      <c r="AN495" s="47"/>
      <c r="AO495" s="8"/>
      <c r="AP495" s="8"/>
      <c r="AQ495" s="47"/>
      <c r="AR495" s="47"/>
      <c r="AS495" s="8"/>
      <c r="AT495" s="8"/>
      <c r="AU495" s="47"/>
      <c r="AV495" s="47"/>
      <c r="AW495" s="8"/>
      <c r="AX495" s="8"/>
      <c r="AY495" s="47"/>
      <c r="AZ495" s="47"/>
      <c r="BA495" s="8"/>
      <c r="BB495" s="8"/>
      <c r="BC495" s="47"/>
      <c r="BD495" s="47"/>
      <c r="BE495" s="8"/>
      <c r="BF495" s="8"/>
      <c r="BG495" s="47"/>
      <c r="BH495" s="47"/>
      <c r="BI495" s="8"/>
      <c r="BJ495" s="3"/>
      <c r="BK495" s="47"/>
      <c r="BL495" s="47"/>
      <c r="BM495" s="24">
        <f t="shared" si="74"/>
        <v>0</v>
      </c>
      <c r="BN495" s="28">
        <f t="shared" si="68"/>
        <v>-376694.03050000017</v>
      </c>
      <c r="BO495" s="2">
        <v>45528</v>
      </c>
    </row>
    <row r="496" spans="4:67" hidden="1" x14ac:dyDescent="0.25">
      <c r="D496" s="9" t="s">
        <v>28</v>
      </c>
      <c r="E496" s="2">
        <v>45529</v>
      </c>
      <c r="F496" s="38"/>
      <c r="G496" s="51"/>
      <c r="H496" s="4">
        <f t="shared" si="69"/>
        <v>1767.375</v>
      </c>
      <c r="I496" s="5"/>
      <c r="J496" s="4">
        <f t="shared" si="70"/>
        <v>1767.375</v>
      </c>
      <c r="K496" s="4">
        <f t="shared" si="75"/>
        <v>18898.89499999999</v>
      </c>
      <c r="L496" s="3"/>
      <c r="M496" s="3"/>
      <c r="N496" s="33">
        <f t="shared" si="71"/>
        <v>0</v>
      </c>
      <c r="O496" s="28">
        <f t="shared" si="76"/>
        <v>18898.89499999999</v>
      </c>
      <c r="P496" s="9" t="s">
        <v>28</v>
      </c>
      <c r="Q496" s="2">
        <v>45529</v>
      </c>
      <c r="R496" s="38"/>
      <c r="S496" s="52"/>
      <c r="T496" s="4">
        <f t="shared" si="72"/>
        <v>4094.1</v>
      </c>
      <c r="U496" s="5"/>
      <c r="V496" s="4">
        <f t="shared" si="80"/>
        <v>4094.1</v>
      </c>
      <c r="W496" s="4">
        <f t="shared" si="77"/>
        <v>131450.24500000002</v>
      </c>
      <c r="X496" s="3"/>
      <c r="Y496" s="3"/>
      <c r="Z496" s="25">
        <f t="shared" si="78"/>
        <v>0</v>
      </c>
      <c r="AA496" s="72">
        <f t="shared" si="79"/>
        <v>131450.24500000002</v>
      </c>
      <c r="AB496" s="9" t="s">
        <v>28</v>
      </c>
      <c r="AC496" s="19">
        <v>45529</v>
      </c>
      <c r="AD496" s="41"/>
      <c r="AE496" s="42"/>
      <c r="AF496" s="4">
        <f t="shared" si="67"/>
        <v>6771.2749999999996</v>
      </c>
      <c r="AG496" s="3"/>
      <c r="AH496" s="8"/>
      <c r="AI496" s="4">
        <f t="shared" si="81"/>
        <v>6771.2749999999996</v>
      </c>
      <c r="AJ496" s="4">
        <f t="shared" si="73"/>
        <v>-369922.75550000014</v>
      </c>
      <c r="AK496" s="8"/>
      <c r="AL496" s="8"/>
      <c r="AM496" s="47"/>
      <c r="AN496" s="47"/>
      <c r="AO496" s="8"/>
      <c r="AP496" s="8"/>
      <c r="AQ496" s="47"/>
      <c r="AR496" s="47"/>
      <c r="AS496" s="8"/>
      <c r="AT496" s="8"/>
      <c r="AU496" s="47"/>
      <c r="AV496" s="47"/>
      <c r="AW496" s="8"/>
      <c r="AX496" s="8"/>
      <c r="AY496" s="47"/>
      <c r="AZ496" s="47"/>
      <c r="BA496" s="8"/>
      <c r="BB496" s="8"/>
      <c r="BC496" s="47"/>
      <c r="BD496" s="47"/>
      <c r="BE496" s="8"/>
      <c r="BF496" s="8"/>
      <c r="BG496" s="47"/>
      <c r="BH496" s="47"/>
      <c r="BI496" s="8"/>
      <c r="BJ496" s="3"/>
      <c r="BK496" s="47"/>
      <c r="BL496" s="47"/>
      <c r="BM496" s="24">
        <f t="shared" si="74"/>
        <v>0</v>
      </c>
      <c r="BN496" s="28">
        <f t="shared" si="68"/>
        <v>-369922.75550000014</v>
      </c>
      <c r="BO496" s="2">
        <v>45529</v>
      </c>
    </row>
    <row r="497" spans="4:67" hidden="1" x14ac:dyDescent="0.25">
      <c r="D497" s="9" t="s">
        <v>29</v>
      </c>
      <c r="E497" s="2">
        <v>45530</v>
      </c>
      <c r="F497" s="38"/>
      <c r="G497" s="51"/>
      <c r="H497" s="4">
        <f t="shared" si="69"/>
        <v>2821.9250000000002</v>
      </c>
      <c r="I497" s="5"/>
      <c r="J497" s="4">
        <f t="shared" si="70"/>
        <v>2821.9250000000002</v>
      </c>
      <c r="K497" s="4">
        <f t="shared" si="75"/>
        <v>21720.819999999989</v>
      </c>
      <c r="L497" s="3"/>
      <c r="M497" s="3"/>
      <c r="N497" s="33">
        <f t="shared" si="71"/>
        <v>0</v>
      </c>
      <c r="O497" s="28">
        <f t="shared" si="76"/>
        <v>21720.819999999989</v>
      </c>
      <c r="P497" s="9" t="s">
        <v>29</v>
      </c>
      <c r="Q497" s="2">
        <v>45530</v>
      </c>
      <c r="R497" s="38"/>
      <c r="S497" s="52"/>
      <c r="T497" s="4">
        <f t="shared" si="72"/>
        <v>3263.4</v>
      </c>
      <c r="U497" s="5"/>
      <c r="V497" s="4">
        <f t="shared" si="80"/>
        <v>3263.4</v>
      </c>
      <c r="W497" s="4">
        <f t="shared" si="77"/>
        <v>134713.64500000002</v>
      </c>
      <c r="X497" s="3"/>
      <c r="Y497" s="3"/>
      <c r="Z497" s="25">
        <f t="shared" si="78"/>
        <v>0</v>
      </c>
      <c r="AA497" s="72">
        <f t="shared" si="79"/>
        <v>134713.64500000002</v>
      </c>
      <c r="AB497" s="9" t="s">
        <v>29</v>
      </c>
      <c r="AC497" s="19">
        <v>45530</v>
      </c>
      <c r="AD497" s="41"/>
      <c r="AE497" s="42"/>
      <c r="AF497" s="4">
        <f t="shared" si="67"/>
        <v>6810.5249999999996</v>
      </c>
      <c r="AG497" s="3"/>
      <c r="AH497" s="8"/>
      <c r="AI497" s="4">
        <f t="shared" si="81"/>
        <v>6810.5249999999996</v>
      </c>
      <c r="AJ497" s="4">
        <f t="shared" si="73"/>
        <v>-363112.23050000012</v>
      </c>
      <c r="AK497" s="8"/>
      <c r="AL497" s="8"/>
      <c r="AM497" s="47"/>
      <c r="AN497" s="47"/>
      <c r="AO497" s="8"/>
      <c r="AP497" s="8"/>
      <c r="AQ497" s="47"/>
      <c r="AR497" s="47"/>
      <c r="AS497" s="8"/>
      <c r="AT497" s="8"/>
      <c r="AU497" s="47"/>
      <c r="AV497" s="47"/>
      <c r="AW497" s="8"/>
      <c r="AX497" s="8"/>
      <c r="AY497" s="47"/>
      <c r="AZ497" s="47"/>
      <c r="BA497" s="8"/>
      <c r="BB497" s="8"/>
      <c r="BC497" s="47"/>
      <c r="BD497" s="47"/>
      <c r="BE497" s="8"/>
      <c r="BF497" s="8"/>
      <c r="BG497" s="47"/>
      <c r="BH497" s="47"/>
      <c r="BI497" s="8"/>
      <c r="BJ497" s="3"/>
      <c r="BK497" s="47"/>
      <c r="BL497" s="47"/>
      <c r="BM497" s="24">
        <f t="shared" si="74"/>
        <v>0</v>
      </c>
      <c r="BN497" s="28">
        <f t="shared" si="68"/>
        <v>-363112.23050000012</v>
      </c>
      <c r="BO497" s="2">
        <v>45530</v>
      </c>
    </row>
    <row r="498" spans="4:67" hidden="1" x14ac:dyDescent="0.25">
      <c r="D498" s="9" t="s">
        <v>30</v>
      </c>
      <c r="E498" s="2">
        <v>45531</v>
      </c>
      <c r="F498" s="38"/>
      <c r="G498" s="51"/>
      <c r="H498" s="4">
        <f t="shared" si="69"/>
        <v>1360.825</v>
      </c>
      <c r="I498" s="5"/>
      <c r="J498" s="4">
        <f t="shared" si="70"/>
        <v>1360.825</v>
      </c>
      <c r="K498" s="4">
        <f t="shared" si="75"/>
        <v>23081.64499999999</v>
      </c>
      <c r="L498" s="3"/>
      <c r="M498" s="3"/>
      <c r="N498" s="33">
        <f t="shared" si="71"/>
        <v>0</v>
      </c>
      <c r="O498" s="28">
        <f t="shared" si="76"/>
        <v>23081.64499999999</v>
      </c>
      <c r="P498" s="9" t="s">
        <v>30</v>
      </c>
      <c r="Q498" s="2">
        <v>45531</v>
      </c>
      <c r="R498" s="38"/>
      <c r="S498" s="52"/>
      <c r="T498" s="4">
        <f t="shared" si="72"/>
        <v>3749.4</v>
      </c>
      <c r="U498" s="5"/>
      <c r="V498" s="4">
        <f t="shared" si="80"/>
        <v>3749.4</v>
      </c>
      <c r="W498" s="4">
        <f t="shared" si="77"/>
        <v>138463.04500000001</v>
      </c>
      <c r="X498" s="3"/>
      <c r="Y498" s="3"/>
      <c r="Z498" s="25">
        <f t="shared" si="78"/>
        <v>0</v>
      </c>
      <c r="AA498" s="72">
        <f t="shared" si="79"/>
        <v>138463.04500000001</v>
      </c>
      <c r="AB498" s="9" t="s">
        <v>30</v>
      </c>
      <c r="AC498" s="19">
        <v>45531</v>
      </c>
      <c r="AD498" s="41"/>
      <c r="AE498" s="42"/>
      <c r="AF498" s="4">
        <f t="shared" si="67"/>
        <v>5943.4249999999993</v>
      </c>
      <c r="AG498" s="3"/>
      <c r="AH498" s="8"/>
      <c r="AI498" s="4">
        <f t="shared" si="81"/>
        <v>5943.4249999999993</v>
      </c>
      <c r="AJ498" s="4">
        <f t="shared" si="73"/>
        <v>-357168.80550000013</v>
      </c>
      <c r="AK498" s="8"/>
      <c r="AL498" s="8"/>
      <c r="AM498" s="47"/>
      <c r="AN498" s="47"/>
      <c r="AO498" s="8"/>
      <c r="AP498" s="8"/>
      <c r="AQ498" s="47"/>
      <c r="AR498" s="47"/>
      <c r="AS498" s="8"/>
      <c r="AT498" s="8"/>
      <c r="AU498" s="47"/>
      <c r="AV498" s="47"/>
      <c r="AW498" s="8"/>
      <c r="AX498" s="8"/>
      <c r="AY498" s="47"/>
      <c r="AZ498" s="47"/>
      <c r="BA498" s="8"/>
      <c r="BB498" s="8"/>
      <c r="BC498" s="47"/>
      <c r="BD498" s="47"/>
      <c r="BE498" s="8"/>
      <c r="BF498" s="8"/>
      <c r="BG498" s="47"/>
      <c r="BH498" s="47"/>
      <c r="BI498" s="8"/>
      <c r="BJ498" s="3"/>
      <c r="BK498" s="47"/>
      <c r="BL498" s="47"/>
      <c r="BM498" s="24">
        <f t="shared" si="74"/>
        <v>0</v>
      </c>
      <c r="BN498" s="28">
        <f t="shared" si="68"/>
        <v>-357168.80550000013</v>
      </c>
      <c r="BO498" s="2">
        <v>45531</v>
      </c>
    </row>
    <row r="499" spans="4:67" hidden="1" x14ac:dyDescent="0.25">
      <c r="D499" s="9" t="s">
        <v>31</v>
      </c>
      <c r="E499" s="2">
        <v>45532</v>
      </c>
      <c r="F499" s="38"/>
      <c r="G499" s="51"/>
      <c r="H499" s="4">
        <f t="shared" si="69"/>
        <v>1852.35</v>
      </c>
      <c r="I499" s="5"/>
      <c r="J499" s="4">
        <f t="shared" si="70"/>
        <v>1852.35</v>
      </c>
      <c r="K499" s="4">
        <f t="shared" si="75"/>
        <v>24933.994999999988</v>
      </c>
      <c r="L499" s="3"/>
      <c r="M499" s="3"/>
      <c r="N499" s="33">
        <f t="shared" si="71"/>
        <v>0</v>
      </c>
      <c r="O499" s="28">
        <f t="shared" si="76"/>
        <v>24933.994999999988</v>
      </c>
      <c r="P499" s="9" t="s">
        <v>31</v>
      </c>
      <c r="Q499" s="2">
        <v>45532</v>
      </c>
      <c r="R499" s="38"/>
      <c r="S499" s="52"/>
      <c r="T499" s="4">
        <f t="shared" si="72"/>
        <v>3600</v>
      </c>
      <c r="U499" s="5"/>
      <c r="V499" s="4">
        <f t="shared" si="80"/>
        <v>3600</v>
      </c>
      <c r="W499" s="4">
        <f t="shared" si="77"/>
        <v>142063.04500000001</v>
      </c>
      <c r="X499" s="3"/>
      <c r="Y499" s="3"/>
      <c r="Z499" s="25">
        <f t="shared" si="78"/>
        <v>0</v>
      </c>
      <c r="AA499" s="72">
        <f t="shared" si="79"/>
        <v>142063.04500000001</v>
      </c>
      <c r="AB499" s="9" t="s">
        <v>31</v>
      </c>
      <c r="AC499" s="19">
        <v>45532</v>
      </c>
      <c r="AD499" s="41"/>
      <c r="AE499" s="42"/>
      <c r="AF499" s="4">
        <f t="shared" si="67"/>
        <v>6252.35</v>
      </c>
      <c r="AG499" s="3"/>
      <c r="AH499" s="8"/>
      <c r="AI499" s="4">
        <f t="shared" si="81"/>
        <v>6252.35</v>
      </c>
      <c r="AJ499" s="4">
        <f t="shared" si="73"/>
        <v>-350916.45550000016</v>
      </c>
      <c r="AK499" s="8"/>
      <c r="AL499" s="8"/>
      <c r="AM499" s="47"/>
      <c r="AN499" s="47"/>
      <c r="AO499" s="8"/>
      <c r="AP499" s="8"/>
      <c r="AQ499" s="47"/>
      <c r="AR499" s="47"/>
      <c r="AS499" s="8"/>
      <c r="AT499" s="8"/>
      <c r="AU499" s="47"/>
      <c r="AV499" s="47"/>
      <c r="AW499" s="8"/>
      <c r="AX499" s="8"/>
      <c r="AY499" s="47"/>
      <c r="AZ499" s="47"/>
      <c r="BA499" s="8"/>
      <c r="BB499" s="8"/>
      <c r="BC499" s="47"/>
      <c r="BD499" s="47"/>
      <c r="BE499" s="8"/>
      <c r="BF499" s="8"/>
      <c r="BG499" s="47"/>
      <c r="BH499" s="47"/>
      <c r="BI499" s="8"/>
      <c r="BJ499" s="3"/>
      <c r="BK499" s="47"/>
      <c r="BL499" s="47"/>
      <c r="BM499" s="24">
        <f t="shared" si="74"/>
        <v>0</v>
      </c>
      <c r="BN499" s="28">
        <f t="shared" si="68"/>
        <v>-350916.45550000016</v>
      </c>
      <c r="BO499" s="2">
        <v>45532</v>
      </c>
    </row>
    <row r="500" spans="4:67" hidden="1" x14ac:dyDescent="0.25">
      <c r="D500" s="9" t="s">
        <v>32</v>
      </c>
      <c r="E500" s="2">
        <v>45533</v>
      </c>
      <c r="F500" s="38"/>
      <c r="G500" s="51"/>
      <c r="H500" s="4">
        <f t="shared" si="69"/>
        <v>1524.8</v>
      </c>
      <c r="I500" s="5"/>
      <c r="J500" s="4">
        <f t="shared" si="70"/>
        <v>1524.8</v>
      </c>
      <c r="K500" s="4">
        <f t="shared" si="75"/>
        <v>26458.794999999987</v>
      </c>
      <c r="L500" s="3"/>
      <c r="M500" s="3"/>
      <c r="N500" s="33">
        <f t="shared" si="71"/>
        <v>0</v>
      </c>
      <c r="O500" s="28">
        <f t="shared" si="76"/>
        <v>26458.794999999987</v>
      </c>
      <c r="P500" s="9" t="s">
        <v>32</v>
      </c>
      <c r="Q500" s="2">
        <v>45533</v>
      </c>
      <c r="R500" s="38"/>
      <c r="S500" s="52"/>
      <c r="T500" s="4">
        <f t="shared" si="72"/>
        <v>3600</v>
      </c>
      <c r="U500" s="5"/>
      <c r="V500" s="4">
        <f t="shared" si="80"/>
        <v>3600</v>
      </c>
      <c r="W500" s="4">
        <f t="shared" si="77"/>
        <v>145663.04500000001</v>
      </c>
      <c r="X500" s="3"/>
      <c r="Y500" s="3"/>
      <c r="Z500" s="25">
        <f t="shared" si="78"/>
        <v>0</v>
      </c>
      <c r="AA500" s="72">
        <f t="shared" si="79"/>
        <v>145663.04500000001</v>
      </c>
      <c r="AB500" s="9" t="s">
        <v>32</v>
      </c>
      <c r="AC500" s="19">
        <v>45533</v>
      </c>
      <c r="AD500" s="41"/>
      <c r="AE500" s="42"/>
      <c r="AF500" s="4">
        <f t="shared" si="67"/>
        <v>5924.8000000000011</v>
      </c>
      <c r="AG500" s="3"/>
      <c r="AH500" s="8"/>
      <c r="AI500" s="4">
        <f t="shared" si="81"/>
        <v>5924.8000000000011</v>
      </c>
      <c r="AJ500" s="4">
        <f t="shared" si="73"/>
        <v>-344991.65550000017</v>
      </c>
      <c r="AK500" s="8"/>
      <c r="AL500" s="8"/>
      <c r="AM500" s="47"/>
      <c r="AN500" s="47"/>
      <c r="AO500" s="8"/>
      <c r="AP500" s="8"/>
      <c r="AQ500" s="47"/>
      <c r="AR500" s="47"/>
      <c r="AS500" s="8"/>
      <c r="AT500" s="8"/>
      <c r="AU500" s="47"/>
      <c r="AV500" s="47"/>
      <c r="AW500" s="8"/>
      <c r="AX500" s="8"/>
      <c r="AY500" s="47"/>
      <c r="AZ500" s="47"/>
      <c r="BA500" s="8"/>
      <c r="BB500" s="8"/>
      <c r="BC500" s="47"/>
      <c r="BD500" s="47"/>
      <c r="BE500" s="8"/>
      <c r="BF500" s="8"/>
      <c r="BG500" s="47"/>
      <c r="BH500" s="47"/>
      <c r="BI500" s="8"/>
      <c r="BJ500" s="3"/>
      <c r="BK500" s="47"/>
      <c r="BL500" s="47"/>
      <c r="BM500" s="24">
        <f t="shared" si="74"/>
        <v>0</v>
      </c>
      <c r="BN500" s="28">
        <f t="shared" si="68"/>
        <v>-344991.65550000017</v>
      </c>
      <c r="BO500" s="2">
        <v>45533</v>
      </c>
    </row>
    <row r="501" spans="4:67" hidden="1" x14ac:dyDescent="0.25">
      <c r="D501" s="9" t="s">
        <v>26</v>
      </c>
      <c r="E501" s="2">
        <v>45534</v>
      </c>
      <c r="F501" s="38"/>
      <c r="G501" s="51"/>
      <c r="H501" s="4">
        <f t="shared" si="69"/>
        <v>1792.5</v>
      </c>
      <c r="I501" s="5"/>
      <c r="J501" s="4">
        <f t="shared" si="70"/>
        <v>1792.5</v>
      </c>
      <c r="K501" s="4">
        <f t="shared" si="75"/>
        <v>28251.294999999987</v>
      </c>
      <c r="L501" s="3"/>
      <c r="M501" s="3"/>
      <c r="N501" s="33">
        <f t="shared" si="71"/>
        <v>0</v>
      </c>
      <c r="O501" s="28">
        <f t="shared" si="76"/>
        <v>28251.294999999987</v>
      </c>
      <c r="P501" s="9" t="s">
        <v>26</v>
      </c>
      <c r="Q501" s="2">
        <v>45534</v>
      </c>
      <c r="R501" s="38"/>
      <c r="S501" s="52"/>
      <c r="T501" s="4">
        <f t="shared" si="72"/>
        <v>3600</v>
      </c>
      <c r="U501" s="5"/>
      <c r="V501" s="4">
        <f t="shared" si="80"/>
        <v>3600</v>
      </c>
      <c r="W501" s="4">
        <f t="shared" si="77"/>
        <v>149263.04500000001</v>
      </c>
      <c r="X501" s="3"/>
      <c r="Y501" s="3"/>
      <c r="Z501" s="25">
        <f t="shared" si="78"/>
        <v>0</v>
      </c>
      <c r="AA501" s="72">
        <f t="shared" si="79"/>
        <v>149263.04500000001</v>
      </c>
      <c r="AB501" s="9" t="s">
        <v>26</v>
      </c>
      <c r="AC501" s="19">
        <v>45534</v>
      </c>
      <c r="AD501" s="41"/>
      <c r="AE501" s="42"/>
      <c r="AF501" s="4">
        <f t="shared" si="67"/>
        <v>6192.5</v>
      </c>
      <c r="AG501" s="3"/>
      <c r="AH501" s="8"/>
      <c r="AI501" s="4">
        <f t="shared" si="81"/>
        <v>6192.5</v>
      </c>
      <c r="AJ501" s="4">
        <f t="shared" si="73"/>
        <v>-338799.15550000017</v>
      </c>
      <c r="AK501" s="8"/>
      <c r="AL501" s="8"/>
      <c r="AM501" s="47"/>
      <c r="AN501" s="47"/>
      <c r="AO501" s="8"/>
      <c r="AP501" s="8"/>
      <c r="AQ501" s="47"/>
      <c r="AR501" s="47"/>
      <c r="AS501" s="8"/>
      <c r="AT501" s="8"/>
      <c r="AU501" s="47"/>
      <c r="AV501" s="47"/>
      <c r="AW501" s="8"/>
      <c r="AX501" s="8"/>
      <c r="AY501" s="47"/>
      <c r="AZ501" s="47"/>
      <c r="BA501" s="8"/>
      <c r="BB501" s="8"/>
      <c r="BC501" s="47"/>
      <c r="BD501" s="47"/>
      <c r="BE501" s="8"/>
      <c r="BF501" s="8"/>
      <c r="BG501" s="47"/>
      <c r="BH501" s="47"/>
      <c r="BI501" s="8"/>
      <c r="BJ501" s="3"/>
      <c r="BK501" s="47"/>
      <c r="BL501" s="47"/>
      <c r="BM501" s="24">
        <f t="shared" si="74"/>
        <v>0</v>
      </c>
      <c r="BN501" s="28">
        <f t="shared" si="68"/>
        <v>-338799.15550000017</v>
      </c>
      <c r="BO501" s="2">
        <v>45534</v>
      </c>
    </row>
    <row r="502" spans="4:67" s="13" customFormat="1" hidden="1" x14ac:dyDescent="0.25">
      <c r="D502" s="13" t="s">
        <v>27</v>
      </c>
      <c r="E502" s="10">
        <v>45535</v>
      </c>
      <c r="F502" s="10"/>
      <c r="G502" s="54"/>
      <c r="H502" s="11">
        <f t="shared" si="69"/>
        <v>3495.3</v>
      </c>
      <c r="I502" s="12"/>
      <c r="J502" s="11">
        <f t="shared" si="70"/>
        <v>3495.3</v>
      </c>
      <c r="K502" s="11">
        <f t="shared" si="75"/>
        <v>31746.594999999987</v>
      </c>
      <c r="L502" s="11"/>
      <c r="M502" s="11"/>
      <c r="N502" s="26">
        <f t="shared" si="71"/>
        <v>0</v>
      </c>
      <c r="O502" s="11">
        <f t="shared" si="76"/>
        <v>31746.594999999987</v>
      </c>
      <c r="P502" s="13" t="s">
        <v>27</v>
      </c>
      <c r="Q502" s="10">
        <v>45535</v>
      </c>
      <c r="R502" s="10"/>
      <c r="S502" s="53"/>
      <c r="T502" s="11">
        <f t="shared" si="72"/>
        <v>3600</v>
      </c>
      <c r="U502" s="12"/>
      <c r="V502" s="11">
        <f t="shared" si="80"/>
        <v>3600</v>
      </c>
      <c r="W502" s="11">
        <f t="shared" si="77"/>
        <v>152863.04500000001</v>
      </c>
      <c r="X502" s="11"/>
      <c r="Y502" s="11"/>
      <c r="Z502" s="26">
        <f t="shared" si="78"/>
        <v>0</v>
      </c>
      <c r="AA502" s="53">
        <f t="shared" si="79"/>
        <v>152863.04500000001</v>
      </c>
      <c r="AB502" s="13" t="s">
        <v>27</v>
      </c>
      <c r="AC502" s="20">
        <v>45535</v>
      </c>
      <c r="AD502" s="14"/>
      <c r="AE502" s="27"/>
      <c r="AF502" s="11">
        <f t="shared" si="67"/>
        <v>7895.2999999999993</v>
      </c>
      <c r="AG502" s="11"/>
      <c r="AH502" s="15"/>
      <c r="AI502" s="11">
        <f t="shared" si="81"/>
        <v>7895.2999999999993</v>
      </c>
      <c r="AJ502" s="11">
        <f t="shared" si="73"/>
        <v>-330903.85550000018</v>
      </c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1"/>
      <c r="BK502" s="15"/>
      <c r="BL502" s="15"/>
      <c r="BM502" s="23">
        <f t="shared" si="74"/>
        <v>0</v>
      </c>
      <c r="BN502" s="11">
        <f t="shared" si="68"/>
        <v>-330903.85550000018</v>
      </c>
      <c r="BO502" s="10">
        <v>45535</v>
      </c>
    </row>
    <row r="503" spans="4:67" hidden="1" x14ac:dyDescent="0.25">
      <c r="D503" s="9" t="s">
        <v>28</v>
      </c>
      <c r="E503" s="2">
        <v>45536</v>
      </c>
      <c r="F503" s="38"/>
      <c r="G503" s="51"/>
      <c r="H503" s="4">
        <f t="shared" si="69"/>
        <v>2829.0749999999998</v>
      </c>
      <c r="I503" s="5"/>
      <c r="J503" s="4">
        <f t="shared" si="70"/>
        <v>2829.0749999999998</v>
      </c>
      <c r="K503" s="4">
        <f t="shared" si="75"/>
        <v>34575.669999999984</v>
      </c>
      <c r="L503" s="3"/>
      <c r="M503" s="3"/>
      <c r="N503" s="33">
        <f t="shared" si="71"/>
        <v>0</v>
      </c>
      <c r="O503" s="28">
        <f t="shared" si="76"/>
        <v>34575.669999999984</v>
      </c>
      <c r="P503" s="9" t="s">
        <v>28</v>
      </c>
      <c r="Q503" s="2">
        <v>45536</v>
      </c>
      <c r="R503" s="38"/>
      <c r="S503" s="52"/>
      <c r="T503" s="4">
        <f t="shared" si="72"/>
        <v>3600</v>
      </c>
      <c r="U503" s="5"/>
      <c r="V503" s="4">
        <f t="shared" si="80"/>
        <v>3600</v>
      </c>
      <c r="W503" s="4">
        <f t="shared" si="77"/>
        <v>156463.04500000001</v>
      </c>
      <c r="X503" s="3"/>
      <c r="Y503" s="3"/>
      <c r="Z503" s="25">
        <f t="shared" si="78"/>
        <v>0</v>
      </c>
      <c r="AA503" s="72">
        <f t="shared" si="79"/>
        <v>156463.04500000001</v>
      </c>
      <c r="AB503" s="9" t="s">
        <v>28</v>
      </c>
      <c r="AC503" s="19">
        <v>45536</v>
      </c>
      <c r="AD503" s="41"/>
      <c r="AE503" s="42"/>
      <c r="AF503" s="4">
        <f t="shared" si="67"/>
        <v>7229.0750000000007</v>
      </c>
      <c r="AG503" s="3"/>
      <c r="AH503" s="8"/>
      <c r="AI503" s="4">
        <f t="shared" si="81"/>
        <v>7229.0750000000007</v>
      </c>
      <c r="AJ503" s="4">
        <f t="shared" si="73"/>
        <v>-323674.78050000017</v>
      </c>
      <c r="AK503" s="8"/>
      <c r="AL503" s="8"/>
      <c r="AM503" s="47"/>
      <c r="AN503" s="47"/>
      <c r="AO503" s="8"/>
      <c r="AP503" s="8"/>
      <c r="AQ503" s="47"/>
      <c r="AR503" s="47"/>
      <c r="AS503" s="8"/>
      <c r="AT503" s="8"/>
      <c r="AU503" s="47"/>
      <c r="AV503" s="47"/>
      <c r="AW503" s="8"/>
      <c r="AX503" s="8"/>
      <c r="AY503" s="47"/>
      <c r="AZ503" s="47"/>
      <c r="BA503" s="8"/>
      <c r="BB503" s="8"/>
      <c r="BC503" s="47"/>
      <c r="BD503" s="47"/>
      <c r="BE503" s="8"/>
      <c r="BF503" s="8"/>
      <c r="BG503" s="47"/>
      <c r="BH503" s="47"/>
      <c r="BI503" s="8"/>
      <c r="BJ503" s="3"/>
      <c r="BK503" s="47"/>
      <c r="BL503" s="47"/>
      <c r="BM503" s="24">
        <f t="shared" si="74"/>
        <v>0</v>
      </c>
      <c r="BN503" s="28">
        <f t="shared" si="68"/>
        <v>-323674.78050000017</v>
      </c>
      <c r="BO503" s="2">
        <v>45536</v>
      </c>
    </row>
    <row r="504" spans="4:67" hidden="1" x14ac:dyDescent="0.25">
      <c r="D504" s="9" t="s">
        <v>29</v>
      </c>
      <c r="E504" s="2">
        <v>45537</v>
      </c>
      <c r="F504" s="38"/>
      <c r="G504" s="51"/>
      <c r="H504" s="4">
        <f t="shared" si="69"/>
        <v>2043.125</v>
      </c>
      <c r="I504" s="5"/>
      <c r="J504" s="4">
        <f t="shared" si="70"/>
        <v>2043.125</v>
      </c>
      <c r="K504" s="4">
        <f t="shared" si="75"/>
        <v>36618.794999999984</v>
      </c>
      <c r="L504" s="3"/>
      <c r="M504" s="3"/>
      <c r="N504" s="33">
        <f t="shared" si="71"/>
        <v>0</v>
      </c>
      <c r="O504" s="28">
        <f t="shared" si="76"/>
        <v>36618.794999999984</v>
      </c>
      <c r="P504" s="9" t="s">
        <v>29</v>
      </c>
      <c r="Q504" s="2">
        <v>45537</v>
      </c>
      <c r="R504" s="38"/>
      <c r="S504" s="52"/>
      <c r="T504" s="4">
        <f t="shared" si="72"/>
        <v>3600</v>
      </c>
      <c r="U504" s="5"/>
      <c r="V504" s="4">
        <f t="shared" si="80"/>
        <v>3600</v>
      </c>
      <c r="W504" s="4">
        <f t="shared" si="77"/>
        <v>160063.04500000001</v>
      </c>
      <c r="X504" s="3"/>
      <c r="Y504" s="3"/>
      <c r="Z504" s="25">
        <f t="shared" si="78"/>
        <v>0</v>
      </c>
      <c r="AA504" s="72">
        <f t="shared" si="79"/>
        <v>160063.04500000001</v>
      </c>
      <c r="AB504" s="9" t="s">
        <v>29</v>
      </c>
      <c r="AC504" s="19">
        <v>45537</v>
      </c>
      <c r="AD504" s="41"/>
      <c r="AE504" s="42"/>
      <c r="AF504" s="4">
        <f t="shared" si="67"/>
        <v>6443.125</v>
      </c>
      <c r="AG504" s="3"/>
      <c r="AH504" s="8"/>
      <c r="AI504" s="4">
        <f t="shared" si="81"/>
        <v>6443.125</v>
      </c>
      <c r="AJ504" s="4">
        <f t="shared" si="73"/>
        <v>-317231.65550000017</v>
      </c>
      <c r="AK504" s="8"/>
      <c r="AL504" s="8"/>
      <c r="AM504" s="47"/>
      <c r="AN504" s="47"/>
      <c r="AO504" s="8"/>
      <c r="AP504" s="8"/>
      <c r="AQ504" s="47"/>
      <c r="AR504" s="47"/>
      <c r="AS504" s="8"/>
      <c r="AT504" s="8"/>
      <c r="AU504" s="47"/>
      <c r="AV504" s="47"/>
      <c r="AW504" s="8"/>
      <c r="AX504" s="8"/>
      <c r="AY504" s="47"/>
      <c r="AZ504" s="47"/>
      <c r="BA504" s="8"/>
      <c r="BB504" s="8"/>
      <c r="BC504" s="47"/>
      <c r="BD504" s="47"/>
      <c r="BE504" s="8"/>
      <c r="BF504" s="8"/>
      <c r="BG504" s="47"/>
      <c r="BH504" s="47"/>
      <c r="BI504" s="8"/>
      <c r="BJ504" s="3"/>
      <c r="BK504" s="47"/>
      <c r="BL504" s="47"/>
      <c r="BM504" s="24">
        <f t="shared" si="74"/>
        <v>0</v>
      </c>
      <c r="BN504" s="28">
        <f t="shared" si="68"/>
        <v>-317231.65550000017</v>
      </c>
      <c r="BO504" s="2">
        <v>45537</v>
      </c>
    </row>
    <row r="505" spans="4:67" hidden="1" x14ac:dyDescent="0.25">
      <c r="D505" s="9" t="s">
        <v>30</v>
      </c>
      <c r="E505" s="2">
        <v>45538</v>
      </c>
      <c r="F505" s="38"/>
      <c r="G505" s="51"/>
      <c r="H505" s="4">
        <f t="shared" si="69"/>
        <v>1959.25</v>
      </c>
      <c r="I505" s="5"/>
      <c r="J505" s="4">
        <f t="shared" si="70"/>
        <v>1959.25</v>
      </c>
      <c r="K505" s="4">
        <f t="shared" si="75"/>
        <v>38578.044999999984</v>
      </c>
      <c r="L505" s="3"/>
      <c r="M505" s="3"/>
      <c r="N505" s="33">
        <f t="shared" si="71"/>
        <v>0</v>
      </c>
      <c r="O505" s="28">
        <f t="shared" si="76"/>
        <v>38578.044999999984</v>
      </c>
      <c r="P505" s="9" t="s">
        <v>30</v>
      </c>
      <c r="Q505" s="2">
        <v>45538</v>
      </c>
      <c r="R505" s="38"/>
      <c r="S505" s="52"/>
      <c r="T505" s="4">
        <f t="shared" si="72"/>
        <v>3600</v>
      </c>
      <c r="U505" s="5"/>
      <c r="V505" s="4">
        <f t="shared" si="80"/>
        <v>3600</v>
      </c>
      <c r="W505" s="4">
        <f t="shared" si="77"/>
        <v>163663.04500000001</v>
      </c>
      <c r="X505" s="3"/>
      <c r="Y505" s="3"/>
      <c r="Z505" s="25">
        <f t="shared" si="78"/>
        <v>0</v>
      </c>
      <c r="AA505" s="72">
        <f t="shared" si="79"/>
        <v>163663.04500000001</v>
      </c>
      <c r="AB505" s="9" t="s">
        <v>30</v>
      </c>
      <c r="AC505" s="19">
        <v>45538</v>
      </c>
      <c r="AD505" s="41"/>
      <c r="AE505" s="42"/>
      <c r="AF505" s="4">
        <f t="shared" si="67"/>
        <v>6359.25</v>
      </c>
      <c r="AG505" s="3"/>
      <c r="AH505" s="8"/>
      <c r="AI505" s="4">
        <f t="shared" si="81"/>
        <v>6359.25</v>
      </c>
      <c r="AJ505" s="4">
        <f t="shared" si="73"/>
        <v>-310872.40550000017</v>
      </c>
      <c r="AK505" s="3"/>
      <c r="AL505" s="8"/>
      <c r="AM505" s="47"/>
      <c r="AN505" s="47"/>
      <c r="AO505" s="8"/>
      <c r="AP505" s="8"/>
      <c r="AQ505" s="47"/>
      <c r="AR505" s="47"/>
      <c r="AS505" s="8"/>
      <c r="AT505" s="8"/>
      <c r="AU505" s="47"/>
      <c r="AV505" s="47"/>
      <c r="AW505" s="8"/>
      <c r="AX505" s="8"/>
      <c r="AY505" s="47"/>
      <c r="AZ505" s="47"/>
      <c r="BA505" s="8"/>
      <c r="BB505" s="8"/>
      <c r="BC505" s="47"/>
      <c r="BD505" s="47"/>
      <c r="BE505" s="8"/>
      <c r="BF505" s="8"/>
      <c r="BG505" s="47"/>
      <c r="BH505" s="47"/>
      <c r="BI505" s="8"/>
      <c r="BJ505" s="3"/>
      <c r="BK505" s="47"/>
      <c r="BL505" s="47"/>
      <c r="BM505" s="24">
        <f t="shared" si="74"/>
        <v>0</v>
      </c>
      <c r="BN505" s="28">
        <f t="shared" si="68"/>
        <v>-310872.40550000017</v>
      </c>
      <c r="BO505" s="2">
        <v>45538</v>
      </c>
    </row>
    <row r="506" spans="4:67" hidden="1" x14ac:dyDescent="0.25">
      <c r="D506" s="9" t="s">
        <v>31</v>
      </c>
      <c r="E506" s="2">
        <v>45539</v>
      </c>
      <c r="F506" s="38"/>
      <c r="G506" s="51"/>
      <c r="H506" s="4">
        <f t="shared" si="69"/>
        <v>1352.9</v>
      </c>
      <c r="I506" s="5"/>
      <c r="J506" s="4">
        <f t="shared" si="70"/>
        <v>1352.9</v>
      </c>
      <c r="K506" s="4">
        <f t="shared" si="75"/>
        <v>39930.944999999985</v>
      </c>
      <c r="L506" s="3"/>
      <c r="M506" s="3"/>
      <c r="N506" s="33">
        <f t="shared" si="71"/>
        <v>0</v>
      </c>
      <c r="O506" s="28">
        <f t="shared" si="76"/>
        <v>39930.944999999985</v>
      </c>
      <c r="P506" s="9" t="s">
        <v>31</v>
      </c>
      <c r="Q506" s="2">
        <v>45539</v>
      </c>
      <c r="R506" s="38"/>
      <c r="S506" s="52"/>
      <c r="T506" s="4">
        <f t="shared" si="72"/>
        <v>3600</v>
      </c>
      <c r="U506" s="5"/>
      <c r="V506" s="4">
        <f t="shared" si="80"/>
        <v>3600</v>
      </c>
      <c r="W506" s="4">
        <f t="shared" si="77"/>
        <v>167263.04500000001</v>
      </c>
      <c r="X506" s="3"/>
      <c r="Y506" s="3"/>
      <c r="Z506" s="25">
        <f t="shared" si="78"/>
        <v>0</v>
      </c>
      <c r="AA506" s="72">
        <f t="shared" si="79"/>
        <v>167263.04500000001</v>
      </c>
      <c r="AB506" s="9" t="s">
        <v>31</v>
      </c>
      <c r="AC506" s="19">
        <v>45539</v>
      </c>
      <c r="AD506" s="41"/>
      <c r="AE506" s="42"/>
      <c r="AF506" s="4">
        <f t="shared" si="67"/>
        <v>5752.9</v>
      </c>
      <c r="AG506" s="3"/>
      <c r="AH506" s="8"/>
      <c r="AI506" s="4">
        <f t="shared" si="81"/>
        <v>5752.9</v>
      </c>
      <c r="AJ506" s="4">
        <f t="shared" si="73"/>
        <v>-305119.50550000014</v>
      </c>
      <c r="AK506" s="8"/>
      <c r="AL506" s="8"/>
      <c r="AM506" s="47"/>
      <c r="AN506" s="47"/>
      <c r="AO506" s="8"/>
      <c r="AP506" s="8"/>
      <c r="AQ506" s="47"/>
      <c r="AR506" s="47"/>
      <c r="AS506" s="8"/>
      <c r="AT506" s="8"/>
      <c r="AU506" s="47"/>
      <c r="AV506" s="47"/>
      <c r="AW506" s="8"/>
      <c r="AX506" s="8"/>
      <c r="AY506" s="47"/>
      <c r="AZ506" s="47"/>
      <c r="BA506" s="3"/>
      <c r="BB506" s="8"/>
      <c r="BC506" s="47"/>
      <c r="BD506" s="47"/>
      <c r="BE506" s="8"/>
      <c r="BF506" s="8"/>
      <c r="BG506" s="47"/>
      <c r="BH506" s="47"/>
      <c r="BI506" s="8"/>
      <c r="BJ506" s="3"/>
      <c r="BK506" s="47"/>
      <c r="BL506" s="47"/>
      <c r="BM506" s="24">
        <f t="shared" si="74"/>
        <v>0</v>
      </c>
      <c r="BN506" s="28">
        <f t="shared" si="68"/>
        <v>-305119.50550000014</v>
      </c>
      <c r="BO506" s="2">
        <v>45539</v>
      </c>
    </row>
    <row r="507" spans="4:67" hidden="1" x14ac:dyDescent="0.25">
      <c r="D507" s="9" t="s">
        <v>32</v>
      </c>
      <c r="E507" s="2">
        <v>45540</v>
      </c>
      <c r="F507" s="38"/>
      <c r="G507" s="51"/>
      <c r="H507" s="4">
        <f t="shared" si="69"/>
        <v>2173.65</v>
      </c>
      <c r="I507" s="5"/>
      <c r="J507" s="4">
        <f t="shared" si="70"/>
        <v>2173.65</v>
      </c>
      <c r="K507" s="4">
        <f t="shared" si="75"/>
        <v>42104.594999999987</v>
      </c>
      <c r="L507" s="3"/>
      <c r="M507" s="3"/>
      <c r="N507" s="33">
        <f t="shared" si="71"/>
        <v>0</v>
      </c>
      <c r="O507" s="28">
        <f t="shared" si="76"/>
        <v>42104.594999999987</v>
      </c>
      <c r="P507" s="9" t="s">
        <v>32</v>
      </c>
      <c r="Q507" s="2">
        <v>45540</v>
      </c>
      <c r="R507" s="38"/>
      <c r="S507" s="52"/>
      <c r="T507" s="4">
        <f t="shared" si="72"/>
        <v>3600</v>
      </c>
      <c r="U507" s="5"/>
      <c r="V507" s="4">
        <f t="shared" si="80"/>
        <v>3600</v>
      </c>
      <c r="W507" s="4">
        <f t="shared" si="77"/>
        <v>170863.04500000001</v>
      </c>
      <c r="X507" s="3"/>
      <c r="Y507" s="3"/>
      <c r="Z507" s="25">
        <f t="shared" si="78"/>
        <v>0</v>
      </c>
      <c r="AA507" s="72">
        <f t="shared" si="79"/>
        <v>170863.04500000001</v>
      </c>
      <c r="AB507" s="9" t="s">
        <v>32</v>
      </c>
      <c r="AC507" s="19">
        <v>45540</v>
      </c>
      <c r="AD507" s="41"/>
      <c r="AE507" s="42"/>
      <c r="AF507" s="4">
        <f t="shared" si="67"/>
        <v>6573.65</v>
      </c>
      <c r="AG507" s="3"/>
      <c r="AH507" s="8"/>
      <c r="AI507" s="4">
        <f t="shared" si="81"/>
        <v>6573.65</v>
      </c>
      <c r="AJ507" s="4">
        <f t="shared" si="73"/>
        <v>-298545.85550000012</v>
      </c>
      <c r="AK507" s="8"/>
      <c r="AL507" s="8"/>
      <c r="AM507" s="47"/>
      <c r="AN507" s="47"/>
      <c r="AO507" s="8"/>
      <c r="AP507" s="8"/>
      <c r="AQ507" s="47"/>
      <c r="AR507" s="47"/>
      <c r="AS507" s="8"/>
      <c r="AT507" s="8"/>
      <c r="AU507" s="47"/>
      <c r="AV507" s="47"/>
      <c r="AW507" s="8"/>
      <c r="AX507" s="8"/>
      <c r="AY507" s="47"/>
      <c r="AZ507" s="47"/>
      <c r="BA507" s="8"/>
      <c r="BB507" s="8"/>
      <c r="BC507" s="47"/>
      <c r="BD507" s="47"/>
      <c r="BE507" s="8"/>
      <c r="BF507" s="8"/>
      <c r="BG507" s="47"/>
      <c r="BH507" s="47"/>
      <c r="BI507" s="8"/>
      <c r="BJ507" s="3"/>
      <c r="BK507" s="47"/>
      <c r="BL507" s="47"/>
      <c r="BM507" s="24">
        <f t="shared" si="74"/>
        <v>0</v>
      </c>
      <c r="BN507" s="28">
        <f t="shared" si="68"/>
        <v>-298545.85550000012</v>
      </c>
      <c r="BO507" s="2">
        <v>45540</v>
      </c>
    </row>
    <row r="508" spans="4:67" hidden="1" x14ac:dyDescent="0.25">
      <c r="D508" s="9" t="s">
        <v>26</v>
      </c>
      <c r="E508" s="2">
        <v>45541</v>
      </c>
      <c r="F508" s="38"/>
      <c r="G508" s="51"/>
      <c r="H508" s="4">
        <f t="shared" si="69"/>
        <v>2294.9499999999998</v>
      </c>
      <c r="I508" s="5"/>
      <c r="J508" s="4">
        <f t="shared" si="70"/>
        <v>2294.9499999999998</v>
      </c>
      <c r="K508" s="4">
        <f t="shared" si="75"/>
        <v>44399.544999999984</v>
      </c>
      <c r="L508" s="3"/>
      <c r="M508" s="3"/>
      <c r="N508" s="33">
        <f t="shared" si="71"/>
        <v>0</v>
      </c>
      <c r="O508" s="28">
        <f t="shared" si="76"/>
        <v>44399.544999999984</v>
      </c>
      <c r="P508" s="9" t="s">
        <v>26</v>
      </c>
      <c r="Q508" s="2">
        <v>45541</v>
      </c>
      <c r="R508" s="38"/>
      <c r="S508" s="52"/>
      <c r="T508" s="4">
        <f t="shared" si="72"/>
        <v>3600</v>
      </c>
      <c r="U508" s="5"/>
      <c r="V508" s="4">
        <f t="shared" si="80"/>
        <v>3600</v>
      </c>
      <c r="W508" s="4">
        <f t="shared" si="77"/>
        <v>174463.04500000001</v>
      </c>
      <c r="X508" s="3"/>
      <c r="Y508" s="3"/>
      <c r="Z508" s="25">
        <f t="shared" si="78"/>
        <v>0</v>
      </c>
      <c r="AA508" s="72">
        <f t="shared" si="79"/>
        <v>174463.04500000001</v>
      </c>
      <c r="AB508" s="9" t="s">
        <v>26</v>
      </c>
      <c r="AC508" s="19">
        <v>45541</v>
      </c>
      <c r="AD508" s="41"/>
      <c r="AE508" s="42"/>
      <c r="AF508" s="4">
        <f t="shared" si="67"/>
        <v>6694.9500000000007</v>
      </c>
      <c r="AG508" s="3"/>
      <c r="AH508" s="8"/>
      <c r="AI508" s="4">
        <f t="shared" si="81"/>
        <v>6694.9500000000007</v>
      </c>
      <c r="AJ508" s="4">
        <f t="shared" si="73"/>
        <v>-291850.90550000011</v>
      </c>
      <c r="AK508" s="8"/>
      <c r="AL508" s="8"/>
      <c r="AM508" s="47"/>
      <c r="AN508" s="47"/>
      <c r="AO508" s="8"/>
      <c r="AP508" s="8"/>
      <c r="AQ508" s="47"/>
      <c r="AR508" s="47"/>
      <c r="AS508" s="8"/>
      <c r="AT508" s="8"/>
      <c r="AU508" s="47"/>
      <c r="AV508" s="47"/>
      <c r="AW508" s="8"/>
      <c r="AX508" s="8"/>
      <c r="AY508" s="47"/>
      <c r="AZ508" s="47"/>
      <c r="BA508" s="8"/>
      <c r="BB508" s="8"/>
      <c r="BC508" s="47"/>
      <c r="BD508" s="47"/>
      <c r="BE508" s="8"/>
      <c r="BF508" s="8"/>
      <c r="BG508" s="47"/>
      <c r="BH508" s="47"/>
      <c r="BI508" s="8"/>
      <c r="BJ508" s="3"/>
      <c r="BK508" s="47"/>
      <c r="BL508" s="47"/>
      <c r="BM508" s="24">
        <f t="shared" si="74"/>
        <v>0</v>
      </c>
      <c r="BN508" s="28">
        <f t="shared" si="68"/>
        <v>-291850.90550000011</v>
      </c>
      <c r="BO508" s="2">
        <v>45541</v>
      </c>
    </row>
    <row r="509" spans="4:67" hidden="1" x14ac:dyDescent="0.25">
      <c r="D509" s="9" t="s">
        <v>27</v>
      </c>
      <c r="E509" s="2">
        <v>45542</v>
      </c>
      <c r="F509" s="38"/>
      <c r="G509" s="51"/>
      <c r="H509" s="4">
        <f t="shared" si="69"/>
        <v>2319.3249999999998</v>
      </c>
      <c r="I509" s="5"/>
      <c r="J509" s="4">
        <f t="shared" si="70"/>
        <v>2319.3249999999998</v>
      </c>
      <c r="K509" s="4">
        <f t="shared" si="75"/>
        <v>46718.869999999981</v>
      </c>
      <c r="L509" s="3"/>
      <c r="M509" s="3"/>
      <c r="N509" s="33">
        <f t="shared" si="71"/>
        <v>0</v>
      </c>
      <c r="O509" s="28">
        <f t="shared" si="76"/>
        <v>46718.869999999981</v>
      </c>
      <c r="P509" s="9" t="s">
        <v>27</v>
      </c>
      <c r="Q509" s="2">
        <v>45542</v>
      </c>
      <c r="R509" s="38"/>
      <c r="S509" s="52"/>
      <c r="T509" s="4">
        <f t="shared" si="72"/>
        <v>3600</v>
      </c>
      <c r="U509" s="5"/>
      <c r="V509" s="4">
        <f t="shared" si="80"/>
        <v>3600</v>
      </c>
      <c r="W509" s="4">
        <f t="shared" si="77"/>
        <v>178063.04500000001</v>
      </c>
      <c r="X509" s="3"/>
      <c r="Y509" s="3"/>
      <c r="Z509" s="25">
        <f t="shared" si="78"/>
        <v>0</v>
      </c>
      <c r="AA509" s="72">
        <f t="shared" si="79"/>
        <v>178063.04500000001</v>
      </c>
      <c r="AB509" s="9" t="s">
        <v>27</v>
      </c>
      <c r="AC509" s="19">
        <v>45542</v>
      </c>
      <c r="AD509" s="41"/>
      <c r="AE509" s="42"/>
      <c r="AF509" s="4">
        <f t="shared" si="67"/>
        <v>6719.3250000000007</v>
      </c>
      <c r="AG509" s="3"/>
      <c r="AH509" s="8"/>
      <c r="AI509" s="4">
        <f t="shared" si="81"/>
        <v>6719.3250000000007</v>
      </c>
      <c r="AJ509" s="4">
        <f t="shared" si="73"/>
        <v>-285131.5805000001</v>
      </c>
      <c r="AK509" s="8"/>
      <c r="AL509" s="8"/>
      <c r="AM509" s="47"/>
      <c r="AN509" s="47"/>
      <c r="AO509" s="8"/>
      <c r="AP509" s="8"/>
      <c r="AQ509" s="47"/>
      <c r="AR509" s="47"/>
      <c r="AS509" s="8"/>
      <c r="AT509" s="8"/>
      <c r="AU509" s="47"/>
      <c r="AV509" s="47"/>
      <c r="AW509" s="8"/>
      <c r="AX509" s="8"/>
      <c r="AY509" s="47"/>
      <c r="AZ509" s="47"/>
      <c r="BA509" s="8"/>
      <c r="BB509" s="8"/>
      <c r="BC509" s="47"/>
      <c r="BD509" s="47"/>
      <c r="BE509" s="8"/>
      <c r="BF509" s="8"/>
      <c r="BG509" s="47"/>
      <c r="BH509" s="47"/>
      <c r="BI509" s="8"/>
      <c r="BJ509" s="3"/>
      <c r="BK509" s="47"/>
      <c r="BL509" s="47"/>
      <c r="BM509" s="24">
        <f t="shared" si="74"/>
        <v>0</v>
      </c>
      <c r="BN509" s="28">
        <f t="shared" si="68"/>
        <v>-285131.5805000001</v>
      </c>
      <c r="BO509" s="2">
        <v>45542</v>
      </c>
    </row>
    <row r="510" spans="4:67" hidden="1" x14ac:dyDescent="0.25">
      <c r="D510" s="9" t="s">
        <v>28</v>
      </c>
      <c r="E510" s="2">
        <v>45543</v>
      </c>
      <c r="F510" s="38"/>
      <c r="G510" s="51"/>
      <c r="H510" s="4">
        <f t="shared" si="69"/>
        <v>2189</v>
      </c>
      <c r="I510" s="5"/>
      <c r="J510" s="4">
        <f t="shared" si="70"/>
        <v>2189</v>
      </c>
      <c r="K510" s="4">
        <f t="shared" si="75"/>
        <v>48907.869999999981</v>
      </c>
      <c r="L510" s="3"/>
      <c r="M510" s="3"/>
      <c r="N510" s="33">
        <f t="shared" si="71"/>
        <v>0</v>
      </c>
      <c r="O510" s="28">
        <f t="shared" si="76"/>
        <v>48907.869999999981</v>
      </c>
      <c r="P510" s="9" t="s">
        <v>28</v>
      </c>
      <c r="Q510" s="2">
        <v>45543</v>
      </c>
      <c r="R510" s="38"/>
      <c r="S510" s="52"/>
      <c r="T510" s="4">
        <f t="shared" si="72"/>
        <v>3600</v>
      </c>
      <c r="U510" s="5"/>
      <c r="V510" s="4">
        <f t="shared" si="80"/>
        <v>3600</v>
      </c>
      <c r="W510" s="4">
        <f t="shared" si="77"/>
        <v>181663.04500000001</v>
      </c>
      <c r="X510" s="3"/>
      <c r="Y510" s="3"/>
      <c r="Z510" s="25">
        <f t="shared" si="78"/>
        <v>0</v>
      </c>
      <c r="AA510" s="72">
        <f t="shared" si="79"/>
        <v>181663.04500000001</v>
      </c>
      <c r="AB510" s="9" t="s">
        <v>28</v>
      </c>
      <c r="AC510" s="19">
        <v>45543</v>
      </c>
      <c r="AD510" s="41"/>
      <c r="AE510" s="42"/>
      <c r="AF510" s="4">
        <f t="shared" si="67"/>
        <v>6589</v>
      </c>
      <c r="AG510" s="3"/>
      <c r="AH510" s="8"/>
      <c r="AI510" s="4">
        <f t="shared" si="81"/>
        <v>6589</v>
      </c>
      <c r="AJ510" s="4">
        <f t="shared" si="73"/>
        <v>-278542.5805000001</v>
      </c>
      <c r="AK510" s="8"/>
      <c r="AL510" s="8"/>
      <c r="AM510" s="47"/>
      <c r="AN510" s="47"/>
      <c r="AO510" s="8"/>
      <c r="AP510" s="8"/>
      <c r="AQ510" s="47"/>
      <c r="AR510" s="47"/>
      <c r="AS510" s="8"/>
      <c r="AT510" s="8"/>
      <c r="AU510" s="47"/>
      <c r="AV510" s="47"/>
      <c r="AW510" s="8"/>
      <c r="AX510" s="8"/>
      <c r="AY510" s="47"/>
      <c r="AZ510" s="47"/>
      <c r="BA510" s="3"/>
      <c r="BB510" s="8"/>
      <c r="BC510" s="47"/>
      <c r="BD510" s="47"/>
      <c r="BE510" s="8"/>
      <c r="BF510" s="8"/>
      <c r="BG510" s="47"/>
      <c r="BH510" s="47"/>
      <c r="BI510" s="8"/>
      <c r="BJ510" s="3"/>
      <c r="BK510" s="47"/>
      <c r="BL510" s="47"/>
      <c r="BM510" s="24">
        <f t="shared" si="74"/>
        <v>0</v>
      </c>
      <c r="BN510" s="28">
        <f t="shared" si="68"/>
        <v>-278542.5805000001</v>
      </c>
      <c r="BO510" s="2">
        <v>45543</v>
      </c>
    </row>
    <row r="511" spans="4:67" hidden="1" x14ac:dyDescent="0.25">
      <c r="D511" s="9" t="s">
        <v>29</v>
      </c>
      <c r="E511" s="2">
        <v>45544</v>
      </c>
      <c r="F511" s="38"/>
      <c r="G511" s="51"/>
      <c r="H511" s="4">
        <f t="shared" si="69"/>
        <v>1681.65</v>
      </c>
      <c r="I511" s="5"/>
      <c r="J511" s="4">
        <f t="shared" si="70"/>
        <v>1681.65</v>
      </c>
      <c r="K511" s="4">
        <f t="shared" si="75"/>
        <v>50589.519999999982</v>
      </c>
      <c r="L511" s="3"/>
      <c r="M511" s="3"/>
      <c r="N511" s="33">
        <f t="shared" si="71"/>
        <v>0</v>
      </c>
      <c r="O511" s="28">
        <f t="shared" si="76"/>
        <v>50589.519999999982</v>
      </c>
      <c r="P511" s="9" t="s">
        <v>29</v>
      </c>
      <c r="Q511" s="2">
        <v>45544</v>
      </c>
      <c r="R511" s="38"/>
      <c r="S511" s="52"/>
      <c r="T511" s="4">
        <f t="shared" si="72"/>
        <v>3600</v>
      </c>
      <c r="U511" s="5"/>
      <c r="V511" s="4">
        <f t="shared" si="80"/>
        <v>3600</v>
      </c>
      <c r="W511" s="4">
        <f t="shared" si="77"/>
        <v>185263.04500000001</v>
      </c>
      <c r="X511" s="3"/>
      <c r="Y511" s="3"/>
      <c r="Z511" s="25">
        <f t="shared" si="78"/>
        <v>0</v>
      </c>
      <c r="AA511" s="72">
        <f t="shared" si="79"/>
        <v>185263.04500000001</v>
      </c>
      <c r="AB511" s="9" t="s">
        <v>29</v>
      </c>
      <c r="AC511" s="19">
        <v>45544</v>
      </c>
      <c r="AD511" s="41"/>
      <c r="AE511" s="42"/>
      <c r="AF511" s="4">
        <f t="shared" ref="AF511:AF574" si="82">AD200-H511-T511</f>
        <v>6081.65</v>
      </c>
      <c r="AG511" s="3"/>
      <c r="AH511" s="8"/>
      <c r="AI511" s="4">
        <f t="shared" si="81"/>
        <v>6081.65</v>
      </c>
      <c r="AJ511" s="4">
        <f t="shared" si="73"/>
        <v>-272460.93050000007</v>
      </c>
      <c r="AK511" s="8"/>
      <c r="AL511" s="8"/>
      <c r="AM511" s="47"/>
      <c r="AN511" s="47"/>
      <c r="AO511" s="8"/>
      <c r="AP511" s="8"/>
      <c r="AQ511" s="47"/>
      <c r="AR511" s="47"/>
      <c r="AS511" s="8"/>
      <c r="AT511" s="8"/>
      <c r="AU511" s="47"/>
      <c r="AV511" s="47"/>
      <c r="AW511" s="8"/>
      <c r="AX511" s="8"/>
      <c r="AY511" s="47"/>
      <c r="AZ511" s="47"/>
      <c r="BA511" s="8"/>
      <c r="BB511" s="8"/>
      <c r="BC511" s="47"/>
      <c r="BD511" s="47"/>
      <c r="BE511" s="8"/>
      <c r="BF511" s="8"/>
      <c r="BG511" s="47"/>
      <c r="BH511" s="47"/>
      <c r="BI511" s="8"/>
      <c r="BJ511" s="3"/>
      <c r="BK511" s="47"/>
      <c r="BL511" s="47"/>
      <c r="BM511" s="24">
        <f t="shared" si="74"/>
        <v>0</v>
      </c>
      <c r="BN511" s="28">
        <f t="shared" ref="BN511:BN574" si="83">AJ511-BM511</f>
        <v>-272460.93050000007</v>
      </c>
      <c r="BO511" s="2">
        <v>45544</v>
      </c>
    </row>
    <row r="512" spans="4:67" hidden="1" x14ac:dyDescent="0.25">
      <c r="D512" s="9" t="s">
        <v>30</v>
      </c>
      <c r="E512" s="2">
        <v>45545</v>
      </c>
      <c r="F512" s="38"/>
      <c r="G512" s="51"/>
      <c r="H512" s="4">
        <f t="shared" ref="H512:H575" si="84">F201*50%</f>
        <v>1955.175</v>
      </c>
      <c r="I512" s="5"/>
      <c r="J512" s="4">
        <f t="shared" ref="J512:J575" si="85">(G512+H512)-I512</f>
        <v>1955.175</v>
      </c>
      <c r="K512" s="4">
        <f t="shared" si="75"/>
        <v>52544.694999999985</v>
      </c>
      <c r="L512" s="3"/>
      <c r="M512" s="3"/>
      <c r="N512" s="33">
        <f t="shared" ref="N512:N575" si="86">I512+M512</f>
        <v>0</v>
      </c>
      <c r="O512" s="28">
        <f t="shared" si="76"/>
        <v>52544.694999999985</v>
      </c>
      <c r="P512" s="9" t="s">
        <v>30</v>
      </c>
      <c r="Q512" s="2">
        <v>45545</v>
      </c>
      <c r="R512" s="38"/>
      <c r="S512" s="52"/>
      <c r="T512" s="4">
        <f t="shared" ref="T512:T575" si="87">R201*45%</f>
        <v>3600</v>
      </c>
      <c r="U512" s="5"/>
      <c r="V512" s="4">
        <f t="shared" si="80"/>
        <v>3600</v>
      </c>
      <c r="W512" s="4">
        <f t="shared" si="77"/>
        <v>188863.04500000001</v>
      </c>
      <c r="X512" s="3"/>
      <c r="Y512" s="3"/>
      <c r="Z512" s="25">
        <f t="shared" si="78"/>
        <v>0</v>
      </c>
      <c r="AA512" s="72">
        <f t="shared" si="79"/>
        <v>188863.04500000001</v>
      </c>
      <c r="AB512" s="9" t="s">
        <v>30</v>
      </c>
      <c r="AC512" s="19">
        <v>45545</v>
      </c>
      <c r="AD512" s="41"/>
      <c r="AE512" s="42"/>
      <c r="AF512" s="4">
        <f t="shared" si="82"/>
        <v>6355.1750000000011</v>
      </c>
      <c r="AG512" s="3"/>
      <c r="AH512" s="8"/>
      <c r="AI512" s="4">
        <f t="shared" si="81"/>
        <v>6355.1750000000011</v>
      </c>
      <c r="AJ512" s="4">
        <f t="shared" ref="AJ512:AJ575" si="88">AI512+BN511</f>
        <v>-266105.75550000009</v>
      </c>
      <c r="AK512" s="8"/>
      <c r="AL512" s="8"/>
      <c r="AM512" s="47"/>
      <c r="AN512" s="47"/>
      <c r="AO512" s="8"/>
      <c r="AP512" s="8"/>
      <c r="AQ512" s="47"/>
      <c r="AR512" s="47"/>
      <c r="AS512" s="8"/>
      <c r="AT512" s="8"/>
      <c r="AU512" s="47"/>
      <c r="AV512" s="47"/>
      <c r="AW512" s="8"/>
      <c r="AX512" s="8"/>
      <c r="AY512" s="47"/>
      <c r="AZ512" s="47"/>
      <c r="BA512" s="8"/>
      <c r="BB512" s="8"/>
      <c r="BC512" s="47"/>
      <c r="BD512" s="47"/>
      <c r="BE512" s="8"/>
      <c r="BF512" s="8"/>
      <c r="BG512" s="47"/>
      <c r="BH512" s="47"/>
      <c r="BI512" s="8"/>
      <c r="BJ512" s="3"/>
      <c r="BK512" s="47"/>
      <c r="BL512" s="47"/>
      <c r="BM512" s="24">
        <f t="shared" ref="BM512:BM575" si="89">AL512+AN512+AP512+AR512+AT512+AV512+AX512+AZ512+BB512+BD512+BF512+BH512+BJ512+BL512</f>
        <v>0</v>
      </c>
      <c r="BN512" s="28">
        <f t="shared" si="83"/>
        <v>-266105.75550000009</v>
      </c>
      <c r="BO512" s="2">
        <v>45545</v>
      </c>
    </row>
    <row r="513" spans="4:67" hidden="1" x14ac:dyDescent="0.25">
      <c r="D513" s="9" t="s">
        <v>31</v>
      </c>
      <c r="E513" s="2">
        <v>45546</v>
      </c>
      <c r="F513" s="38"/>
      <c r="G513" s="51"/>
      <c r="H513" s="4">
        <f t="shared" si="84"/>
        <v>2281.0749999999998</v>
      </c>
      <c r="I513" s="5"/>
      <c r="J513" s="4">
        <f t="shared" si="85"/>
        <v>2281.0749999999998</v>
      </c>
      <c r="K513" s="4">
        <f t="shared" ref="K513:K576" si="90">J513+O512</f>
        <v>54825.769999999982</v>
      </c>
      <c r="L513" s="3"/>
      <c r="M513" s="3"/>
      <c r="N513" s="33">
        <f t="shared" si="86"/>
        <v>0</v>
      </c>
      <c r="O513" s="28">
        <f t="shared" ref="O513:O576" si="91">K513-M513</f>
        <v>54825.769999999982</v>
      </c>
      <c r="P513" s="9" t="s">
        <v>31</v>
      </c>
      <c r="Q513" s="2">
        <v>45546</v>
      </c>
      <c r="R513" s="38"/>
      <c r="S513" s="52"/>
      <c r="T513" s="4">
        <f t="shared" si="87"/>
        <v>3600</v>
      </c>
      <c r="U513" s="5"/>
      <c r="V513" s="4">
        <f t="shared" si="80"/>
        <v>3600</v>
      </c>
      <c r="W513" s="4">
        <f t="shared" ref="W513:W576" si="92">V513+AA512</f>
        <v>192463.04500000001</v>
      </c>
      <c r="X513" s="3"/>
      <c r="Y513" s="3"/>
      <c r="Z513" s="25">
        <f t="shared" ref="Z513:Z576" si="93">U513+Y513</f>
        <v>0</v>
      </c>
      <c r="AA513" s="72">
        <f t="shared" ref="AA513:AA576" si="94">W513-Y513</f>
        <v>192463.04500000001</v>
      </c>
      <c r="AB513" s="9" t="s">
        <v>31</v>
      </c>
      <c r="AC513" s="19">
        <v>45546</v>
      </c>
      <c r="AD513" s="41"/>
      <c r="AE513" s="42"/>
      <c r="AF513" s="4">
        <f t="shared" si="82"/>
        <v>6681.0750000000007</v>
      </c>
      <c r="AG513" s="3"/>
      <c r="AH513" s="8"/>
      <c r="AI513" s="4">
        <f t="shared" si="81"/>
        <v>6681.0750000000007</v>
      </c>
      <c r="AJ513" s="4">
        <f t="shared" si="88"/>
        <v>-259424.68050000007</v>
      </c>
      <c r="AK513" s="8"/>
      <c r="AL513" s="8"/>
      <c r="AM513" s="47"/>
      <c r="AN513" s="47"/>
      <c r="AO513" s="8"/>
      <c r="AP513" s="8"/>
      <c r="AQ513" s="47"/>
      <c r="AR513" s="47"/>
      <c r="AS513" s="8"/>
      <c r="AT513" s="8"/>
      <c r="AU513" s="47"/>
      <c r="AV513" s="47"/>
      <c r="AW513" s="8"/>
      <c r="AX513" s="8"/>
      <c r="AY513" s="47"/>
      <c r="AZ513" s="47"/>
      <c r="BA513" s="8"/>
      <c r="BB513" s="8"/>
      <c r="BC513" s="47"/>
      <c r="BD513" s="47"/>
      <c r="BE513" s="8"/>
      <c r="BF513" s="8"/>
      <c r="BG513" s="47"/>
      <c r="BH513" s="47"/>
      <c r="BI513" s="8"/>
      <c r="BJ513" s="3"/>
      <c r="BK513" s="47"/>
      <c r="BL513" s="47"/>
      <c r="BM513" s="24">
        <f t="shared" si="89"/>
        <v>0</v>
      </c>
      <c r="BN513" s="28">
        <f t="shared" si="83"/>
        <v>-259424.68050000007</v>
      </c>
      <c r="BO513" s="2">
        <v>45546</v>
      </c>
    </row>
    <row r="514" spans="4:67" hidden="1" x14ac:dyDescent="0.25">
      <c r="D514" s="9" t="s">
        <v>32</v>
      </c>
      <c r="E514" s="2">
        <v>45547</v>
      </c>
      <c r="F514" s="38"/>
      <c r="G514" s="51"/>
      <c r="H514" s="4">
        <f t="shared" si="84"/>
        <v>1647</v>
      </c>
      <c r="I514" s="5"/>
      <c r="J514" s="4">
        <f t="shared" si="85"/>
        <v>1647</v>
      </c>
      <c r="K514" s="4">
        <f t="shared" si="90"/>
        <v>56472.769999999982</v>
      </c>
      <c r="L514" s="3"/>
      <c r="M514" s="3"/>
      <c r="N514" s="33">
        <f t="shared" si="86"/>
        <v>0</v>
      </c>
      <c r="O514" s="28">
        <f t="shared" si="91"/>
        <v>56472.769999999982</v>
      </c>
      <c r="P514" s="9" t="s">
        <v>32</v>
      </c>
      <c r="Q514" s="2">
        <v>45547</v>
      </c>
      <c r="R514" s="38"/>
      <c r="S514" s="52"/>
      <c r="T514" s="4">
        <f t="shared" si="87"/>
        <v>3600</v>
      </c>
      <c r="U514" s="5"/>
      <c r="V514" s="4">
        <f t="shared" si="80"/>
        <v>3600</v>
      </c>
      <c r="W514" s="4">
        <f t="shared" si="92"/>
        <v>196063.04500000001</v>
      </c>
      <c r="X514" s="3"/>
      <c r="Y514" s="3"/>
      <c r="Z514" s="25">
        <f t="shared" si="93"/>
        <v>0</v>
      </c>
      <c r="AA514" s="72">
        <f t="shared" si="94"/>
        <v>196063.04500000001</v>
      </c>
      <c r="AB514" s="9" t="s">
        <v>32</v>
      </c>
      <c r="AC514" s="19">
        <v>45547</v>
      </c>
      <c r="AD514" s="41"/>
      <c r="AE514" s="42"/>
      <c r="AF514" s="4">
        <f t="shared" si="82"/>
        <v>6047</v>
      </c>
      <c r="AG514" s="3"/>
      <c r="AH514" s="8"/>
      <c r="AI514" s="4">
        <f t="shared" si="81"/>
        <v>6047</v>
      </c>
      <c r="AJ514" s="4">
        <f t="shared" si="88"/>
        <v>-253377.68050000007</v>
      </c>
      <c r="AK514" s="8"/>
      <c r="AL514" s="8"/>
      <c r="AM514" s="47"/>
      <c r="AN514" s="47"/>
      <c r="AO514" s="8"/>
      <c r="AP514" s="8"/>
      <c r="AQ514" s="47"/>
      <c r="AR514" s="47"/>
      <c r="AS514" s="8"/>
      <c r="AT514" s="8"/>
      <c r="AU514" s="47"/>
      <c r="AV514" s="47"/>
      <c r="AW514" s="8"/>
      <c r="AX514" s="8"/>
      <c r="AY514" s="47"/>
      <c r="AZ514" s="47"/>
      <c r="BA514" s="8"/>
      <c r="BB514" s="8"/>
      <c r="BC514" s="47"/>
      <c r="BD514" s="47"/>
      <c r="BE514" s="8"/>
      <c r="BF514" s="8"/>
      <c r="BG514" s="47"/>
      <c r="BH514" s="47"/>
      <c r="BI514" s="8"/>
      <c r="BJ514" s="3"/>
      <c r="BK514" s="47"/>
      <c r="BL514" s="47"/>
      <c r="BM514" s="24">
        <f t="shared" si="89"/>
        <v>0</v>
      </c>
      <c r="BN514" s="28">
        <f t="shared" si="83"/>
        <v>-253377.68050000007</v>
      </c>
      <c r="BO514" s="2">
        <v>45547</v>
      </c>
    </row>
    <row r="515" spans="4:67" hidden="1" x14ac:dyDescent="0.25">
      <c r="D515" s="9" t="s">
        <v>26</v>
      </c>
      <c r="E515" s="2">
        <v>45548</v>
      </c>
      <c r="F515" s="38"/>
      <c r="G515" s="51"/>
      <c r="H515" s="4">
        <f t="shared" si="84"/>
        <v>2451.9</v>
      </c>
      <c r="I515" s="5"/>
      <c r="J515" s="4">
        <f t="shared" si="85"/>
        <v>2451.9</v>
      </c>
      <c r="K515" s="4">
        <f t="shared" si="90"/>
        <v>58924.669999999984</v>
      </c>
      <c r="L515" s="3"/>
      <c r="M515" s="3"/>
      <c r="N515" s="33">
        <f t="shared" si="86"/>
        <v>0</v>
      </c>
      <c r="O515" s="28">
        <f t="shared" si="91"/>
        <v>58924.669999999984</v>
      </c>
      <c r="P515" s="9" t="s">
        <v>26</v>
      </c>
      <c r="Q515" s="2">
        <v>45548</v>
      </c>
      <c r="R515" s="38"/>
      <c r="S515" s="52"/>
      <c r="T515" s="4">
        <f t="shared" si="87"/>
        <v>3600</v>
      </c>
      <c r="U515" s="5"/>
      <c r="V515" s="4">
        <f t="shared" si="80"/>
        <v>3600</v>
      </c>
      <c r="W515" s="4">
        <f t="shared" si="92"/>
        <v>199663.04500000001</v>
      </c>
      <c r="X515" s="3"/>
      <c r="Y515" s="3"/>
      <c r="Z515" s="25">
        <f t="shared" si="93"/>
        <v>0</v>
      </c>
      <c r="AA515" s="72">
        <f t="shared" si="94"/>
        <v>199663.04500000001</v>
      </c>
      <c r="AB515" s="9" t="s">
        <v>26</v>
      </c>
      <c r="AC515" s="19">
        <v>45548</v>
      </c>
      <c r="AD515" s="41"/>
      <c r="AE515" s="42"/>
      <c r="AF515" s="4">
        <f t="shared" si="82"/>
        <v>6851.9</v>
      </c>
      <c r="AG515" s="3"/>
      <c r="AH515" s="8"/>
      <c r="AI515" s="4">
        <f t="shared" si="81"/>
        <v>6851.9</v>
      </c>
      <c r="AJ515" s="4">
        <f t="shared" si="88"/>
        <v>-246525.78050000008</v>
      </c>
      <c r="AK515" s="8"/>
      <c r="AL515" s="8"/>
      <c r="AM515" s="47"/>
      <c r="AN515" s="47"/>
      <c r="AO515" s="8"/>
      <c r="AP515" s="8"/>
      <c r="AQ515" s="47"/>
      <c r="AR515" s="47"/>
      <c r="AS515" s="8"/>
      <c r="AT515" s="8"/>
      <c r="AU515" s="47"/>
      <c r="AV515" s="47"/>
      <c r="AW515" s="8"/>
      <c r="AX515" s="8"/>
      <c r="AY515" s="47"/>
      <c r="AZ515" s="47"/>
      <c r="BA515" s="8"/>
      <c r="BB515" s="8"/>
      <c r="BC515" s="47"/>
      <c r="BD515" s="47"/>
      <c r="BE515" s="8"/>
      <c r="BF515" s="8"/>
      <c r="BG515" s="47"/>
      <c r="BH515" s="47"/>
      <c r="BI515" s="8"/>
      <c r="BJ515" s="3"/>
      <c r="BK515" s="47"/>
      <c r="BL515" s="47"/>
      <c r="BM515" s="24">
        <f t="shared" si="89"/>
        <v>0</v>
      </c>
      <c r="BN515" s="28">
        <f t="shared" si="83"/>
        <v>-246525.78050000008</v>
      </c>
      <c r="BO515" s="2">
        <v>45548</v>
      </c>
    </row>
    <row r="516" spans="4:67" hidden="1" x14ac:dyDescent="0.25">
      <c r="D516" s="9" t="s">
        <v>27</v>
      </c>
      <c r="E516" s="2">
        <v>45549</v>
      </c>
      <c r="F516" s="38"/>
      <c r="G516" s="51"/>
      <c r="H516" s="4">
        <f t="shared" si="84"/>
        <v>2005.6</v>
      </c>
      <c r="I516" s="5"/>
      <c r="J516" s="4">
        <f t="shared" si="85"/>
        <v>2005.6</v>
      </c>
      <c r="K516" s="4">
        <f t="shared" si="90"/>
        <v>60930.269999999982</v>
      </c>
      <c r="L516" s="3"/>
      <c r="M516" s="3"/>
      <c r="N516" s="33">
        <f t="shared" si="86"/>
        <v>0</v>
      </c>
      <c r="O516" s="28">
        <f t="shared" si="91"/>
        <v>60930.269999999982</v>
      </c>
      <c r="P516" s="9" t="s">
        <v>27</v>
      </c>
      <c r="Q516" s="2">
        <v>45549</v>
      </c>
      <c r="R516" s="38"/>
      <c r="S516" s="52"/>
      <c r="T516" s="4">
        <f t="shared" si="87"/>
        <v>3600</v>
      </c>
      <c r="U516" s="5"/>
      <c r="V516" s="4">
        <f t="shared" si="80"/>
        <v>3600</v>
      </c>
      <c r="W516" s="4">
        <f t="shared" si="92"/>
        <v>203263.04500000001</v>
      </c>
      <c r="X516" s="3"/>
      <c r="Y516" s="3"/>
      <c r="Z516" s="25">
        <f t="shared" si="93"/>
        <v>0</v>
      </c>
      <c r="AA516" s="72">
        <f t="shared" si="94"/>
        <v>203263.04500000001</v>
      </c>
      <c r="AB516" s="9" t="s">
        <v>27</v>
      </c>
      <c r="AC516" s="19">
        <v>45549</v>
      </c>
      <c r="AD516" s="41"/>
      <c r="AE516" s="42"/>
      <c r="AF516" s="4">
        <f t="shared" si="82"/>
        <v>6405.6</v>
      </c>
      <c r="AG516" s="3"/>
      <c r="AH516" s="8"/>
      <c r="AI516" s="4">
        <f t="shared" si="81"/>
        <v>6405.6</v>
      </c>
      <c r="AJ516" s="4">
        <f t="shared" si="88"/>
        <v>-240120.18050000007</v>
      </c>
      <c r="AK516" s="8"/>
      <c r="AL516" s="8"/>
      <c r="AM516" s="47"/>
      <c r="AN516" s="47"/>
      <c r="AO516" s="8"/>
      <c r="AP516" s="8"/>
      <c r="AQ516" s="47"/>
      <c r="AR516" s="47"/>
      <c r="AS516" s="8"/>
      <c r="AT516" s="8"/>
      <c r="AU516" s="47"/>
      <c r="AV516" s="47"/>
      <c r="AW516" s="8"/>
      <c r="AX516" s="8"/>
      <c r="AY516" s="47"/>
      <c r="AZ516" s="47"/>
      <c r="BA516" s="8"/>
      <c r="BB516" s="8"/>
      <c r="BC516" s="47"/>
      <c r="BD516" s="47"/>
      <c r="BE516" s="8"/>
      <c r="BF516" s="8"/>
      <c r="BG516" s="47"/>
      <c r="BH516" s="47"/>
      <c r="BI516" s="8"/>
      <c r="BJ516" s="3"/>
      <c r="BK516" s="47"/>
      <c r="BL516" s="47"/>
      <c r="BM516" s="24">
        <f t="shared" si="89"/>
        <v>0</v>
      </c>
      <c r="BN516" s="28">
        <f t="shared" si="83"/>
        <v>-240120.18050000007</v>
      </c>
      <c r="BO516" s="2">
        <v>45549</v>
      </c>
    </row>
    <row r="517" spans="4:67" hidden="1" x14ac:dyDescent="0.25">
      <c r="D517" s="9" t="s">
        <v>28</v>
      </c>
      <c r="E517" s="2">
        <v>45550</v>
      </c>
      <c r="F517" s="38"/>
      <c r="G517" s="51"/>
      <c r="H517" s="4">
        <f t="shared" si="84"/>
        <v>2000.375</v>
      </c>
      <c r="I517" s="5"/>
      <c r="J517" s="4">
        <f t="shared" si="85"/>
        <v>2000.375</v>
      </c>
      <c r="K517" s="4">
        <f t="shared" si="90"/>
        <v>62930.644999999982</v>
      </c>
      <c r="L517" s="3"/>
      <c r="M517" s="3"/>
      <c r="N517" s="33">
        <f t="shared" si="86"/>
        <v>0</v>
      </c>
      <c r="O517" s="28">
        <f t="shared" si="91"/>
        <v>62930.644999999982</v>
      </c>
      <c r="P517" s="9" t="s">
        <v>28</v>
      </c>
      <c r="Q517" s="2">
        <v>45550</v>
      </c>
      <c r="R517" s="38"/>
      <c r="S517" s="52"/>
      <c r="T517" s="4">
        <f t="shared" si="87"/>
        <v>3600</v>
      </c>
      <c r="U517" s="5"/>
      <c r="V517" s="4">
        <f t="shared" si="80"/>
        <v>3600</v>
      </c>
      <c r="W517" s="4">
        <f t="shared" si="92"/>
        <v>206863.04500000001</v>
      </c>
      <c r="X517" s="3"/>
      <c r="Y517" s="3"/>
      <c r="Z517" s="25">
        <f t="shared" si="93"/>
        <v>0</v>
      </c>
      <c r="AA517" s="72">
        <f t="shared" si="94"/>
        <v>206863.04500000001</v>
      </c>
      <c r="AB517" s="9" t="s">
        <v>28</v>
      </c>
      <c r="AC517" s="19">
        <v>45550</v>
      </c>
      <c r="AD517" s="41"/>
      <c r="AE517" s="42"/>
      <c r="AF517" s="4">
        <f t="shared" si="82"/>
        <v>6400.375</v>
      </c>
      <c r="AG517" s="3"/>
      <c r="AH517" s="8"/>
      <c r="AI517" s="4">
        <f t="shared" si="81"/>
        <v>6400.375</v>
      </c>
      <c r="AJ517" s="4">
        <f t="shared" si="88"/>
        <v>-233719.80550000007</v>
      </c>
      <c r="AK517" s="8"/>
      <c r="AL517" s="8"/>
      <c r="AM517" s="47"/>
      <c r="AN517" s="47"/>
      <c r="AO517" s="8"/>
      <c r="AP517" s="8"/>
      <c r="AQ517" s="47"/>
      <c r="AR517" s="47"/>
      <c r="AS517" s="8"/>
      <c r="AT517" s="8"/>
      <c r="AU517" s="47"/>
      <c r="AV517" s="47"/>
      <c r="AW517" s="8"/>
      <c r="AX517" s="8"/>
      <c r="AY517" s="47"/>
      <c r="AZ517" s="47"/>
      <c r="BA517" s="8"/>
      <c r="BB517" s="8"/>
      <c r="BC517" s="47"/>
      <c r="BD517" s="47"/>
      <c r="BE517" s="8"/>
      <c r="BF517" s="8"/>
      <c r="BG517" s="47"/>
      <c r="BH517" s="47"/>
      <c r="BI517" s="8"/>
      <c r="BJ517" s="3"/>
      <c r="BK517" s="47"/>
      <c r="BL517" s="47"/>
      <c r="BM517" s="24">
        <f t="shared" si="89"/>
        <v>0</v>
      </c>
      <c r="BN517" s="28">
        <f t="shared" si="83"/>
        <v>-233719.80550000007</v>
      </c>
      <c r="BO517" s="2">
        <v>45550</v>
      </c>
    </row>
    <row r="518" spans="4:67" hidden="1" x14ac:dyDescent="0.25">
      <c r="D518" s="9" t="s">
        <v>29</v>
      </c>
      <c r="E518" s="2">
        <v>45551</v>
      </c>
      <c r="F518" s="38"/>
      <c r="G518" s="51"/>
      <c r="H518" s="4">
        <f t="shared" si="84"/>
        <v>3451.8</v>
      </c>
      <c r="I518" s="5"/>
      <c r="J518" s="4">
        <f t="shared" si="85"/>
        <v>3451.8</v>
      </c>
      <c r="K518" s="4">
        <f t="shared" si="90"/>
        <v>66382.444999999978</v>
      </c>
      <c r="L518" s="3"/>
      <c r="M518" s="3"/>
      <c r="N518" s="33">
        <f t="shared" si="86"/>
        <v>0</v>
      </c>
      <c r="O518" s="28">
        <f t="shared" si="91"/>
        <v>66382.444999999978</v>
      </c>
      <c r="P518" s="9" t="s">
        <v>29</v>
      </c>
      <c r="Q518" s="2">
        <v>45551</v>
      </c>
      <c r="R518" s="38"/>
      <c r="S518" s="52"/>
      <c r="T518" s="4">
        <f t="shared" si="87"/>
        <v>3600</v>
      </c>
      <c r="U518" s="5"/>
      <c r="V518" s="4">
        <f t="shared" si="80"/>
        <v>3600</v>
      </c>
      <c r="W518" s="4">
        <f t="shared" si="92"/>
        <v>210463.04500000001</v>
      </c>
      <c r="X518" s="3"/>
      <c r="Y518" s="3"/>
      <c r="Z518" s="25">
        <f t="shared" si="93"/>
        <v>0</v>
      </c>
      <c r="AA518" s="72">
        <f t="shared" si="94"/>
        <v>210463.04500000001</v>
      </c>
      <c r="AB518" s="9" t="s">
        <v>29</v>
      </c>
      <c r="AC518" s="19">
        <v>45551</v>
      </c>
      <c r="AD518" s="41"/>
      <c r="AE518" s="42"/>
      <c r="AF518" s="4">
        <f t="shared" si="82"/>
        <v>7851.7999999999993</v>
      </c>
      <c r="AG518" s="3"/>
      <c r="AH518" s="8"/>
      <c r="AI518" s="4">
        <f t="shared" si="81"/>
        <v>7851.7999999999993</v>
      </c>
      <c r="AJ518" s="4">
        <f t="shared" si="88"/>
        <v>-225868.00550000009</v>
      </c>
      <c r="AK518" s="8"/>
      <c r="AL518" s="8"/>
      <c r="AM518" s="47"/>
      <c r="AN518" s="47"/>
      <c r="AO518" s="8"/>
      <c r="AP518" s="8"/>
      <c r="AQ518" s="47"/>
      <c r="AR518" s="47"/>
      <c r="AS518" s="8"/>
      <c r="AT518" s="8"/>
      <c r="AU518" s="47"/>
      <c r="AV518" s="47"/>
      <c r="AW518" s="8"/>
      <c r="AX518" s="8"/>
      <c r="AY518" s="47"/>
      <c r="AZ518" s="47"/>
      <c r="BA518" s="8"/>
      <c r="BB518" s="8"/>
      <c r="BC518" s="47"/>
      <c r="BD518" s="47"/>
      <c r="BE518" s="8"/>
      <c r="BF518" s="8"/>
      <c r="BG518" s="47"/>
      <c r="BH518" s="47"/>
      <c r="BI518" s="8"/>
      <c r="BJ518" s="3"/>
      <c r="BK518" s="47"/>
      <c r="BL518" s="47"/>
      <c r="BM518" s="24">
        <f t="shared" si="89"/>
        <v>0</v>
      </c>
      <c r="BN518" s="28">
        <f t="shared" si="83"/>
        <v>-225868.00550000009</v>
      </c>
      <c r="BO518" s="2">
        <v>45551</v>
      </c>
    </row>
    <row r="519" spans="4:67" hidden="1" x14ac:dyDescent="0.25">
      <c r="D519" s="9" t="s">
        <v>30</v>
      </c>
      <c r="E519" s="2">
        <v>45552</v>
      </c>
      <c r="F519" s="38"/>
      <c r="G519" s="51"/>
      <c r="H519" s="4">
        <f t="shared" si="84"/>
        <v>2606</v>
      </c>
      <c r="I519" s="5"/>
      <c r="J519" s="4">
        <f t="shared" si="85"/>
        <v>2606</v>
      </c>
      <c r="K519" s="4">
        <f t="shared" si="90"/>
        <v>68988.444999999978</v>
      </c>
      <c r="L519" s="3"/>
      <c r="M519" s="3"/>
      <c r="N519" s="33">
        <f t="shared" si="86"/>
        <v>0</v>
      </c>
      <c r="O519" s="28">
        <f t="shared" si="91"/>
        <v>68988.444999999978</v>
      </c>
      <c r="P519" s="9" t="s">
        <v>30</v>
      </c>
      <c r="Q519" s="2">
        <v>45552</v>
      </c>
      <c r="R519" s="38"/>
      <c r="S519" s="52"/>
      <c r="T519" s="4">
        <f t="shared" si="87"/>
        <v>3600</v>
      </c>
      <c r="U519" s="5"/>
      <c r="V519" s="4">
        <f t="shared" si="80"/>
        <v>3600</v>
      </c>
      <c r="W519" s="4">
        <f t="shared" si="92"/>
        <v>214063.04500000001</v>
      </c>
      <c r="X519" s="3"/>
      <c r="Y519" s="3"/>
      <c r="Z519" s="25">
        <f t="shared" si="93"/>
        <v>0</v>
      </c>
      <c r="AA519" s="72">
        <f t="shared" si="94"/>
        <v>214063.04500000001</v>
      </c>
      <c r="AB519" s="9" t="s">
        <v>30</v>
      </c>
      <c r="AC519" s="19">
        <v>45552</v>
      </c>
      <c r="AD519" s="41"/>
      <c r="AE519" s="42"/>
      <c r="AF519" s="4">
        <f t="shared" si="82"/>
        <v>7006</v>
      </c>
      <c r="AG519" s="3"/>
      <c r="AH519" s="8"/>
      <c r="AI519" s="4">
        <f t="shared" si="81"/>
        <v>7006</v>
      </c>
      <c r="AJ519" s="4">
        <f t="shared" si="88"/>
        <v>-218862.00550000009</v>
      </c>
      <c r="AK519" s="8"/>
      <c r="AL519" s="8"/>
      <c r="AM519" s="47"/>
      <c r="AN519" s="47"/>
      <c r="AO519" s="8"/>
      <c r="AP519" s="8"/>
      <c r="AQ519" s="47"/>
      <c r="AR519" s="47"/>
      <c r="AS519" s="8"/>
      <c r="AT519" s="8"/>
      <c r="AU519" s="47"/>
      <c r="AV519" s="47"/>
      <c r="AW519" s="8"/>
      <c r="AX519" s="8"/>
      <c r="AY519" s="47"/>
      <c r="AZ519" s="47"/>
      <c r="BA519" s="8"/>
      <c r="BB519" s="8"/>
      <c r="BC519" s="47"/>
      <c r="BD519" s="47"/>
      <c r="BE519" s="8"/>
      <c r="BF519" s="8"/>
      <c r="BG519" s="47"/>
      <c r="BH519" s="47"/>
      <c r="BI519" s="8"/>
      <c r="BJ519" s="3"/>
      <c r="BK519" s="47"/>
      <c r="BL519" s="47"/>
      <c r="BM519" s="24">
        <f t="shared" si="89"/>
        <v>0</v>
      </c>
      <c r="BN519" s="28">
        <f t="shared" si="83"/>
        <v>-218862.00550000009</v>
      </c>
      <c r="BO519" s="2">
        <v>45552</v>
      </c>
    </row>
    <row r="520" spans="4:67" hidden="1" x14ac:dyDescent="0.25">
      <c r="D520" s="9" t="s">
        <v>31</v>
      </c>
      <c r="E520" s="2">
        <v>45553</v>
      </c>
      <c r="F520" s="38"/>
      <c r="G520" s="51"/>
      <c r="H520" s="4">
        <f t="shared" si="84"/>
        <v>2038.7</v>
      </c>
      <c r="I520" s="5"/>
      <c r="J520" s="4">
        <f t="shared" si="85"/>
        <v>2038.7</v>
      </c>
      <c r="K520" s="4">
        <f t="shared" si="90"/>
        <v>71027.144999999975</v>
      </c>
      <c r="L520" s="3"/>
      <c r="M520" s="3"/>
      <c r="N520" s="33">
        <f t="shared" si="86"/>
        <v>0</v>
      </c>
      <c r="O520" s="28">
        <f t="shared" si="91"/>
        <v>71027.144999999975</v>
      </c>
      <c r="P520" s="9" t="s">
        <v>31</v>
      </c>
      <c r="Q520" s="2">
        <v>45553</v>
      </c>
      <c r="R520" s="38"/>
      <c r="S520" s="52"/>
      <c r="T520" s="4">
        <f t="shared" si="87"/>
        <v>3600</v>
      </c>
      <c r="U520" s="5"/>
      <c r="V520" s="4">
        <f t="shared" si="80"/>
        <v>3600</v>
      </c>
      <c r="W520" s="4">
        <f t="shared" si="92"/>
        <v>217663.04500000001</v>
      </c>
      <c r="X520" s="3"/>
      <c r="Y520" s="3"/>
      <c r="Z520" s="25">
        <f t="shared" si="93"/>
        <v>0</v>
      </c>
      <c r="AA520" s="72">
        <f t="shared" si="94"/>
        <v>217663.04500000001</v>
      </c>
      <c r="AB520" s="9" t="s">
        <v>31</v>
      </c>
      <c r="AC520" s="19">
        <v>45553</v>
      </c>
      <c r="AD520" s="41"/>
      <c r="AE520" s="42"/>
      <c r="AF520" s="4">
        <f t="shared" si="82"/>
        <v>6438.6999999999989</v>
      </c>
      <c r="AG520" s="3"/>
      <c r="AH520" s="8"/>
      <c r="AI520" s="4">
        <f t="shared" si="81"/>
        <v>6438.6999999999989</v>
      </c>
      <c r="AJ520" s="4">
        <f t="shared" si="88"/>
        <v>-212423.30550000007</v>
      </c>
      <c r="AK520" s="8"/>
      <c r="AL520" s="8"/>
      <c r="AM520" s="47"/>
      <c r="AN520" s="47"/>
      <c r="AO520" s="8"/>
      <c r="AP520" s="8"/>
      <c r="AQ520" s="47"/>
      <c r="AR520" s="47"/>
      <c r="AS520" s="8"/>
      <c r="AT520" s="8"/>
      <c r="AU520" s="47"/>
      <c r="AV520" s="47"/>
      <c r="AW520" s="8"/>
      <c r="AX520" s="8"/>
      <c r="AY520" s="47"/>
      <c r="AZ520" s="47"/>
      <c r="BA520" s="8"/>
      <c r="BB520" s="8"/>
      <c r="BC520" s="47"/>
      <c r="BD520" s="47"/>
      <c r="BE520" s="8"/>
      <c r="BF520" s="8"/>
      <c r="BG520" s="47"/>
      <c r="BH520" s="47"/>
      <c r="BI520" s="8"/>
      <c r="BJ520" s="3"/>
      <c r="BK520" s="47"/>
      <c r="BL520" s="47"/>
      <c r="BM520" s="24">
        <f t="shared" si="89"/>
        <v>0</v>
      </c>
      <c r="BN520" s="28">
        <f t="shared" si="83"/>
        <v>-212423.30550000007</v>
      </c>
      <c r="BO520" s="2">
        <v>45553</v>
      </c>
    </row>
    <row r="521" spans="4:67" hidden="1" x14ac:dyDescent="0.25">
      <c r="D521" s="9" t="s">
        <v>32</v>
      </c>
      <c r="E521" s="2">
        <v>45554</v>
      </c>
      <c r="F521" s="38"/>
      <c r="G521" s="51"/>
      <c r="H521" s="4">
        <f t="shared" si="84"/>
        <v>1601.575</v>
      </c>
      <c r="I521" s="5"/>
      <c r="J521" s="4">
        <f t="shared" si="85"/>
        <v>1601.575</v>
      </c>
      <c r="K521" s="4">
        <f t="shared" si="90"/>
        <v>72628.719999999972</v>
      </c>
      <c r="L521" s="3"/>
      <c r="M521" s="3"/>
      <c r="N521" s="33">
        <f t="shared" si="86"/>
        <v>0</v>
      </c>
      <c r="O521" s="28">
        <f t="shared" si="91"/>
        <v>72628.719999999972</v>
      </c>
      <c r="P521" s="9" t="s">
        <v>32</v>
      </c>
      <c r="Q521" s="2">
        <v>45554</v>
      </c>
      <c r="R521" s="38"/>
      <c r="S521" s="52"/>
      <c r="T521" s="4">
        <f t="shared" si="87"/>
        <v>3600</v>
      </c>
      <c r="U521" s="5"/>
      <c r="V521" s="4">
        <f t="shared" si="80"/>
        <v>3600</v>
      </c>
      <c r="W521" s="4">
        <f t="shared" si="92"/>
        <v>221263.04500000001</v>
      </c>
      <c r="X521" s="3"/>
      <c r="Y521" s="3"/>
      <c r="Z521" s="25">
        <f t="shared" si="93"/>
        <v>0</v>
      </c>
      <c r="AA521" s="72">
        <f t="shared" si="94"/>
        <v>221263.04500000001</v>
      </c>
      <c r="AB521" s="9" t="s">
        <v>32</v>
      </c>
      <c r="AC521" s="19">
        <v>45554</v>
      </c>
      <c r="AD521" s="41"/>
      <c r="AE521" s="42"/>
      <c r="AF521" s="4">
        <f t="shared" si="82"/>
        <v>6001.5749999999989</v>
      </c>
      <c r="AG521" s="3"/>
      <c r="AH521" s="8"/>
      <c r="AI521" s="4">
        <f t="shared" si="81"/>
        <v>6001.5749999999989</v>
      </c>
      <c r="AJ521" s="4">
        <f t="shared" si="88"/>
        <v>-206421.73050000006</v>
      </c>
      <c r="AK521" s="8"/>
      <c r="AL521" s="8"/>
      <c r="AM521" s="47"/>
      <c r="AN521" s="47"/>
      <c r="AO521" s="8"/>
      <c r="AP521" s="8"/>
      <c r="AQ521" s="47"/>
      <c r="AR521" s="47"/>
      <c r="AS521" s="8"/>
      <c r="AT521" s="8"/>
      <c r="AU521" s="47"/>
      <c r="AV521" s="47"/>
      <c r="AW521" s="8"/>
      <c r="AX521" s="8"/>
      <c r="AY521" s="47"/>
      <c r="AZ521" s="47"/>
      <c r="BA521" s="8"/>
      <c r="BB521" s="8"/>
      <c r="BC521" s="47"/>
      <c r="BD521" s="47"/>
      <c r="BE521" s="8"/>
      <c r="BF521" s="8"/>
      <c r="BG521" s="47"/>
      <c r="BH521" s="47"/>
      <c r="BI521" s="8"/>
      <c r="BJ521" s="3"/>
      <c r="BK521" s="47"/>
      <c r="BL521" s="47"/>
      <c r="BM521" s="24">
        <f t="shared" si="89"/>
        <v>0</v>
      </c>
      <c r="BN521" s="28">
        <f t="shared" si="83"/>
        <v>-206421.73050000006</v>
      </c>
      <c r="BO521" s="2">
        <v>45554</v>
      </c>
    </row>
    <row r="522" spans="4:67" hidden="1" x14ac:dyDescent="0.25">
      <c r="D522" s="9" t="s">
        <v>26</v>
      </c>
      <c r="E522" s="2">
        <v>45555</v>
      </c>
      <c r="F522" s="38"/>
      <c r="G522" s="51"/>
      <c r="H522" s="4">
        <f t="shared" si="84"/>
        <v>3141</v>
      </c>
      <c r="I522" s="5"/>
      <c r="J522" s="4">
        <f t="shared" si="85"/>
        <v>3141</v>
      </c>
      <c r="K522" s="4">
        <f t="shared" si="90"/>
        <v>75769.719999999972</v>
      </c>
      <c r="L522" s="3"/>
      <c r="M522" s="3"/>
      <c r="N522" s="33">
        <f t="shared" si="86"/>
        <v>0</v>
      </c>
      <c r="O522" s="28">
        <f t="shared" si="91"/>
        <v>75769.719999999972</v>
      </c>
      <c r="P522" s="9" t="s">
        <v>26</v>
      </c>
      <c r="Q522" s="2">
        <v>45555</v>
      </c>
      <c r="R522" s="38"/>
      <c r="S522" s="52"/>
      <c r="T522" s="4">
        <f t="shared" si="87"/>
        <v>3600</v>
      </c>
      <c r="U522" s="5"/>
      <c r="V522" s="4">
        <f t="shared" si="80"/>
        <v>3600</v>
      </c>
      <c r="W522" s="4">
        <f t="shared" si="92"/>
        <v>224863.04500000001</v>
      </c>
      <c r="X522" s="3"/>
      <c r="Y522" s="3"/>
      <c r="Z522" s="25">
        <f t="shared" si="93"/>
        <v>0</v>
      </c>
      <c r="AA522" s="72">
        <f t="shared" si="94"/>
        <v>224863.04500000001</v>
      </c>
      <c r="AB522" s="9" t="s">
        <v>26</v>
      </c>
      <c r="AC522" s="19">
        <v>45555</v>
      </c>
      <c r="AD522" s="41"/>
      <c r="AE522" s="42"/>
      <c r="AF522" s="4">
        <f t="shared" si="82"/>
        <v>7541</v>
      </c>
      <c r="AG522" s="3"/>
      <c r="AH522" s="8"/>
      <c r="AI522" s="4">
        <f t="shared" si="81"/>
        <v>7541</v>
      </c>
      <c r="AJ522" s="4">
        <f t="shared" si="88"/>
        <v>-198880.73050000006</v>
      </c>
      <c r="AK522" s="8"/>
      <c r="AL522" s="8"/>
      <c r="AM522" s="47"/>
      <c r="AN522" s="47"/>
      <c r="AO522" s="8"/>
      <c r="AP522" s="8"/>
      <c r="AQ522" s="47"/>
      <c r="AR522" s="47"/>
      <c r="AS522" s="8"/>
      <c r="AT522" s="8"/>
      <c r="AU522" s="47"/>
      <c r="AV522" s="47"/>
      <c r="AW522" s="8"/>
      <c r="AX522" s="8"/>
      <c r="AY522" s="47"/>
      <c r="AZ522" s="47"/>
      <c r="BA522" s="8"/>
      <c r="BB522" s="8"/>
      <c r="BC522" s="47"/>
      <c r="BD522" s="47"/>
      <c r="BE522" s="8"/>
      <c r="BF522" s="8"/>
      <c r="BG522" s="47"/>
      <c r="BH522" s="47"/>
      <c r="BI522" s="8"/>
      <c r="BJ522" s="3"/>
      <c r="BK522" s="47"/>
      <c r="BL522" s="47"/>
      <c r="BM522" s="24">
        <f t="shared" si="89"/>
        <v>0</v>
      </c>
      <c r="BN522" s="28">
        <f t="shared" si="83"/>
        <v>-198880.73050000006</v>
      </c>
      <c r="BO522" s="2">
        <v>45555</v>
      </c>
    </row>
    <row r="523" spans="4:67" hidden="1" x14ac:dyDescent="0.25">
      <c r="D523" s="9" t="s">
        <v>27</v>
      </c>
      <c r="E523" s="2">
        <v>45556</v>
      </c>
      <c r="F523" s="38"/>
      <c r="G523" s="51"/>
      <c r="H523" s="4">
        <f t="shared" si="84"/>
        <v>2503.5749999999998</v>
      </c>
      <c r="I523" s="5"/>
      <c r="J523" s="4">
        <f t="shared" si="85"/>
        <v>2503.5749999999998</v>
      </c>
      <c r="K523" s="4">
        <f t="shared" si="90"/>
        <v>78273.294999999969</v>
      </c>
      <c r="L523" s="3"/>
      <c r="M523" s="3"/>
      <c r="N523" s="33">
        <f t="shared" si="86"/>
        <v>0</v>
      </c>
      <c r="O523" s="28">
        <f t="shared" si="91"/>
        <v>78273.294999999969</v>
      </c>
      <c r="P523" s="9" t="s">
        <v>27</v>
      </c>
      <c r="Q523" s="2">
        <v>45556</v>
      </c>
      <c r="R523" s="38"/>
      <c r="S523" s="52"/>
      <c r="T523" s="4">
        <f t="shared" si="87"/>
        <v>3600</v>
      </c>
      <c r="U523" s="5"/>
      <c r="V523" s="4">
        <f t="shared" si="80"/>
        <v>3600</v>
      </c>
      <c r="W523" s="4">
        <f t="shared" si="92"/>
        <v>228463.04500000001</v>
      </c>
      <c r="X523" s="3"/>
      <c r="Y523" s="3"/>
      <c r="Z523" s="25">
        <f t="shared" si="93"/>
        <v>0</v>
      </c>
      <c r="AA523" s="72">
        <f t="shared" si="94"/>
        <v>228463.04500000001</v>
      </c>
      <c r="AB523" s="9" t="s">
        <v>27</v>
      </c>
      <c r="AC523" s="19">
        <v>45556</v>
      </c>
      <c r="AD523" s="41"/>
      <c r="AE523" s="42"/>
      <c r="AF523" s="4">
        <f t="shared" si="82"/>
        <v>6903.5750000000007</v>
      </c>
      <c r="AG523" s="3"/>
      <c r="AH523" s="8"/>
      <c r="AI523" s="4">
        <f t="shared" si="81"/>
        <v>6903.5750000000007</v>
      </c>
      <c r="AJ523" s="4">
        <f t="shared" si="88"/>
        <v>-191977.15550000005</v>
      </c>
      <c r="AK523" s="8"/>
      <c r="AL523" s="8"/>
      <c r="AM523" s="47"/>
      <c r="AN523" s="47"/>
      <c r="AO523" s="8"/>
      <c r="AP523" s="8"/>
      <c r="AQ523" s="47"/>
      <c r="AR523" s="47"/>
      <c r="AS523" s="8"/>
      <c r="AT523" s="8"/>
      <c r="AU523" s="47"/>
      <c r="AV523" s="47"/>
      <c r="AW523" s="8"/>
      <c r="AX523" s="8"/>
      <c r="AY523" s="47"/>
      <c r="AZ523" s="47"/>
      <c r="BA523" s="8"/>
      <c r="BB523" s="8"/>
      <c r="BC523" s="47"/>
      <c r="BD523" s="47"/>
      <c r="BE523" s="8"/>
      <c r="BF523" s="8"/>
      <c r="BG523" s="47"/>
      <c r="BH523" s="47"/>
      <c r="BI523" s="8"/>
      <c r="BJ523" s="3"/>
      <c r="BK523" s="47"/>
      <c r="BL523" s="47"/>
      <c r="BM523" s="24">
        <f t="shared" si="89"/>
        <v>0</v>
      </c>
      <c r="BN523" s="28">
        <f t="shared" si="83"/>
        <v>-191977.15550000005</v>
      </c>
      <c r="BO523" s="2">
        <v>45556</v>
      </c>
    </row>
    <row r="524" spans="4:67" hidden="1" x14ac:dyDescent="0.25">
      <c r="D524" s="9" t="s">
        <v>28</v>
      </c>
      <c r="E524" s="2">
        <v>45557</v>
      </c>
      <c r="F524" s="38"/>
      <c r="G524" s="51"/>
      <c r="H524" s="4">
        <f t="shared" si="84"/>
        <v>3415.05</v>
      </c>
      <c r="I524" s="5"/>
      <c r="J524" s="4">
        <f t="shared" si="85"/>
        <v>3415.05</v>
      </c>
      <c r="K524" s="4">
        <f t="shared" si="90"/>
        <v>81688.344999999972</v>
      </c>
      <c r="L524" s="3"/>
      <c r="M524" s="3"/>
      <c r="N524" s="33">
        <f t="shared" si="86"/>
        <v>0</v>
      </c>
      <c r="O524" s="28">
        <f t="shared" si="91"/>
        <v>81688.344999999972</v>
      </c>
      <c r="P524" s="9" t="s">
        <v>28</v>
      </c>
      <c r="Q524" s="2">
        <v>45557</v>
      </c>
      <c r="R524" s="38"/>
      <c r="S524" s="52"/>
      <c r="T524" s="4">
        <f t="shared" si="87"/>
        <v>3600</v>
      </c>
      <c r="U524" s="5"/>
      <c r="V524" s="4">
        <f t="shared" si="80"/>
        <v>3600</v>
      </c>
      <c r="W524" s="4">
        <f t="shared" si="92"/>
        <v>232063.04500000001</v>
      </c>
      <c r="X524" s="3"/>
      <c r="Y524" s="3"/>
      <c r="Z524" s="25">
        <f t="shared" si="93"/>
        <v>0</v>
      </c>
      <c r="AA524" s="72">
        <f t="shared" si="94"/>
        <v>232063.04500000001</v>
      </c>
      <c r="AB524" s="9" t="s">
        <v>28</v>
      </c>
      <c r="AC524" s="19">
        <v>45557</v>
      </c>
      <c r="AD524" s="41"/>
      <c r="AE524" s="42"/>
      <c r="AF524" s="4">
        <f t="shared" si="82"/>
        <v>7815.0499999999993</v>
      </c>
      <c r="AG524" s="3"/>
      <c r="AH524" s="8"/>
      <c r="AI524" s="4">
        <f t="shared" si="81"/>
        <v>7815.0499999999993</v>
      </c>
      <c r="AJ524" s="4">
        <f t="shared" si="88"/>
        <v>-184162.10550000006</v>
      </c>
      <c r="AK524" s="8"/>
      <c r="AL524" s="8"/>
      <c r="AM524" s="47"/>
      <c r="AN524" s="47"/>
      <c r="AO524" s="8"/>
      <c r="AP524" s="8"/>
      <c r="AQ524" s="47"/>
      <c r="AR524" s="47"/>
      <c r="AS524" s="8"/>
      <c r="AT524" s="8"/>
      <c r="AU524" s="47"/>
      <c r="AV524" s="47"/>
      <c r="AW524" s="8"/>
      <c r="AX524" s="8"/>
      <c r="AY524" s="47"/>
      <c r="AZ524" s="47"/>
      <c r="BA524" s="8"/>
      <c r="BB524" s="8"/>
      <c r="BC524" s="47"/>
      <c r="BD524" s="47"/>
      <c r="BE524" s="8"/>
      <c r="BF524" s="8"/>
      <c r="BG524" s="47"/>
      <c r="BH524" s="47"/>
      <c r="BI524" s="8"/>
      <c r="BJ524" s="3"/>
      <c r="BK524" s="47"/>
      <c r="BL524" s="47"/>
      <c r="BM524" s="24">
        <f t="shared" si="89"/>
        <v>0</v>
      </c>
      <c r="BN524" s="28">
        <f t="shared" si="83"/>
        <v>-184162.10550000006</v>
      </c>
      <c r="BO524" s="2">
        <v>45557</v>
      </c>
    </row>
    <row r="525" spans="4:67" hidden="1" x14ac:dyDescent="0.25">
      <c r="D525" s="9" t="s">
        <v>29</v>
      </c>
      <c r="E525" s="2">
        <v>45558</v>
      </c>
      <c r="F525" s="38"/>
      <c r="G525" s="51"/>
      <c r="H525" s="4">
        <f t="shared" si="84"/>
        <v>2097.4250000000002</v>
      </c>
      <c r="I525" s="5"/>
      <c r="J525" s="4">
        <f t="shared" si="85"/>
        <v>2097.4250000000002</v>
      </c>
      <c r="K525" s="4">
        <f t="shared" si="90"/>
        <v>83785.769999999975</v>
      </c>
      <c r="L525" s="3"/>
      <c r="M525" s="3"/>
      <c r="N525" s="33">
        <f t="shared" si="86"/>
        <v>0</v>
      </c>
      <c r="O525" s="28">
        <f t="shared" si="91"/>
        <v>83785.769999999975</v>
      </c>
      <c r="P525" s="9" t="s">
        <v>29</v>
      </c>
      <c r="Q525" s="2">
        <v>45558</v>
      </c>
      <c r="R525" s="38"/>
      <c r="S525" s="52"/>
      <c r="T525" s="4">
        <f t="shared" si="87"/>
        <v>3600</v>
      </c>
      <c r="U525" s="5"/>
      <c r="V525" s="4">
        <f t="shared" si="80"/>
        <v>3600</v>
      </c>
      <c r="W525" s="4">
        <f t="shared" si="92"/>
        <v>235663.04500000001</v>
      </c>
      <c r="X525" s="3"/>
      <c r="Y525" s="3"/>
      <c r="Z525" s="25">
        <f t="shared" si="93"/>
        <v>0</v>
      </c>
      <c r="AA525" s="72">
        <f t="shared" si="94"/>
        <v>235663.04500000001</v>
      </c>
      <c r="AB525" s="9" t="s">
        <v>29</v>
      </c>
      <c r="AC525" s="19">
        <v>45558</v>
      </c>
      <c r="AD525" s="41"/>
      <c r="AE525" s="42"/>
      <c r="AF525" s="4">
        <f t="shared" si="82"/>
        <v>6497.4249999999993</v>
      </c>
      <c r="AG525" s="3"/>
      <c r="AH525" s="8"/>
      <c r="AI525" s="4">
        <f t="shared" si="81"/>
        <v>6497.4249999999993</v>
      </c>
      <c r="AJ525" s="4">
        <f t="shared" si="88"/>
        <v>-177664.68050000007</v>
      </c>
      <c r="AK525" s="8"/>
      <c r="AL525" s="8"/>
      <c r="AM525" s="47"/>
      <c r="AN525" s="47"/>
      <c r="AO525" s="8"/>
      <c r="AP525" s="8"/>
      <c r="AQ525" s="47"/>
      <c r="AR525" s="47"/>
      <c r="AS525" s="8"/>
      <c r="AT525" s="8"/>
      <c r="AU525" s="47"/>
      <c r="AV525" s="47"/>
      <c r="AW525" s="8"/>
      <c r="AX525" s="8"/>
      <c r="AY525" s="47"/>
      <c r="AZ525" s="47"/>
      <c r="BA525" s="8"/>
      <c r="BB525" s="8"/>
      <c r="BC525" s="47"/>
      <c r="BD525" s="47"/>
      <c r="BE525" s="8"/>
      <c r="BF525" s="8"/>
      <c r="BG525" s="47"/>
      <c r="BH525" s="47"/>
      <c r="BI525" s="8"/>
      <c r="BJ525" s="3"/>
      <c r="BK525" s="47"/>
      <c r="BL525" s="47"/>
      <c r="BM525" s="24">
        <f t="shared" si="89"/>
        <v>0</v>
      </c>
      <c r="BN525" s="28">
        <f t="shared" si="83"/>
        <v>-177664.68050000007</v>
      </c>
      <c r="BO525" s="2">
        <v>45558</v>
      </c>
    </row>
    <row r="526" spans="4:67" hidden="1" x14ac:dyDescent="0.25">
      <c r="D526" s="9" t="s">
        <v>30</v>
      </c>
      <c r="E526" s="2">
        <v>45559</v>
      </c>
      <c r="F526" s="38"/>
      <c r="G526" s="51"/>
      <c r="H526" s="4">
        <f t="shared" si="84"/>
        <v>1827.075</v>
      </c>
      <c r="I526" s="5"/>
      <c r="J526" s="4">
        <f t="shared" si="85"/>
        <v>1827.075</v>
      </c>
      <c r="K526" s="4">
        <f t="shared" si="90"/>
        <v>85612.844999999972</v>
      </c>
      <c r="L526" s="3"/>
      <c r="M526" s="3"/>
      <c r="N526" s="33">
        <f t="shared" si="86"/>
        <v>0</v>
      </c>
      <c r="O526" s="28">
        <f t="shared" si="91"/>
        <v>85612.844999999972</v>
      </c>
      <c r="P526" s="9" t="s">
        <v>30</v>
      </c>
      <c r="Q526" s="2">
        <v>45559</v>
      </c>
      <c r="R526" s="38"/>
      <c r="S526" s="52"/>
      <c r="T526" s="4">
        <f t="shared" si="87"/>
        <v>3600</v>
      </c>
      <c r="U526" s="5"/>
      <c r="V526" s="4">
        <f t="shared" si="80"/>
        <v>3600</v>
      </c>
      <c r="W526" s="4">
        <f t="shared" si="92"/>
        <v>239263.04500000001</v>
      </c>
      <c r="X526" s="3"/>
      <c r="Y526" s="3"/>
      <c r="Z526" s="25">
        <f t="shared" si="93"/>
        <v>0</v>
      </c>
      <c r="AA526" s="72">
        <f t="shared" si="94"/>
        <v>239263.04500000001</v>
      </c>
      <c r="AB526" s="9" t="s">
        <v>30</v>
      </c>
      <c r="AC526" s="19">
        <v>45559</v>
      </c>
      <c r="AD526" s="41"/>
      <c r="AE526" s="42"/>
      <c r="AF526" s="4">
        <f t="shared" si="82"/>
        <v>6227.0749999999989</v>
      </c>
      <c r="AG526" s="3"/>
      <c r="AH526" s="8"/>
      <c r="AI526" s="4">
        <f t="shared" si="81"/>
        <v>6227.0749999999989</v>
      </c>
      <c r="AJ526" s="4">
        <f t="shared" si="88"/>
        <v>-171437.60550000006</v>
      </c>
      <c r="AK526" s="8"/>
      <c r="AL526" s="8"/>
      <c r="AM526" s="48"/>
      <c r="AN526" s="47"/>
      <c r="AO526" s="8"/>
      <c r="AP526" s="8"/>
      <c r="AQ526" s="47"/>
      <c r="AR526" s="47"/>
      <c r="AS526" s="8"/>
      <c r="AT526" s="8"/>
      <c r="AU526" s="47"/>
      <c r="AV526" s="47"/>
      <c r="AW526" s="8"/>
      <c r="AX526" s="8"/>
      <c r="AY526" s="47"/>
      <c r="AZ526" s="47"/>
      <c r="BA526" s="8"/>
      <c r="BB526" s="8"/>
      <c r="BC526" s="47"/>
      <c r="BD526" s="47"/>
      <c r="BE526" s="8"/>
      <c r="BF526" s="8"/>
      <c r="BG526" s="47"/>
      <c r="BH526" s="47"/>
      <c r="BI526" s="8"/>
      <c r="BJ526" s="3"/>
      <c r="BK526" s="47"/>
      <c r="BL526" s="47"/>
      <c r="BM526" s="24">
        <f t="shared" si="89"/>
        <v>0</v>
      </c>
      <c r="BN526" s="28">
        <f t="shared" si="83"/>
        <v>-171437.60550000006</v>
      </c>
      <c r="BO526" s="2">
        <v>45559</v>
      </c>
    </row>
    <row r="527" spans="4:67" hidden="1" x14ac:dyDescent="0.25">
      <c r="D527" s="9" t="s">
        <v>31</v>
      </c>
      <c r="E527" s="2">
        <v>45560</v>
      </c>
      <c r="F527" s="38"/>
      <c r="G527" s="51"/>
      <c r="H527" s="4">
        <f t="shared" si="84"/>
        <v>2287.8249999999998</v>
      </c>
      <c r="I527" s="5"/>
      <c r="J527" s="4">
        <f t="shared" si="85"/>
        <v>2287.8249999999998</v>
      </c>
      <c r="K527" s="4">
        <f t="shared" si="90"/>
        <v>87900.669999999969</v>
      </c>
      <c r="L527" s="3"/>
      <c r="M527" s="3"/>
      <c r="N527" s="33">
        <f t="shared" si="86"/>
        <v>0</v>
      </c>
      <c r="O527" s="28">
        <f t="shared" si="91"/>
        <v>87900.669999999969</v>
      </c>
      <c r="P527" s="9" t="s">
        <v>31</v>
      </c>
      <c r="Q527" s="2">
        <v>45560</v>
      </c>
      <c r="R527" s="38"/>
      <c r="S527" s="52"/>
      <c r="T527" s="4">
        <f t="shared" si="87"/>
        <v>3600</v>
      </c>
      <c r="U527" s="5"/>
      <c r="V527" s="4">
        <f t="shared" ref="V527:V590" si="95">(S527+T527)-U527</f>
        <v>3600</v>
      </c>
      <c r="W527" s="4">
        <f t="shared" si="92"/>
        <v>242863.04500000001</v>
      </c>
      <c r="X527" s="3"/>
      <c r="Y527" s="3"/>
      <c r="Z527" s="25">
        <f t="shared" si="93"/>
        <v>0</v>
      </c>
      <c r="AA527" s="72">
        <f t="shared" si="94"/>
        <v>242863.04500000001</v>
      </c>
      <c r="AB527" s="9" t="s">
        <v>31</v>
      </c>
      <c r="AC527" s="19">
        <v>45560</v>
      </c>
      <c r="AD527" s="41"/>
      <c r="AE527" s="42"/>
      <c r="AF527" s="4">
        <f t="shared" si="82"/>
        <v>6687.8250000000007</v>
      </c>
      <c r="AG527" s="3"/>
      <c r="AH527" s="8"/>
      <c r="AI527" s="4">
        <f t="shared" ref="AI527:AI590" si="96">(AE527+AF527)-AH527</f>
        <v>6687.8250000000007</v>
      </c>
      <c r="AJ527" s="4">
        <f t="shared" si="88"/>
        <v>-164749.78050000005</v>
      </c>
      <c r="AK527" s="8"/>
      <c r="AL527" s="8"/>
      <c r="AM527" s="47"/>
      <c r="AN527" s="47"/>
      <c r="AO527" s="8"/>
      <c r="AP527" s="8"/>
      <c r="AQ527" s="47"/>
      <c r="AR527" s="47"/>
      <c r="AS527" s="8"/>
      <c r="AT527" s="8"/>
      <c r="AU527" s="47"/>
      <c r="AV527" s="47"/>
      <c r="AW527" s="8"/>
      <c r="AX527" s="8"/>
      <c r="AY527" s="47"/>
      <c r="AZ527" s="47"/>
      <c r="BA527" s="8"/>
      <c r="BB527" s="8"/>
      <c r="BC527" s="47"/>
      <c r="BD527" s="47"/>
      <c r="BE527" s="8"/>
      <c r="BF527" s="8"/>
      <c r="BG527" s="47"/>
      <c r="BH527" s="47"/>
      <c r="BI527" s="8"/>
      <c r="BJ527" s="3"/>
      <c r="BK527" s="47"/>
      <c r="BL527" s="47"/>
      <c r="BM527" s="24">
        <f t="shared" si="89"/>
        <v>0</v>
      </c>
      <c r="BN527" s="28">
        <f t="shared" si="83"/>
        <v>-164749.78050000005</v>
      </c>
      <c r="BO527" s="2">
        <v>45560</v>
      </c>
    </row>
    <row r="528" spans="4:67" hidden="1" x14ac:dyDescent="0.25">
      <c r="D528" s="9" t="s">
        <v>32</v>
      </c>
      <c r="E528" s="2">
        <v>45561</v>
      </c>
      <c r="F528" s="38"/>
      <c r="G528" s="51"/>
      <c r="H528" s="4">
        <f t="shared" si="84"/>
        <v>2351.7249999999999</v>
      </c>
      <c r="I528" s="5"/>
      <c r="J528" s="4">
        <f t="shared" si="85"/>
        <v>2351.7249999999999</v>
      </c>
      <c r="K528" s="4">
        <f t="shared" si="90"/>
        <v>90252.394999999975</v>
      </c>
      <c r="L528" s="3"/>
      <c r="M528" s="3"/>
      <c r="N528" s="33">
        <f t="shared" si="86"/>
        <v>0</v>
      </c>
      <c r="O528" s="28">
        <f t="shared" si="91"/>
        <v>90252.394999999975</v>
      </c>
      <c r="P528" s="9" t="s">
        <v>32</v>
      </c>
      <c r="Q528" s="2">
        <v>45561</v>
      </c>
      <c r="R528" s="38"/>
      <c r="S528" s="52"/>
      <c r="T528" s="4">
        <f t="shared" si="87"/>
        <v>3600</v>
      </c>
      <c r="U528" s="5"/>
      <c r="V528" s="4">
        <f t="shared" si="95"/>
        <v>3600</v>
      </c>
      <c r="W528" s="4">
        <f t="shared" si="92"/>
        <v>246463.04500000001</v>
      </c>
      <c r="X528" s="3"/>
      <c r="Y528" s="3"/>
      <c r="Z528" s="25">
        <f t="shared" si="93"/>
        <v>0</v>
      </c>
      <c r="AA528" s="72">
        <f t="shared" si="94"/>
        <v>246463.04500000001</v>
      </c>
      <c r="AB528" s="9" t="s">
        <v>32</v>
      </c>
      <c r="AC528" s="19">
        <v>45561</v>
      </c>
      <c r="AD528" s="41"/>
      <c r="AE528" s="42"/>
      <c r="AF528" s="4">
        <f t="shared" si="82"/>
        <v>6751.7250000000004</v>
      </c>
      <c r="AG528" s="3"/>
      <c r="AH528" s="8"/>
      <c r="AI528" s="4">
        <f t="shared" si="96"/>
        <v>6751.7250000000004</v>
      </c>
      <c r="AJ528" s="4">
        <f t="shared" si="88"/>
        <v>-157998.05550000005</v>
      </c>
      <c r="AK528" s="8"/>
      <c r="AL528" s="8"/>
      <c r="AM528" s="47"/>
      <c r="AN528" s="47"/>
      <c r="AO528" s="8"/>
      <c r="AP528" s="8"/>
      <c r="AQ528" s="47"/>
      <c r="AR528" s="47"/>
      <c r="AS528" s="8"/>
      <c r="AT528" s="8"/>
      <c r="AU528" s="47"/>
      <c r="AV528" s="47"/>
      <c r="AW528" s="8"/>
      <c r="AX528" s="8"/>
      <c r="AY528" s="47"/>
      <c r="AZ528" s="47"/>
      <c r="BA528" s="8"/>
      <c r="BB528" s="8"/>
      <c r="BC528" s="47"/>
      <c r="BD528" s="47"/>
      <c r="BE528" s="8"/>
      <c r="BF528" s="8"/>
      <c r="BG528" s="47"/>
      <c r="BH528" s="47"/>
      <c r="BI528" s="8"/>
      <c r="BJ528" s="3"/>
      <c r="BK528" s="47"/>
      <c r="BL528" s="47"/>
      <c r="BM528" s="24">
        <f t="shared" si="89"/>
        <v>0</v>
      </c>
      <c r="BN528" s="28">
        <f t="shared" si="83"/>
        <v>-157998.05550000005</v>
      </c>
      <c r="BO528" s="2">
        <v>45561</v>
      </c>
    </row>
    <row r="529" spans="4:67" hidden="1" x14ac:dyDescent="0.25">
      <c r="D529" s="9" t="s">
        <v>26</v>
      </c>
      <c r="E529" s="2">
        <v>45562</v>
      </c>
      <c r="F529" s="38"/>
      <c r="G529" s="51"/>
      <c r="H529" s="4">
        <f t="shared" si="84"/>
        <v>2653.55</v>
      </c>
      <c r="I529" s="5"/>
      <c r="J529" s="4">
        <f t="shared" si="85"/>
        <v>2653.55</v>
      </c>
      <c r="K529" s="4">
        <f t="shared" si="90"/>
        <v>92905.944999999978</v>
      </c>
      <c r="L529" s="3"/>
      <c r="M529" s="3"/>
      <c r="N529" s="33">
        <f t="shared" si="86"/>
        <v>0</v>
      </c>
      <c r="O529" s="28">
        <f t="shared" si="91"/>
        <v>92905.944999999978</v>
      </c>
      <c r="P529" s="9" t="s">
        <v>26</v>
      </c>
      <c r="Q529" s="2">
        <v>45562</v>
      </c>
      <c r="R529" s="38"/>
      <c r="S529" s="52"/>
      <c r="T529" s="4">
        <f t="shared" si="87"/>
        <v>3600</v>
      </c>
      <c r="U529" s="5"/>
      <c r="V529" s="4">
        <f t="shared" si="95"/>
        <v>3600</v>
      </c>
      <c r="W529" s="4">
        <f t="shared" si="92"/>
        <v>250063.04500000001</v>
      </c>
      <c r="X529" s="3"/>
      <c r="Y529" s="3"/>
      <c r="Z529" s="25">
        <f t="shared" si="93"/>
        <v>0</v>
      </c>
      <c r="AA529" s="72">
        <f t="shared" si="94"/>
        <v>250063.04500000001</v>
      </c>
      <c r="AB529" s="9" t="s">
        <v>26</v>
      </c>
      <c r="AC529" s="19">
        <v>45562</v>
      </c>
      <c r="AD529" s="41"/>
      <c r="AE529" s="42"/>
      <c r="AF529" s="4">
        <f t="shared" si="82"/>
        <v>7053.5499999999993</v>
      </c>
      <c r="AG529" s="3"/>
      <c r="AH529" s="8"/>
      <c r="AI529" s="4">
        <f t="shared" si="96"/>
        <v>7053.5499999999993</v>
      </c>
      <c r="AJ529" s="4">
        <f t="shared" si="88"/>
        <v>-150944.50550000006</v>
      </c>
      <c r="AK529" s="8"/>
      <c r="AL529" s="8"/>
      <c r="AM529" s="47"/>
      <c r="AN529" s="47"/>
      <c r="AO529" s="8"/>
      <c r="AP529" s="8"/>
      <c r="AQ529" s="47"/>
      <c r="AR529" s="47"/>
      <c r="AS529" s="8"/>
      <c r="AT529" s="8"/>
      <c r="AU529" s="47"/>
      <c r="AV529" s="47"/>
      <c r="AW529" s="8"/>
      <c r="AX529" s="8"/>
      <c r="AY529" s="47"/>
      <c r="AZ529" s="47"/>
      <c r="BA529" s="8"/>
      <c r="BB529" s="8"/>
      <c r="BC529" s="47"/>
      <c r="BD529" s="47"/>
      <c r="BE529" s="8"/>
      <c r="BF529" s="8"/>
      <c r="BG529" s="47"/>
      <c r="BH529" s="47"/>
      <c r="BI529" s="8"/>
      <c r="BJ529" s="3"/>
      <c r="BK529" s="47"/>
      <c r="BL529" s="47"/>
      <c r="BM529" s="24">
        <f t="shared" si="89"/>
        <v>0</v>
      </c>
      <c r="BN529" s="28">
        <f t="shared" si="83"/>
        <v>-150944.50550000006</v>
      </c>
      <c r="BO529" s="2">
        <v>45562</v>
      </c>
    </row>
    <row r="530" spans="4:67" hidden="1" x14ac:dyDescent="0.25">
      <c r="D530" s="9" t="s">
        <v>27</v>
      </c>
      <c r="E530" s="2">
        <v>45563</v>
      </c>
      <c r="F530" s="38"/>
      <c r="G530" s="51"/>
      <c r="H530" s="4">
        <f t="shared" si="84"/>
        <v>2523.2750000000001</v>
      </c>
      <c r="I530" s="5"/>
      <c r="J530" s="4">
        <f t="shared" si="85"/>
        <v>2523.2750000000001</v>
      </c>
      <c r="K530" s="4">
        <f t="shared" si="90"/>
        <v>95429.219999999972</v>
      </c>
      <c r="L530" s="3"/>
      <c r="M530" s="3"/>
      <c r="N530" s="33">
        <f t="shared" si="86"/>
        <v>0</v>
      </c>
      <c r="O530" s="28">
        <f t="shared" si="91"/>
        <v>95429.219999999972</v>
      </c>
      <c r="P530" s="9" t="s">
        <v>27</v>
      </c>
      <c r="Q530" s="2">
        <v>45563</v>
      </c>
      <c r="R530" s="38"/>
      <c r="S530" s="52"/>
      <c r="T530" s="4">
        <f t="shared" si="87"/>
        <v>3600</v>
      </c>
      <c r="U530" s="5"/>
      <c r="V530" s="4">
        <f t="shared" si="95"/>
        <v>3600</v>
      </c>
      <c r="W530" s="4">
        <f t="shared" si="92"/>
        <v>253663.04500000001</v>
      </c>
      <c r="X530" s="3"/>
      <c r="Y530" s="3"/>
      <c r="Z530" s="25">
        <f t="shared" si="93"/>
        <v>0</v>
      </c>
      <c r="AA530" s="72">
        <f t="shared" si="94"/>
        <v>253663.04500000001</v>
      </c>
      <c r="AB530" s="9" t="s">
        <v>27</v>
      </c>
      <c r="AC530" s="19">
        <v>45563</v>
      </c>
      <c r="AD530" s="41"/>
      <c r="AE530" s="42"/>
      <c r="AF530" s="4">
        <f t="shared" si="82"/>
        <v>6923.2749999999996</v>
      </c>
      <c r="AG530" s="3"/>
      <c r="AH530" s="8"/>
      <c r="AI530" s="4">
        <f t="shared" si="96"/>
        <v>6923.2749999999996</v>
      </c>
      <c r="AJ530" s="4">
        <f t="shared" si="88"/>
        <v>-144021.23050000006</v>
      </c>
      <c r="AK530" s="8"/>
      <c r="AL530" s="8"/>
      <c r="AM530" s="47"/>
      <c r="AN530" s="47"/>
      <c r="AO530" s="8"/>
      <c r="AP530" s="8"/>
      <c r="AQ530" s="47"/>
      <c r="AR530" s="47"/>
      <c r="AS530" s="8"/>
      <c r="AT530" s="8"/>
      <c r="AU530" s="47"/>
      <c r="AV530" s="47"/>
      <c r="AW530" s="8"/>
      <c r="AX530" s="8"/>
      <c r="AY530" s="47"/>
      <c r="AZ530" s="47"/>
      <c r="BA530" s="8"/>
      <c r="BB530" s="8"/>
      <c r="BC530" s="47"/>
      <c r="BD530" s="47"/>
      <c r="BE530" s="8"/>
      <c r="BF530" s="8"/>
      <c r="BG530" s="47"/>
      <c r="BH530" s="47"/>
      <c r="BI530" s="8"/>
      <c r="BJ530" s="3"/>
      <c r="BK530" s="47"/>
      <c r="BL530" s="47"/>
      <c r="BM530" s="24">
        <f t="shared" si="89"/>
        <v>0</v>
      </c>
      <c r="BN530" s="28">
        <f t="shared" si="83"/>
        <v>-144021.23050000006</v>
      </c>
      <c r="BO530" s="2">
        <v>45563</v>
      </c>
    </row>
    <row r="531" spans="4:67" hidden="1" x14ac:dyDescent="0.25">
      <c r="D531" s="9" t="s">
        <v>28</v>
      </c>
      <c r="E531" s="2">
        <v>45564</v>
      </c>
      <c r="F531" s="38"/>
      <c r="G531" s="51"/>
      <c r="H531" s="4">
        <f t="shared" si="84"/>
        <v>2157.75</v>
      </c>
      <c r="I531" s="5"/>
      <c r="J531" s="4">
        <f t="shared" si="85"/>
        <v>2157.75</v>
      </c>
      <c r="K531" s="4">
        <f t="shared" si="90"/>
        <v>97586.969999999972</v>
      </c>
      <c r="L531" s="3"/>
      <c r="M531" s="3"/>
      <c r="N531" s="33">
        <f t="shared" si="86"/>
        <v>0</v>
      </c>
      <c r="O531" s="28">
        <f t="shared" si="91"/>
        <v>97586.969999999972</v>
      </c>
      <c r="P531" s="9" t="s">
        <v>28</v>
      </c>
      <c r="Q531" s="2">
        <v>45564</v>
      </c>
      <c r="R531" s="38"/>
      <c r="S531" s="52"/>
      <c r="T531" s="4">
        <f t="shared" si="87"/>
        <v>3600</v>
      </c>
      <c r="U531" s="5"/>
      <c r="V531" s="4">
        <f t="shared" si="95"/>
        <v>3600</v>
      </c>
      <c r="W531" s="4">
        <f t="shared" si="92"/>
        <v>257263.04500000001</v>
      </c>
      <c r="X531" s="3"/>
      <c r="Y531" s="3"/>
      <c r="Z531" s="25">
        <f t="shared" si="93"/>
        <v>0</v>
      </c>
      <c r="AA531" s="72">
        <f t="shared" si="94"/>
        <v>257263.04500000001</v>
      </c>
      <c r="AB531" s="9" t="s">
        <v>28</v>
      </c>
      <c r="AC531" s="19">
        <v>45564</v>
      </c>
      <c r="AD531" s="41"/>
      <c r="AE531" s="42"/>
      <c r="AF531" s="4">
        <f t="shared" si="82"/>
        <v>6557.75</v>
      </c>
      <c r="AG531" s="3"/>
      <c r="AH531" s="8"/>
      <c r="AI531" s="4">
        <f t="shared" si="96"/>
        <v>6557.75</v>
      </c>
      <c r="AJ531" s="4">
        <f t="shared" si="88"/>
        <v>-137463.48050000006</v>
      </c>
      <c r="AK531" s="8"/>
      <c r="AL531" s="8"/>
      <c r="AM531" s="47"/>
      <c r="AN531" s="47"/>
      <c r="AO531" s="8"/>
      <c r="AP531" s="8"/>
      <c r="AQ531" s="47"/>
      <c r="AR531" s="47"/>
      <c r="AS531" s="8"/>
      <c r="AT531" s="8"/>
      <c r="AU531" s="47"/>
      <c r="AV531" s="47"/>
      <c r="AW531" s="8"/>
      <c r="AX531" s="8"/>
      <c r="AY531" s="47"/>
      <c r="AZ531" s="47"/>
      <c r="BA531" s="8"/>
      <c r="BB531" s="8"/>
      <c r="BC531" s="47"/>
      <c r="BD531" s="47"/>
      <c r="BE531" s="8"/>
      <c r="BF531" s="8"/>
      <c r="BG531" s="47"/>
      <c r="BH531" s="47"/>
      <c r="BI531" s="8"/>
      <c r="BJ531" s="3"/>
      <c r="BK531" s="47"/>
      <c r="BL531" s="47"/>
      <c r="BM531" s="24">
        <f t="shared" si="89"/>
        <v>0</v>
      </c>
      <c r="BN531" s="28">
        <f t="shared" si="83"/>
        <v>-137463.48050000006</v>
      </c>
      <c r="BO531" s="2">
        <v>45564</v>
      </c>
    </row>
    <row r="532" spans="4:67" s="13" customFormat="1" hidden="1" x14ac:dyDescent="0.25">
      <c r="D532" s="13" t="s">
        <v>29</v>
      </c>
      <c r="E532" s="10">
        <v>45565</v>
      </c>
      <c r="F532" s="10"/>
      <c r="G532" s="54"/>
      <c r="H532" s="11">
        <f t="shared" si="84"/>
        <v>0</v>
      </c>
      <c r="I532" s="12"/>
      <c r="J532" s="11">
        <f t="shared" si="85"/>
        <v>0</v>
      </c>
      <c r="K532" s="11">
        <f t="shared" si="90"/>
        <v>97586.969999999972</v>
      </c>
      <c r="L532" s="11" t="s">
        <v>246</v>
      </c>
      <c r="M532" s="11">
        <v>97587</v>
      </c>
      <c r="N532" s="26">
        <f t="shared" si="86"/>
        <v>97587</v>
      </c>
      <c r="O532" s="11">
        <f t="shared" si="91"/>
        <v>-3.0000000027939677E-2</v>
      </c>
      <c r="P532" s="13" t="s">
        <v>29</v>
      </c>
      <c r="Q532" s="10">
        <v>45565</v>
      </c>
      <c r="R532" s="10"/>
      <c r="S532" s="53"/>
      <c r="T532" s="11">
        <f t="shared" si="87"/>
        <v>0</v>
      </c>
      <c r="U532" s="12"/>
      <c r="V532" s="11">
        <f t="shared" si="95"/>
        <v>0</v>
      </c>
      <c r="W532" s="11">
        <f t="shared" si="92"/>
        <v>257263.04500000001</v>
      </c>
      <c r="X532" s="11" t="s">
        <v>246</v>
      </c>
      <c r="Y532" s="11">
        <v>257263</v>
      </c>
      <c r="Z532" s="26">
        <f t="shared" si="93"/>
        <v>257263</v>
      </c>
      <c r="AA532" s="53">
        <f t="shared" si="94"/>
        <v>4.5000000012805685E-2</v>
      </c>
      <c r="AB532" s="13" t="s">
        <v>29</v>
      </c>
      <c r="AC532" s="20">
        <v>45565</v>
      </c>
      <c r="AD532" s="61"/>
      <c r="AE532" s="62"/>
      <c r="AF532" s="11">
        <f t="shared" si="82"/>
        <v>0</v>
      </c>
      <c r="AG532" s="11" t="s">
        <v>246</v>
      </c>
      <c r="AH532" s="15">
        <v>-137463</v>
      </c>
      <c r="AI532" s="11">
        <f t="shared" si="96"/>
        <v>137463</v>
      </c>
      <c r="AJ532" s="11">
        <f t="shared" si="88"/>
        <v>-0.48050000006332994</v>
      </c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1"/>
      <c r="BK532" s="15"/>
      <c r="BL532" s="15"/>
      <c r="BM532" s="23">
        <f t="shared" si="89"/>
        <v>0</v>
      </c>
      <c r="BN532" s="11">
        <f t="shared" si="83"/>
        <v>-0.48050000006332994</v>
      </c>
      <c r="BO532" s="10">
        <v>45565</v>
      </c>
    </row>
    <row r="533" spans="4:67" x14ac:dyDescent="0.25">
      <c r="D533" s="9" t="s">
        <v>30</v>
      </c>
      <c r="E533" s="80">
        <v>45566</v>
      </c>
      <c r="F533" s="38"/>
      <c r="G533" s="92"/>
      <c r="H533" s="4">
        <f>F222*50%</f>
        <v>1750</v>
      </c>
      <c r="I533" s="5"/>
      <c r="J533" s="4">
        <f t="shared" si="85"/>
        <v>1750</v>
      </c>
      <c r="K533" s="4">
        <f t="shared" si="90"/>
        <v>1749.9699999999721</v>
      </c>
      <c r="L533" s="3"/>
      <c r="M533" s="3"/>
      <c r="N533" s="33">
        <f>I533+M533</f>
        <v>0</v>
      </c>
      <c r="O533" s="28">
        <f t="shared" si="91"/>
        <v>1749.9699999999721</v>
      </c>
      <c r="P533" s="9" t="s">
        <v>30</v>
      </c>
      <c r="Q533" s="2">
        <v>45566</v>
      </c>
      <c r="R533" s="38"/>
      <c r="S533" s="52"/>
      <c r="T533" s="4">
        <f>R222*45%</f>
        <v>0</v>
      </c>
      <c r="U533" s="5"/>
      <c r="V533" s="4">
        <f t="shared" si="95"/>
        <v>0</v>
      </c>
      <c r="W533" s="4">
        <f t="shared" si="92"/>
        <v>4.5000000012805685E-2</v>
      </c>
      <c r="X533" s="3"/>
      <c r="Y533" s="3"/>
      <c r="Z533" s="25">
        <f t="shared" si="93"/>
        <v>0</v>
      </c>
      <c r="AA533" s="72">
        <f t="shared" si="94"/>
        <v>4.5000000012805685E-2</v>
      </c>
      <c r="AB533" s="9" t="s">
        <v>30</v>
      </c>
      <c r="AC533" s="19">
        <v>45566</v>
      </c>
      <c r="AD533" s="63" t="s">
        <v>247</v>
      </c>
      <c r="AE533" s="64">
        <v>15000</v>
      </c>
      <c r="AF533" s="4">
        <f>AD222-H533-T533</f>
        <v>1750</v>
      </c>
      <c r="AG533" s="3" t="s">
        <v>249</v>
      </c>
      <c r="AH533" s="8">
        <v>979.4</v>
      </c>
      <c r="AI533" s="4">
        <f t="shared" si="96"/>
        <v>15770.6</v>
      </c>
      <c r="AJ533" s="4">
        <f>AI533+BN532</f>
        <v>15770.119499999937</v>
      </c>
      <c r="AK533" s="8"/>
      <c r="AL533" s="8"/>
      <c r="AM533" s="47"/>
      <c r="AN533" s="47"/>
      <c r="AO533" s="8"/>
      <c r="AP533" s="8"/>
      <c r="AQ533" s="47"/>
      <c r="AR533" s="47"/>
      <c r="AS533" s="8"/>
      <c r="AT533" s="8"/>
      <c r="AU533" s="47"/>
      <c r="AV533" s="47"/>
      <c r="AW533" s="8"/>
      <c r="AX533" s="8"/>
      <c r="AY533" s="47"/>
      <c r="AZ533" s="47"/>
      <c r="BA533" s="8"/>
      <c r="BB533" s="8"/>
      <c r="BC533" s="47"/>
      <c r="BD533" s="47"/>
      <c r="BE533" s="8"/>
      <c r="BF533" s="8"/>
      <c r="BG533" s="47"/>
      <c r="BH533" s="47"/>
      <c r="BI533" s="8"/>
      <c r="BJ533" s="3"/>
      <c r="BK533" s="47"/>
      <c r="BL533" s="47"/>
      <c r="BM533" s="24">
        <f t="shared" si="89"/>
        <v>0</v>
      </c>
      <c r="BN533" s="28">
        <f t="shared" si="83"/>
        <v>15770.119499999937</v>
      </c>
      <c r="BO533" s="2">
        <v>45566</v>
      </c>
    </row>
    <row r="534" spans="4:67" x14ac:dyDescent="0.25">
      <c r="D534" s="9" t="s">
        <v>31</v>
      </c>
      <c r="E534" s="80">
        <v>45567</v>
      </c>
      <c r="F534" s="38"/>
      <c r="G534" s="51"/>
      <c r="H534" s="4">
        <f t="shared" si="84"/>
        <v>1750</v>
      </c>
      <c r="I534" s="5"/>
      <c r="J534" s="4">
        <f t="shared" si="85"/>
        <v>1750</v>
      </c>
      <c r="K534" s="4">
        <f>J534+O533</f>
        <v>3499.9699999999721</v>
      </c>
      <c r="L534" s="3"/>
      <c r="M534" s="3"/>
      <c r="N534" s="33">
        <f>I534+M534</f>
        <v>0</v>
      </c>
      <c r="O534" s="28">
        <f t="shared" si="91"/>
        <v>3499.9699999999721</v>
      </c>
      <c r="P534" s="9" t="s">
        <v>31</v>
      </c>
      <c r="Q534" s="2">
        <v>45567</v>
      </c>
      <c r="R534" s="38"/>
      <c r="S534" s="52"/>
      <c r="T534" s="4">
        <f t="shared" si="87"/>
        <v>0</v>
      </c>
      <c r="U534" s="5"/>
      <c r="V534" s="4">
        <f t="shared" si="95"/>
        <v>0</v>
      </c>
      <c r="W534" s="4">
        <f t="shared" si="92"/>
        <v>4.5000000012805685E-2</v>
      </c>
      <c r="X534" s="3"/>
      <c r="Y534" s="3"/>
      <c r="Z534" s="25">
        <f t="shared" si="93"/>
        <v>0</v>
      </c>
      <c r="AA534" s="72">
        <f t="shared" si="94"/>
        <v>4.5000000012805685E-2</v>
      </c>
      <c r="AB534" s="9" t="s">
        <v>31</v>
      </c>
      <c r="AC534" s="19">
        <v>45567</v>
      </c>
      <c r="AD534" s="41"/>
      <c r="AE534" s="42"/>
      <c r="AF534" s="4">
        <f t="shared" si="82"/>
        <v>1750</v>
      </c>
      <c r="AG534" s="3" t="s">
        <v>249</v>
      </c>
      <c r="AH534" s="8">
        <v>869.4</v>
      </c>
      <c r="AI534" s="4">
        <f t="shared" si="96"/>
        <v>880.6</v>
      </c>
      <c r="AJ534" s="4">
        <f t="shared" si="88"/>
        <v>16650.719499999937</v>
      </c>
      <c r="AK534" s="8"/>
      <c r="AL534" s="8"/>
      <c r="AM534" s="47"/>
      <c r="AN534" s="47"/>
      <c r="AO534" s="8"/>
      <c r="AP534" s="8"/>
      <c r="AQ534" s="47"/>
      <c r="AR534" s="47"/>
      <c r="AS534" s="8"/>
      <c r="AT534" s="8"/>
      <c r="AU534" s="47"/>
      <c r="AV534" s="47"/>
      <c r="AW534" s="8"/>
      <c r="AX534" s="8"/>
      <c r="AY534" s="47"/>
      <c r="AZ534" s="47"/>
      <c r="BA534" s="8"/>
      <c r="BB534" s="8"/>
      <c r="BC534" s="47"/>
      <c r="BD534" s="47"/>
      <c r="BE534" s="8"/>
      <c r="BF534" s="8"/>
      <c r="BG534" s="47"/>
      <c r="BH534" s="47"/>
      <c r="BI534" s="8"/>
      <c r="BJ534" s="3"/>
      <c r="BK534" s="47"/>
      <c r="BL534" s="47"/>
      <c r="BM534" s="24">
        <f t="shared" si="89"/>
        <v>0</v>
      </c>
      <c r="BN534" s="28">
        <f t="shared" si="83"/>
        <v>16650.719499999937</v>
      </c>
      <c r="BO534" s="2">
        <v>45567</v>
      </c>
    </row>
    <row r="535" spans="4:67" x14ac:dyDescent="0.25">
      <c r="D535" s="9" t="s">
        <v>32</v>
      </c>
      <c r="E535" s="80">
        <v>45568</v>
      </c>
      <c r="F535" s="38"/>
      <c r="G535" s="51"/>
      <c r="H535" s="4">
        <f t="shared" si="84"/>
        <v>1750</v>
      </c>
      <c r="I535" s="5"/>
      <c r="J535" s="4">
        <f t="shared" si="85"/>
        <v>1750</v>
      </c>
      <c r="K535" s="4">
        <f t="shared" si="90"/>
        <v>5249.9699999999721</v>
      </c>
      <c r="L535" s="3"/>
      <c r="M535" s="3"/>
      <c r="N535" s="33">
        <f t="shared" si="86"/>
        <v>0</v>
      </c>
      <c r="O535" s="28">
        <f t="shared" si="91"/>
        <v>5249.9699999999721</v>
      </c>
      <c r="P535" s="9" t="s">
        <v>32</v>
      </c>
      <c r="Q535" s="2">
        <v>45568</v>
      </c>
      <c r="R535" s="38"/>
      <c r="S535" s="52"/>
      <c r="T535" s="4">
        <f t="shared" si="87"/>
        <v>0</v>
      </c>
      <c r="U535" s="5">
        <v>608</v>
      </c>
      <c r="V535" s="4">
        <f t="shared" si="95"/>
        <v>-608</v>
      </c>
      <c r="W535" s="4">
        <f t="shared" si="92"/>
        <v>-607.95499999998719</v>
      </c>
      <c r="X535" s="3"/>
      <c r="Y535" s="3"/>
      <c r="Z535" s="25">
        <f t="shared" si="93"/>
        <v>608</v>
      </c>
      <c r="AA535" s="72">
        <f t="shared" si="94"/>
        <v>-607.95499999998719</v>
      </c>
      <c r="AB535" s="9" t="s">
        <v>32</v>
      </c>
      <c r="AC535" s="19">
        <v>45568</v>
      </c>
      <c r="AD535" s="41"/>
      <c r="AE535" s="42"/>
      <c r="AF535" s="4">
        <f t="shared" si="82"/>
        <v>1750</v>
      </c>
      <c r="AG535" s="3" t="s">
        <v>249</v>
      </c>
      <c r="AH535" s="8">
        <v>514.20000000000005</v>
      </c>
      <c r="AI535" s="4">
        <f t="shared" si="96"/>
        <v>1235.8</v>
      </c>
      <c r="AJ535" s="4">
        <f t="shared" si="88"/>
        <v>17886.519499999937</v>
      </c>
      <c r="AK535" s="3"/>
      <c r="AL535" s="8"/>
      <c r="AM535" s="47"/>
      <c r="AN535" s="47"/>
      <c r="AO535" s="8"/>
      <c r="AP535" s="8"/>
      <c r="AQ535" s="47"/>
      <c r="AR535" s="47"/>
      <c r="AS535" s="8"/>
      <c r="AT535" s="8"/>
      <c r="AU535" s="47"/>
      <c r="AV535" s="47"/>
      <c r="AW535" s="8"/>
      <c r="AX535" s="8"/>
      <c r="AY535" s="47"/>
      <c r="AZ535" s="47"/>
      <c r="BA535" s="8"/>
      <c r="BB535" s="8"/>
      <c r="BC535" s="47"/>
      <c r="BD535" s="47"/>
      <c r="BE535" s="8"/>
      <c r="BF535" s="8"/>
      <c r="BG535" s="47"/>
      <c r="BH535" s="47"/>
      <c r="BI535" s="8"/>
      <c r="BJ535" s="3"/>
      <c r="BK535" s="47"/>
      <c r="BL535" s="47"/>
      <c r="BM535" s="24">
        <f t="shared" si="89"/>
        <v>0</v>
      </c>
      <c r="BN535" s="28">
        <f t="shared" si="83"/>
        <v>17886.519499999937</v>
      </c>
      <c r="BO535" s="2">
        <v>45568</v>
      </c>
    </row>
    <row r="536" spans="4:67" x14ac:dyDescent="0.25">
      <c r="D536" s="9" t="s">
        <v>26</v>
      </c>
      <c r="E536" s="80">
        <v>45569</v>
      </c>
      <c r="F536" s="38"/>
      <c r="G536" s="51"/>
      <c r="H536" s="4">
        <f t="shared" si="84"/>
        <v>1750</v>
      </c>
      <c r="I536" s="5"/>
      <c r="J536" s="4">
        <f t="shared" si="85"/>
        <v>1750</v>
      </c>
      <c r="K536" s="4">
        <f t="shared" si="90"/>
        <v>6999.9699999999721</v>
      </c>
      <c r="L536" s="3"/>
      <c r="M536" s="3"/>
      <c r="N536" s="33">
        <f t="shared" si="86"/>
        <v>0</v>
      </c>
      <c r="O536" s="28">
        <f t="shared" si="91"/>
        <v>6999.9699999999721</v>
      </c>
      <c r="P536" s="9" t="s">
        <v>26</v>
      </c>
      <c r="Q536" s="2">
        <v>45569</v>
      </c>
      <c r="R536" s="38"/>
      <c r="S536" s="52"/>
      <c r="T536" s="4">
        <f t="shared" si="87"/>
        <v>0</v>
      </c>
      <c r="U536" s="5">
        <v>649</v>
      </c>
      <c r="V536" s="4">
        <f t="shared" si="95"/>
        <v>-649</v>
      </c>
      <c r="W536" s="4">
        <f t="shared" si="92"/>
        <v>-1256.9549999999872</v>
      </c>
      <c r="X536" s="3" t="s">
        <v>248</v>
      </c>
      <c r="Y536" s="3">
        <v>8045</v>
      </c>
      <c r="Z536" s="25">
        <f t="shared" si="93"/>
        <v>8694</v>
      </c>
      <c r="AA536" s="72">
        <f t="shared" si="94"/>
        <v>-9301.9549999999872</v>
      </c>
      <c r="AB536" s="9" t="s">
        <v>26</v>
      </c>
      <c r="AC536" s="19">
        <v>45569</v>
      </c>
      <c r="AD536" s="41"/>
      <c r="AE536" s="42"/>
      <c r="AF536" s="4">
        <f t="shared" si="82"/>
        <v>1750</v>
      </c>
      <c r="AG536" s="3" t="s">
        <v>249</v>
      </c>
      <c r="AH536" s="8">
        <v>1167</v>
      </c>
      <c r="AI536" s="4">
        <f t="shared" si="96"/>
        <v>583</v>
      </c>
      <c r="AJ536" s="4">
        <f t="shared" si="88"/>
        <v>18469.519499999937</v>
      </c>
      <c r="AK536" s="8"/>
      <c r="AL536" s="8"/>
      <c r="AM536" s="47"/>
      <c r="AN536" s="47"/>
      <c r="AO536" s="8"/>
      <c r="AP536" s="8"/>
      <c r="AQ536" s="47"/>
      <c r="AR536" s="47"/>
      <c r="AS536" s="8"/>
      <c r="AT536" s="8"/>
      <c r="AU536" s="47"/>
      <c r="AV536" s="47"/>
      <c r="AW536" s="8"/>
      <c r="AX536" s="8"/>
      <c r="AY536" s="47"/>
      <c r="AZ536" s="47"/>
      <c r="BA536" s="3"/>
      <c r="BB536" s="8"/>
      <c r="BC536" s="47"/>
      <c r="BD536" s="47"/>
      <c r="BE536" s="8"/>
      <c r="BF536" s="8"/>
      <c r="BG536" s="47"/>
      <c r="BH536" s="47"/>
      <c r="BI536" s="8"/>
      <c r="BJ536" s="3"/>
      <c r="BK536" s="47"/>
      <c r="BL536" s="47"/>
      <c r="BM536" s="24">
        <f t="shared" si="89"/>
        <v>0</v>
      </c>
      <c r="BN536" s="28">
        <f t="shared" si="83"/>
        <v>18469.519499999937</v>
      </c>
      <c r="BO536" s="2">
        <v>45569</v>
      </c>
    </row>
    <row r="537" spans="4:67" x14ac:dyDescent="0.25">
      <c r="D537" s="9" t="s">
        <v>27</v>
      </c>
      <c r="E537" s="80">
        <v>45570</v>
      </c>
      <c r="F537" s="38"/>
      <c r="G537" s="51"/>
      <c r="H537" s="4">
        <f t="shared" si="84"/>
        <v>1750</v>
      </c>
      <c r="I537" s="5"/>
      <c r="J537" s="4">
        <f t="shared" si="85"/>
        <v>1750</v>
      </c>
      <c r="K537" s="4">
        <f t="shared" si="90"/>
        <v>8749.9699999999721</v>
      </c>
      <c r="L537" s="3"/>
      <c r="M537" s="3"/>
      <c r="N537" s="33">
        <f t="shared" si="86"/>
        <v>0</v>
      </c>
      <c r="O537" s="28">
        <f t="shared" si="91"/>
        <v>8749.9699999999721</v>
      </c>
      <c r="P537" s="9" t="s">
        <v>27</v>
      </c>
      <c r="Q537" s="2">
        <v>45570</v>
      </c>
      <c r="R537" s="38"/>
      <c r="S537" s="52"/>
      <c r="T537" s="4">
        <f t="shared" si="87"/>
        <v>0</v>
      </c>
      <c r="U537" s="5"/>
      <c r="V537" s="4">
        <f t="shared" si="95"/>
        <v>0</v>
      </c>
      <c r="W537" s="4">
        <f t="shared" si="92"/>
        <v>-9301.9549999999872</v>
      </c>
      <c r="X537" s="3"/>
      <c r="Y537" s="3"/>
      <c r="Z537" s="25">
        <f t="shared" si="93"/>
        <v>0</v>
      </c>
      <c r="AA537" s="72">
        <f t="shared" si="94"/>
        <v>-9301.9549999999872</v>
      </c>
      <c r="AB537" s="9" t="s">
        <v>27</v>
      </c>
      <c r="AC537" s="19">
        <v>45570</v>
      </c>
      <c r="AD537" s="41"/>
      <c r="AE537" s="42"/>
      <c r="AF537" s="4">
        <f t="shared" si="82"/>
        <v>1750</v>
      </c>
      <c r="AG537" s="3" t="s">
        <v>249</v>
      </c>
      <c r="AH537" s="8">
        <v>1427</v>
      </c>
      <c r="AI537" s="4">
        <f t="shared" si="96"/>
        <v>323</v>
      </c>
      <c r="AJ537" s="4">
        <f t="shared" si="88"/>
        <v>18792.519499999937</v>
      </c>
      <c r="AK537" s="8"/>
      <c r="AL537" s="8"/>
      <c r="AM537" s="47"/>
      <c r="AN537" s="47"/>
      <c r="AO537" s="8"/>
      <c r="AP537" s="8"/>
      <c r="AQ537" s="47"/>
      <c r="AR537" s="47"/>
      <c r="AS537" s="8"/>
      <c r="AT537" s="8"/>
      <c r="AU537" s="47"/>
      <c r="AV537" s="47"/>
      <c r="AW537" s="8"/>
      <c r="AX537" s="8"/>
      <c r="AY537" s="47"/>
      <c r="AZ537" s="47"/>
      <c r="BA537" s="8"/>
      <c r="BB537" s="8"/>
      <c r="BC537" s="47"/>
      <c r="BD537" s="47"/>
      <c r="BE537" s="8"/>
      <c r="BF537" s="8"/>
      <c r="BG537" s="47"/>
      <c r="BH537" s="47"/>
      <c r="BI537" s="8"/>
      <c r="BJ537" s="3"/>
      <c r="BK537" s="47"/>
      <c r="BL537" s="47"/>
      <c r="BM537" s="24">
        <f t="shared" si="89"/>
        <v>0</v>
      </c>
      <c r="BN537" s="28">
        <f t="shared" si="83"/>
        <v>18792.519499999937</v>
      </c>
      <c r="BO537" s="2">
        <v>45570</v>
      </c>
    </row>
    <row r="538" spans="4:67" x14ac:dyDescent="0.25">
      <c r="D538" s="9" t="s">
        <v>28</v>
      </c>
      <c r="E538" s="80">
        <v>45571</v>
      </c>
      <c r="F538" s="38"/>
      <c r="G538" s="51"/>
      <c r="H538" s="4">
        <f t="shared" si="84"/>
        <v>1750</v>
      </c>
      <c r="I538" s="5"/>
      <c r="J538" s="4">
        <f t="shared" si="85"/>
        <v>1750</v>
      </c>
      <c r="K538" s="4">
        <f t="shared" si="90"/>
        <v>10499.969999999972</v>
      </c>
      <c r="L538" s="3"/>
      <c r="M538" s="3"/>
      <c r="N538" s="33">
        <f t="shared" si="86"/>
        <v>0</v>
      </c>
      <c r="O538" s="28">
        <f t="shared" si="91"/>
        <v>10499.969999999972</v>
      </c>
      <c r="P538" s="9" t="s">
        <v>28</v>
      </c>
      <c r="Q538" s="2">
        <v>45571</v>
      </c>
      <c r="R538" s="38"/>
      <c r="S538" s="52"/>
      <c r="T538" s="4">
        <f t="shared" si="87"/>
        <v>0</v>
      </c>
      <c r="U538" s="5"/>
      <c r="V538" s="4">
        <f t="shared" si="95"/>
        <v>0</v>
      </c>
      <c r="W538" s="4">
        <f t="shared" si="92"/>
        <v>-9301.9549999999872</v>
      </c>
      <c r="X538" s="3"/>
      <c r="Y538" s="3"/>
      <c r="Z538" s="25">
        <f t="shared" si="93"/>
        <v>0</v>
      </c>
      <c r="AA538" s="72">
        <f t="shared" si="94"/>
        <v>-9301.9549999999872</v>
      </c>
      <c r="AB538" s="9" t="s">
        <v>28</v>
      </c>
      <c r="AC538" s="19">
        <v>45571</v>
      </c>
      <c r="AD538" s="41"/>
      <c r="AE538" s="42"/>
      <c r="AF538" s="4">
        <f t="shared" si="82"/>
        <v>1750</v>
      </c>
      <c r="AG538" s="3" t="s">
        <v>249</v>
      </c>
      <c r="AH538" s="8">
        <v>1405.6</v>
      </c>
      <c r="AI538" s="4">
        <f t="shared" si="96"/>
        <v>344.40000000000009</v>
      </c>
      <c r="AJ538" s="4">
        <f t="shared" si="88"/>
        <v>19136.919499999938</v>
      </c>
      <c r="AK538" s="8"/>
      <c r="AL538" s="8"/>
      <c r="AM538" s="47"/>
      <c r="AN538" s="47"/>
      <c r="AO538" s="8"/>
      <c r="AP538" s="8"/>
      <c r="AQ538" s="47"/>
      <c r="AR538" s="47"/>
      <c r="AS538" s="8"/>
      <c r="AT538" s="8"/>
      <c r="AU538" s="47"/>
      <c r="AV538" s="47"/>
      <c r="AW538" s="8"/>
      <c r="AX538" s="8"/>
      <c r="AY538" s="47"/>
      <c r="AZ538" s="47"/>
      <c r="BA538" s="8"/>
      <c r="BB538" s="8"/>
      <c r="BC538" s="47"/>
      <c r="BD538" s="47"/>
      <c r="BE538" s="8"/>
      <c r="BF538" s="8"/>
      <c r="BG538" s="47"/>
      <c r="BH538" s="47"/>
      <c r="BI538" s="8"/>
      <c r="BJ538" s="3"/>
      <c r="BK538" s="47"/>
      <c r="BL538" s="47"/>
      <c r="BM538" s="24">
        <f t="shared" si="89"/>
        <v>0</v>
      </c>
      <c r="BN538" s="28">
        <f t="shared" si="83"/>
        <v>19136.919499999938</v>
      </c>
      <c r="BO538" s="2">
        <v>45571</v>
      </c>
    </row>
    <row r="539" spans="4:67" x14ac:dyDescent="0.25">
      <c r="D539" s="9" t="s">
        <v>29</v>
      </c>
      <c r="E539" s="80">
        <v>45572</v>
      </c>
      <c r="F539" s="38"/>
      <c r="G539" s="51"/>
      <c r="H539" s="4">
        <f t="shared" si="84"/>
        <v>1750</v>
      </c>
      <c r="I539" s="5"/>
      <c r="J539" s="4">
        <f t="shared" si="85"/>
        <v>1750</v>
      </c>
      <c r="K539" s="4">
        <f t="shared" si="90"/>
        <v>12249.969999999972</v>
      </c>
      <c r="L539" s="3"/>
      <c r="M539" s="3"/>
      <c r="N539" s="33">
        <f t="shared" si="86"/>
        <v>0</v>
      </c>
      <c r="O539" s="28">
        <f t="shared" si="91"/>
        <v>12249.969999999972</v>
      </c>
      <c r="P539" s="9" t="s">
        <v>29</v>
      </c>
      <c r="Q539" s="2">
        <v>45572</v>
      </c>
      <c r="R539" s="38"/>
      <c r="S539" s="52"/>
      <c r="T539" s="4">
        <f t="shared" si="87"/>
        <v>0</v>
      </c>
      <c r="U539" s="5"/>
      <c r="V539" s="4">
        <f t="shared" si="95"/>
        <v>0</v>
      </c>
      <c r="W539" s="4">
        <f t="shared" si="92"/>
        <v>-9301.9549999999872</v>
      </c>
      <c r="X539" s="3"/>
      <c r="Y539" s="3"/>
      <c r="Z539" s="25">
        <f t="shared" si="93"/>
        <v>0</v>
      </c>
      <c r="AA539" s="72">
        <f t="shared" si="94"/>
        <v>-9301.9549999999872</v>
      </c>
      <c r="AB539" s="9" t="s">
        <v>29</v>
      </c>
      <c r="AC539" s="19">
        <v>45572</v>
      </c>
      <c r="AD539" s="41"/>
      <c r="AE539" s="42"/>
      <c r="AF539" s="4">
        <f t="shared" si="82"/>
        <v>1750</v>
      </c>
      <c r="AG539" s="3" t="s">
        <v>249</v>
      </c>
      <c r="AH539" s="8">
        <v>1168</v>
      </c>
      <c r="AI539" s="4">
        <f t="shared" si="96"/>
        <v>582</v>
      </c>
      <c r="AJ539" s="4">
        <f t="shared" si="88"/>
        <v>19718.919499999938</v>
      </c>
      <c r="AK539" s="8"/>
      <c r="AL539" s="8"/>
      <c r="AM539" s="47"/>
      <c r="AN539" s="47"/>
      <c r="AO539" s="8"/>
      <c r="AP539" s="8"/>
      <c r="AQ539" s="47"/>
      <c r="AR539" s="47"/>
      <c r="AS539" s="8"/>
      <c r="AT539" s="8"/>
      <c r="AU539" s="47"/>
      <c r="AV539" s="47"/>
      <c r="AW539" s="8"/>
      <c r="AX539" s="8"/>
      <c r="AY539" s="47"/>
      <c r="AZ539" s="47"/>
      <c r="BA539" s="8"/>
      <c r="BB539" s="8"/>
      <c r="BC539" s="47"/>
      <c r="BD539" s="47"/>
      <c r="BE539" s="8"/>
      <c r="BF539" s="8"/>
      <c r="BG539" s="47"/>
      <c r="BH539" s="47"/>
      <c r="BI539" s="8"/>
      <c r="BJ539" s="3"/>
      <c r="BK539" s="47"/>
      <c r="BL539" s="47"/>
      <c r="BM539" s="24">
        <f t="shared" si="89"/>
        <v>0</v>
      </c>
      <c r="BN539" s="28">
        <f t="shared" si="83"/>
        <v>19718.919499999938</v>
      </c>
      <c r="BO539" s="2">
        <v>45572</v>
      </c>
    </row>
    <row r="540" spans="4:67" x14ac:dyDescent="0.25">
      <c r="D540" s="9" t="s">
        <v>30</v>
      </c>
      <c r="E540" s="80">
        <v>45573</v>
      </c>
      <c r="F540" s="38"/>
      <c r="G540" s="51"/>
      <c r="H540" s="4">
        <f t="shared" si="84"/>
        <v>1750</v>
      </c>
      <c r="I540" s="5"/>
      <c r="J540" s="4">
        <f t="shared" si="85"/>
        <v>1750</v>
      </c>
      <c r="K540" s="4">
        <f t="shared" si="90"/>
        <v>13999.969999999972</v>
      </c>
      <c r="L540" s="3"/>
      <c r="M540" s="3"/>
      <c r="N540" s="33">
        <f t="shared" si="86"/>
        <v>0</v>
      </c>
      <c r="O540" s="28">
        <f t="shared" si="91"/>
        <v>13999.969999999972</v>
      </c>
      <c r="P540" s="9" t="s">
        <v>30</v>
      </c>
      <c r="Q540" s="2">
        <v>45573</v>
      </c>
      <c r="R540" s="38"/>
      <c r="S540" s="52"/>
      <c r="T540" s="4">
        <f t="shared" si="87"/>
        <v>0</v>
      </c>
      <c r="U540" s="5">
        <v>232.3</v>
      </c>
      <c r="V540" s="4">
        <f t="shared" si="95"/>
        <v>-232.3</v>
      </c>
      <c r="W540" s="4">
        <f t="shared" si="92"/>
        <v>-9534.2549999999865</v>
      </c>
      <c r="X540" s="3"/>
      <c r="Y540" s="3"/>
      <c r="Z540" s="25">
        <f t="shared" si="93"/>
        <v>232.3</v>
      </c>
      <c r="AA540" s="72">
        <f t="shared" si="94"/>
        <v>-9534.2549999999865</v>
      </c>
      <c r="AB540" s="9" t="s">
        <v>30</v>
      </c>
      <c r="AC540" s="19">
        <v>45573</v>
      </c>
      <c r="AD540" s="63" t="s">
        <v>247</v>
      </c>
      <c r="AE540" s="42">
        <v>112951</v>
      </c>
      <c r="AF540" s="4">
        <f t="shared" si="82"/>
        <v>1750</v>
      </c>
      <c r="AG540" s="3" t="s">
        <v>249</v>
      </c>
      <c r="AH540" s="8">
        <v>1312.6</v>
      </c>
      <c r="AI540" s="4">
        <f t="shared" si="96"/>
        <v>113388.4</v>
      </c>
      <c r="AJ540" s="4">
        <f t="shared" si="88"/>
        <v>133107.31949999993</v>
      </c>
      <c r="AK540" s="8"/>
      <c r="AL540" s="8"/>
      <c r="AM540" s="47"/>
      <c r="AN540" s="47"/>
      <c r="AO540" s="8"/>
      <c r="AP540" s="8"/>
      <c r="AQ540" s="47"/>
      <c r="AR540" s="47"/>
      <c r="AS540" s="8"/>
      <c r="AT540" s="8"/>
      <c r="AU540" s="47"/>
      <c r="AV540" s="47"/>
      <c r="AW540" s="8"/>
      <c r="AX540" s="8"/>
      <c r="AY540" s="47"/>
      <c r="AZ540" s="47"/>
      <c r="BA540" s="3"/>
      <c r="BB540" s="8"/>
      <c r="BC540" s="47"/>
      <c r="BD540" s="47"/>
      <c r="BE540" s="8"/>
      <c r="BF540" s="8"/>
      <c r="BG540" s="47"/>
      <c r="BH540" s="47"/>
      <c r="BI540" s="8"/>
      <c r="BJ540" s="3"/>
      <c r="BK540" s="47"/>
      <c r="BL540" s="47"/>
      <c r="BM540" s="24">
        <f t="shared" si="89"/>
        <v>0</v>
      </c>
      <c r="BN540" s="28">
        <f t="shared" si="83"/>
        <v>133107.31949999993</v>
      </c>
      <c r="BO540" s="2">
        <v>45573</v>
      </c>
    </row>
    <row r="541" spans="4:67" x14ac:dyDescent="0.25">
      <c r="D541" s="9" t="s">
        <v>31</v>
      </c>
      <c r="E541" s="80">
        <v>45574</v>
      </c>
      <c r="F541" s="38"/>
      <c r="G541" s="51"/>
      <c r="H541" s="4">
        <f t="shared" si="84"/>
        <v>1750</v>
      </c>
      <c r="I541" s="5"/>
      <c r="J541" s="4">
        <f t="shared" si="85"/>
        <v>1750</v>
      </c>
      <c r="K541" s="4">
        <f t="shared" si="90"/>
        <v>15749.969999999972</v>
      </c>
      <c r="L541" s="3"/>
      <c r="M541" s="3"/>
      <c r="N541" s="33">
        <f t="shared" si="86"/>
        <v>0</v>
      </c>
      <c r="O541" s="28">
        <f t="shared" si="91"/>
        <v>15749.969999999972</v>
      </c>
      <c r="P541" s="9" t="s">
        <v>31</v>
      </c>
      <c r="Q541" s="2">
        <v>45574</v>
      </c>
      <c r="R541" s="38"/>
      <c r="S541" s="52"/>
      <c r="T541" s="4">
        <f t="shared" si="87"/>
        <v>0</v>
      </c>
      <c r="U541" s="5"/>
      <c r="V541" s="4">
        <f t="shared" si="95"/>
        <v>0</v>
      </c>
      <c r="W541" s="4">
        <f t="shared" si="92"/>
        <v>-9534.2549999999865</v>
      </c>
      <c r="X541" s="3"/>
      <c r="Y541" s="3"/>
      <c r="Z541" s="25">
        <f t="shared" si="93"/>
        <v>0</v>
      </c>
      <c r="AA541" s="72">
        <f t="shared" si="94"/>
        <v>-9534.2549999999865</v>
      </c>
      <c r="AB541" s="9" t="s">
        <v>31</v>
      </c>
      <c r="AC541" s="19">
        <v>45574</v>
      </c>
      <c r="AD541" s="41"/>
      <c r="AE541" s="42"/>
      <c r="AF541" s="4">
        <f t="shared" si="82"/>
        <v>1750</v>
      </c>
      <c r="AG541" s="3" t="s">
        <v>249</v>
      </c>
      <c r="AH541" s="8">
        <v>1601</v>
      </c>
      <c r="AI541" s="4">
        <f t="shared" si="96"/>
        <v>149</v>
      </c>
      <c r="AJ541" s="4">
        <f t="shared" si="88"/>
        <v>133256.31949999993</v>
      </c>
      <c r="AK541" s="8"/>
      <c r="AL541" s="8"/>
      <c r="AM541" s="47"/>
      <c r="AN541" s="47"/>
      <c r="AO541" s="8"/>
      <c r="AP541" s="8"/>
      <c r="AQ541" s="47"/>
      <c r="AR541" s="47"/>
      <c r="AS541" s="8"/>
      <c r="AT541" s="8"/>
      <c r="AU541" s="47"/>
      <c r="AV541" s="47"/>
      <c r="AW541" s="8"/>
      <c r="AX541" s="8"/>
      <c r="AY541" s="47"/>
      <c r="AZ541" s="47"/>
      <c r="BA541" s="8"/>
      <c r="BB541" s="8"/>
      <c r="BC541" s="47"/>
      <c r="BD541" s="47"/>
      <c r="BE541" s="8"/>
      <c r="BF541" s="8"/>
      <c r="BG541" s="47"/>
      <c r="BH541" s="47"/>
      <c r="BI541" s="8"/>
      <c r="BJ541" s="3"/>
      <c r="BK541" s="47"/>
      <c r="BL541" s="47"/>
      <c r="BM541" s="24">
        <f t="shared" si="89"/>
        <v>0</v>
      </c>
      <c r="BN541" s="28">
        <f t="shared" si="83"/>
        <v>133256.31949999993</v>
      </c>
      <c r="BO541" s="2">
        <v>45574</v>
      </c>
    </row>
    <row r="542" spans="4:67" x14ac:dyDescent="0.25">
      <c r="D542" s="9" t="s">
        <v>32</v>
      </c>
      <c r="E542" s="80">
        <v>45575</v>
      </c>
      <c r="F542" s="38"/>
      <c r="G542" s="51"/>
      <c r="H542" s="4">
        <f t="shared" si="84"/>
        <v>1750</v>
      </c>
      <c r="I542" s="5"/>
      <c r="J542" s="4">
        <f t="shared" si="85"/>
        <v>1750</v>
      </c>
      <c r="K542" s="4">
        <f t="shared" si="90"/>
        <v>17499.969999999972</v>
      </c>
      <c r="L542" s="3"/>
      <c r="M542" s="3"/>
      <c r="N542" s="33">
        <f t="shared" si="86"/>
        <v>0</v>
      </c>
      <c r="O542" s="28">
        <f t="shared" si="91"/>
        <v>17499.969999999972</v>
      </c>
      <c r="P542" s="9" t="s">
        <v>32</v>
      </c>
      <c r="Q542" s="2">
        <v>45575</v>
      </c>
      <c r="R542" s="38"/>
      <c r="S542" s="52"/>
      <c r="T542" s="4">
        <f t="shared" si="87"/>
        <v>0</v>
      </c>
      <c r="U542" s="5">
        <v>441</v>
      </c>
      <c r="V542" s="4">
        <f t="shared" si="95"/>
        <v>-441</v>
      </c>
      <c r="W542" s="4">
        <f t="shared" si="92"/>
        <v>-9975.2549999999865</v>
      </c>
      <c r="X542" s="3" t="s">
        <v>248</v>
      </c>
      <c r="Y542" s="3">
        <v>11826</v>
      </c>
      <c r="Z542" s="25">
        <f t="shared" si="93"/>
        <v>12267</v>
      </c>
      <c r="AA542" s="72">
        <f t="shared" si="94"/>
        <v>-21801.254999999986</v>
      </c>
      <c r="AB542" s="9" t="s">
        <v>32</v>
      </c>
      <c r="AC542" s="19">
        <v>45575</v>
      </c>
      <c r="AD542" s="41"/>
      <c r="AE542" s="42"/>
      <c r="AF542" s="4">
        <f t="shared" si="82"/>
        <v>1750</v>
      </c>
      <c r="AG542" s="3" t="s">
        <v>249</v>
      </c>
      <c r="AH542" s="8">
        <v>929.25</v>
      </c>
      <c r="AI542" s="4">
        <f t="shared" si="96"/>
        <v>820.75</v>
      </c>
      <c r="AJ542" s="4">
        <f t="shared" si="88"/>
        <v>134077.06949999993</v>
      </c>
      <c r="AK542" s="8"/>
      <c r="AL542" s="8"/>
      <c r="AM542" s="47"/>
      <c r="AN542" s="47"/>
      <c r="AO542" s="8"/>
      <c r="AP542" s="8"/>
      <c r="AQ542" s="47"/>
      <c r="AR542" s="47"/>
      <c r="AS542" s="8"/>
      <c r="AT542" s="8"/>
      <c r="AU542" s="47"/>
      <c r="AV542" s="47"/>
      <c r="AW542" s="8"/>
      <c r="AX542" s="8"/>
      <c r="AY542" s="47"/>
      <c r="AZ542" s="47"/>
      <c r="BA542" s="8"/>
      <c r="BB542" s="8"/>
      <c r="BC542" s="47"/>
      <c r="BD542" s="47"/>
      <c r="BE542" s="8"/>
      <c r="BF542" s="8"/>
      <c r="BG542" s="47"/>
      <c r="BH542" s="47"/>
      <c r="BI542" s="8"/>
      <c r="BJ542" s="3"/>
      <c r="BK542" s="47"/>
      <c r="BL542" s="47"/>
      <c r="BM542" s="24">
        <f t="shared" si="89"/>
        <v>0</v>
      </c>
      <c r="BN542" s="28">
        <f t="shared" si="83"/>
        <v>134077.06949999993</v>
      </c>
      <c r="BO542" s="2">
        <v>45575</v>
      </c>
    </row>
    <row r="543" spans="4:67" x14ac:dyDescent="0.25">
      <c r="D543" s="9" t="s">
        <v>26</v>
      </c>
      <c r="E543" s="80">
        <v>45576</v>
      </c>
      <c r="F543" s="38"/>
      <c r="G543" s="51"/>
      <c r="H543" s="4">
        <f t="shared" si="84"/>
        <v>1750</v>
      </c>
      <c r="I543" s="5"/>
      <c r="J543" s="4">
        <f t="shared" si="85"/>
        <v>1750</v>
      </c>
      <c r="K543" s="4">
        <f t="shared" si="90"/>
        <v>19249.969999999972</v>
      </c>
      <c r="L543" s="3"/>
      <c r="M543" s="3"/>
      <c r="N543" s="33">
        <f t="shared" si="86"/>
        <v>0</v>
      </c>
      <c r="O543" s="28">
        <f t="shared" si="91"/>
        <v>19249.969999999972</v>
      </c>
      <c r="P543" s="9" t="s">
        <v>26</v>
      </c>
      <c r="Q543" s="2">
        <v>45576</v>
      </c>
      <c r="R543" s="38"/>
      <c r="S543" s="52"/>
      <c r="T543" s="4">
        <f t="shared" si="87"/>
        <v>0</v>
      </c>
      <c r="U543" s="5">
        <v>440</v>
      </c>
      <c r="V543" s="4">
        <f t="shared" si="95"/>
        <v>-440</v>
      </c>
      <c r="W543" s="4">
        <f t="shared" si="92"/>
        <v>-22241.254999999986</v>
      </c>
      <c r="X543" s="3"/>
      <c r="Y543" s="3"/>
      <c r="Z543" s="25">
        <f t="shared" si="93"/>
        <v>440</v>
      </c>
      <c r="AA543" s="72">
        <f t="shared" si="94"/>
        <v>-22241.254999999986</v>
      </c>
      <c r="AB543" s="9" t="s">
        <v>26</v>
      </c>
      <c r="AC543" s="19">
        <v>45576</v>
      </c>
      <c r="AD543" s="41"/>
      <c r="AE543" s="42"/>
      <c r="AF543" s="4">
        <f t="shared" si="82"/>
        <v>1750</v>
      </c>
      <c r="AG543" s="3" t="s">
        <v>249</v>
      </c>
      <c r="AH543" s="8">
        <v>1232</v>
      </c>
      <c r="AI543" s="4">
        <f t="shared" si="96"/>
        <v>518</v>
      </c>
      <c r="AJ543" s="4">
        <f t="shared" si="88"/>
        <v>134595.06949999993</v>
      </c>
      <c r="AK543" s="8"/>
      <c r="AL543" s="8"/>
      <c r="AM543" s="47"/>
      <c r="AN543" s="47"/>
      <c r="AO543" s="8"/>
      <c r="AP543" s="8"/>
      <c r="AQ543" s="47"/>
      <c r="AR543" s="47"/>
      <c r="AS543" s="8"/>
      <c r="AT543" s="8"/>
      <c r="AU543" s="47"/>
      <c r="AV543" s="47"/>
      <c r="AW543" s="8"/>
      <c r="AX543" s="8"/>
      <c r="AY543" s="47"/>
      <c r="AZ543" s="47"/>
      <c r="BA543" s="8"/>
      <c r="BB543" s="8"/>
      <c r="BC543" s="47"/>
      <c r="BD543" s="47"/>
      <c r="BE543" s="8"/>
      <c r="BF543" s="8"/>
      <c r="BG543" s="47"/>
      <c r="BH543" s="47"/>
      <c r="BI543" s="8"/>
      <c r="BJ543" s="3"/>
      <c r="BK543" s="47"/>
      <c r="BL543" s="47"/>
      <c r="BM543" s="24">
        <f t="shared" si="89"/>
        <v>0</v>
      </c>
      <c r="BN543" s="28">
        <f t="shared" si="83"/>
        <v>134595.06949999993</v>
      </c>
      <c r="BO543" s="2">
        <v>45576</v>
      </c>
    </row>
    <row r="544" spans="4:67" x14ac:dyDescent="0.25">
      <c r="D544" s="9" t="s">
        <v>27</v>
      </c>
      <c r="E544" s="80">
        <v>45577</v>
      </c>
      <c r="F544" s="38"/>
      <c r="G544" s="51"/>
      <c r="H544" s="4">
        <f t="shared" si="84"/>
        <v>1750</v>
      </c>
      <c r="I544" s="5"/>
      <c r="J544" s="4">
        <f t="shared" si="85"/>
        <v>1750</v>
      </c>
      <c r="K544" s="4">
        <f t="shared" si="90"/>
        <v>20999.969999999972</v>
      </c>
      <c r="L544" s="3"/>
      <c r="M544" s="3"/>
      <c r="N544" s="33">
        <f t="shared" si="86"/>
        <v>0</v>
      </c>
      <c r="O544" s="28">
        <f t="shared" si="91"/>
        <v>20999.969999999972</v>
      </c>
      <c r="P544" s="9" t="s">
        <v>27</v>
      </c>
      <c r="Q544" s="2">
        <v>45577</v>
      </c>
      <c r="R544" s="38"/>
      <c r="S544" s="52"/>
      <c r="T544" s="4">
        <f t="shared" si="87"/>
        <v>0</v>
      </c>
      <c r="U544" s="5">
        <v>426</v>
      </c>
      <c r="V544" s="4">
        <f t="shared" si="95"/>
        <v>-426</v>
      </c>
      <c r="W544" s="4">
        <f t="shared" si="92"/>
        <v>-22667.254999999986</v>
      </c>
      <c r="X544" s="3"/>
      <c r="Y544" s="3"/>
      <c r="Z544" s="25">
        <f t="shared" si="93"/>
        <v>426</v>
      </c>
      <c r="AA544" s="72">
        <f t="shared" si="94"/>
        <v>-22667.254999999986</v>
      </c>
      <c r="AB544" s="9" t="s">
        <v>27</v>
      </c>
      <c r="AC544" s="19">
        <v>45577</v>
      </c>
      <c r="AD544" s="41"/>
      <c r="AE544" s="42"/>
      <c r="AF544" s="4">
        <f t="shared" si="82"/>
        <v>1750</v>
      </c>
      <c r="AG544" s="3" t="s">
        <v>249</v>
      </c>
      <c r="AH544" s="8">
        <v>1583</v>
      </c>
      <c r="AI544" s="4">
        <f t="shared" si="96"/>
        <v>167</v>
      </c>
      <c r="AJ544" s="4">
        <f t="shared" si="88"/>
        <v>134762.06949999993</v>
      </c>
      <c r="AK544" s="8"/>
      <c r="AL544" s="8"/>
      <c r="AM544" s="47"/>
      <c r="AN544" s="47"/>
      <c r="AO544" s="8"/>
      <c r="AP544" s="8"/>
      <c r="AQ544" s="47"/>
      <c r="AR544" s="47"/>
      <c r="AS544" s="8"/>
      <c r="AT544" s="8"/>
      <c r="AU544" s="47"/>
      <c r="AV544" s="47"/>
      <c r="AW544" s="8"/>
      <c r="AX544" s="8"/>
      <c r="AY544" s="47"/>
      <c r="AZ544" s="47"/>
      <c r="BA544" s="8"/>
      <c r="BB544" s="8"/>
      <c r="BC544" s="47"/>
      <c r="BD544" s="47"/>
      <c r="BE544" s="8"/>
      <c r="BF544" s="8"/>
      <c r="BG544" s="47"/>
      <c r="BH544" s="47"/>
      <c r="BI544" s="8"/>
      <c r="BJ544" s="3"/>
      <c r="BK544" s="47"/>
      <c r="BL544" s="47"/>
      <c r="BM544" s="24">
        <f t="shared" si="89"/>
        <v>0</v>
      </c>
      <c r="BN544" s="28">
        <f t="shared" si="83"/>
        <v>134762.06949999993</v>
      </c>
      <c r="BO544" s="2">
        <v>45577</v>
      </c>
    </row>
    <row r="545" spans="4:67" x14ac:dyDescent="0.25">
      <c r="D545" s="9" t="s">
        <v>28</v>
      </c>
      <c r="E545" s="80">
        <v>45578</v>
      </c>
      <c r="F545" s="38"/>
      <c r="G545" s="51"/>
      <c r="H545" s="4">
        <f t="shared" si="84"/>
        <v>1750</v>
      </c>
      <c r="I545" s="5"/>
      <c r="J545" s="4">
        <f t="shared" si="85"/>
        <v>1750</v>
      </c>
      <c r="K545" s="4">
        <f t="shared" si="90"/>
        <v>22749.969999999972</v>
      </c>
      <c r="L545" s="3"/>
      <c r="M545" s="3"/>
      <c r="N545" s="33">
        <f t="shared" si="86"/>
        <v>0</v>
      </c>
      <c r="O545" s="28">
        <f t="shared" si="91"/>
        <v>22749.969999999972</v>
      </c>
      <c r="P545" s="9" t="s">
        <v>28</v>
      </c>
      <c r="Q545" s="2">
        <v>45578</v>
      </c>
      <c r="R545" s="38"/>
      <c r="S545" s="52"/>
      <c r="T545" s="4">
        <f t="shared" si="87"/>
        <v>0</v>
      </c>
      <c r="U545" s="5"/>
      <c r="V545" s="4">
        <f t="shared" si="95"/>
        <v>0</v>
      </c>
      <c r="W545" s="4">
        <f t="shared" si="92"/>
        <v>-22667.254999999986</v>
      </c>
      <c r="X545" s="3"/>
      <c r="Y545" s="3"/>
      <c r="Z545" s="25">
        <f t="shared" si="93"/>
        <v>0</v>
      </c>
      <c r="AA545" s="72">
        <f t="shared" si="94"/>
        <v>-22667.254999999986</v>
      </c>
      <c r="AB545" s="9" t="s">
        <v>28</v>
      </c>
      <c r="AC545" s="19">
        <v>45578</v>
      </c>
      <c r="AD545" s="41"/>
      <c r="AE545" s="42"/>
      <c r="AF545" s="4">
        <f t="shared" si="82"/>
        <v>1750</v>
      </c>
      <c r="AG545" s="3" t="s">
        <v>249</v>
      </c>
      <c r="AH545" s="8">
        <v>1412.4</v>
      </c>
      <c r="AI545" s="4">
        <f t="shared" si="96"/>
        <v>337.59999999999991</v>
      </c>
      <c r="AJ545" s="4">
        <f t="shared" si="88"/>
        <v>135099.66949999993</v>
      </c>
      <c r="AK545" s="8"/>
      <c r="AL545" s="8"/>
      <c r="AM545" s="47"/>
      <c r="AN545" s="47"/>
      <c r="AO545" s="8"/>
      <c r="AP545" s="8"/>
      <c r="AQ545" s="47"/>
      <c r="AR545" s="47"/>
      <c r="AS545" s="8"/>
      <c r="AT545" s="8"/>
      <c r="AU545" s="47"/>
      <c r="AV545" s="47"/>
      <c r="AW545" s="8"/>
      <c r="AX545" s="8"/>
      <c r="AY545" s="47"/>
      <c r="AZ545" s="47"/>
      <c r="BA545" s="8"/>
      <c r="BB545" s="8"/>
      <c r="BC545" s="47"/>
      <c r="BD545" s="47"/>
      <c r="BE545" s="8"/>
      <c r="BF545" s="8"/>
      <c r="BG545" s="47"/>
      <c r="BH545" s="47"/>
      <c r="BI545" s="8"/>
      <c r="BJ545" s="3"/>
      <c r="BK545" s="47"/>
      <c r="BL545" s="47"/>
      <c r="BM545" s="24">
        <f t="shared" si="89"/>
        <v>0</v>
      </c>
      <c r="BN545" s="28">
        <f t="shared" si="83"/>
        <v>135099.66949999993</v>
      </c>
      <c r="BO545" s="2">
        <v>45578</v>
      </c>
    </row>
    <row r="546" spans="4:67" x14ac:dyDescent="0.25">
      <c r="D546" s="9" t="s">
        <v>29</v>
      </c>
      <c r="E546" s="80">
        <v>45579</v>
      </c>
      <c r="F546" s="38"/>
      <c r="G546" s="51"/>
      <c r="H546" s="4">
        <f t="shared" si="84"/>
        <v>1750</v>
      </c>
      <c r="I546" s="5"/>
      <c r="J546" s="4">
        <f t="shared" si="85"/>
        <v>1750</v>
      </c>
      <c r="K546" s="4">
        <f t="shared" si="90"/>
        <v>24499.969999999972</v>
      </c>
      <c r="L546" s="3"/>
      <c r="M546" s="3"/>
      <c r="N546" s="33">
        <f t="shared" si="86"/>
        <v>0</v>
      </c>
      <c r="O546" s="28">
        <f t="shared" si="91"/>
        <v>24499.969999999972</v>
      </c>
      <c r="P546" s="9" t="s">
        <v>29</v>
      </c>
      <c r="Q546" s="2">
        <v>45579</v>
      </c>
      <c r="R546" s="38"/>
      <c r="S546" s="52"/>
      <c r="T546" s="4">
        <f t="shared" si="87"/>
        <v>0</v>
      </c>
      <c r="U546" s="5"/>
      <c r="V546" s="4">
        <f t="shared" si="95"/>
        <v>0</v>
      </c>
      <c r="W546" s="4">
        <f t="shared" si="92"/>
        <v>-22667.254999999986</v>
      </c>
      <c r="X546" s="3"/>
      <c r="Y546" s="3"/>
      <c r="Z546" s="25">
        <f t="shared" si="93"/>
        <v>0</v>
      </c>
      <c r="AA546" s="72">
        <f t="shared" si="94"/>
        <v>-22667.254999999986</v>
      </c>
      <c r="AB546" s="9" t="s">
        <v>29</v>
      </c>
      <c r="AC546" s="19">
        <v>45579</v>
      </c>
      <c r="AD546" s="41"/>
      <c r="AE546" s="42"/>
      <c r="AF546" s="4">
        <f t="shared" si="82"/>
        <v>1750</v>
      </c>
      <c r="AG546" s="3" t="s">
        <v>249</v>
      </c>
      <c r="AH546" s="8">
        <v>692.6</v>
      </c>
      <c r="AI546" s="4">
        <f t="shared" si="96"/>
        <v>1057.4000000000001</v>
      </c>
      <c r="AJ546" s="4">
        <f t="shared" si="88"/>
        <v>136157.06949999993</v>
      </c>
      <c r="AK546" s="8"/>
      <c r="AL546" s="8"/>
      <c r="AM546" s="47"/>
      <c r="AN546" s="47"/>
      <c r="AO546" s="8"/>
      <c r="AP546" s="8"/>
      <c r="AQ546" s="47"/>
      <c r="AR546" s="47"/>
      <c r="AS546" s="8"/>
      <c r="AT546" s="8"/>
      <c r="AU546" s="47"/>
      <c r="AV546" s="47"/>
      <c r="AW546" s="8"/>
      <c r="AX546" s="8"/>
      <c r="AY546" s="47"/>
      <c r="AZ546" s="47"/>
      <c r="BA546" s="8"/>
      <c r="BB546" s="8"/>
      <c r="BC546" s="47"/>
      <c r="BD546" s="47"/>
      <c r="BE546" s="8"/>
      <c r="BF546" s="8"/>
      <c r="BG546" s="47"/>
      <c r="BH546" s="47"/>
      <c r="BI546" s="8"/>
      <c r="BJ546" s="3"/>
      <c r="BK546" s="47"/>
      <c r="BL546" s="47"/>
      <c r="BM546" s="24">
        <f t="shared" si="89"/>
        <v>0</v>
      </c>
      <c r="BN546" s="28">
        <f t="shared" si="83"/>
        <v>136157.06949999993</v>
      </c>
      <c r="BO546" s="2">
        <v>45579</v>
      </c>
    </row>
    <row r="547" spans="4:67" x14ac:dyDescent="0.25">
      <c r="D547" s="9" t="s">
        <v>30</v>
      </c>
      <c r="E547" s="80">
        <v>45580</v>
      </c>
      <c r="F547" s="38"/>
      <c r="G547" s="51"/>
      <c r="H547" s="4">
        <f t="shared" si="84"/>
        <v>1750</v>
      </c>
      <c r="I547" s="5"/>
      <c r="J547" s="4">
        <f t="shared" si="85"/>
        <v>1750</v>
      </c>
      <c r="K547" s="4">
        <f t="shared" si="90"/>
        <v>26249.969999999972</v>
      </c>
      <c r="L547" s="3"/>
      <c r="M547" s="3"/>
      <c r="N547" s="33">
        <f t="shared" si="86"/>
        <v>0</v>
      </c>
      <c r="O547" s="28">
        <f t="shared" si="91"/>
        <v>26249.969999999972</v>
      </c>
      <c r="P547" s="9" t="s">
        <v>30</v>
      </c>
      <c r="Q547" s="2">
        <v>45580</v>
      </c>
      <c r="R547" s="38"/>
      <c r="S547" s="52"/>
      <c r="T547" s="4">
        <f t="shared" si="87"/>
        <v>0</v>
      </c>
      <c r="U547" s="5"/>
      <c r="V547" s="4">
        <f t="shared" si="95"/>
        <v>0</v>
      </c>
      <c r="W547" s="4">
        <f t="shared" si="92"/>
        <v>-22667.254999999986</v>
      </c>
      <c r="X547" s="3"/>
      <c r="Y547" s="3"/>
      <c r="Z547" s="25">
        <f t="shared" si="93"/>
        <v>0</v>
      </c>
      <c r="AA547" s="72">
        <f t="shared" si="94"/>
        <v>-22667.254999999986</v>
      </c>
      <c r="AB547" s="9" t="s">
        <v>30</v>
      </c>
      <c r="AC547" s="19">
        <v>45580</v>
      </c>
      <c r="AD547" s="41"/>
      <c r="AE547" s="42"/>
      <c r="AF547" s="4">
        <f t="shared" si="82"/>
        <v>1750</v>
      </c>
      <c r="AG547" s="3" t="s">
        <v>249</v>
      </c>
      <c r="AH547" s="8">
        <v>669.8</v>
      </c>
      <c r="AI547" s="4">
        <f t="shared" si="96"/>
        <v>1080.2</v>
      </c>
      <c r="AJ547" s="4">
        <f t="shared" si="88"/>
        <v>137237.26949999994</v>
      </c>
      <c r="AK547" s="8"/>
      <c r="AL547" s="8"/>
      <c r="AM547" s="47"/>
      <c r="AN547" s="47"/>
      <c r="AO547" s="8"/>
      <c r="AP547" s="8"/>
      <c r="AQ547" s="47"/>
      <c r="AR547" s="47"/>
      <c r="AS547" s="8"/>
      <c r="AT547" s="8"/>
      <c r="AU547" s="47"/>
      <c r="AV547" s="47"/>
      <c r="AW547" s="8"/>
      <c r="AX547" s="8"/>
      <c r="AY547" s="47"/>
      <c r="AZ547" s="47"/>
      <c r="BA547" s="8"/>
      <c r="BB547" s="8"/>
      <c r="BC547" s="47"/>
      <c r="BD547" s="47"/>
      <c r="BE547" s="8"/>
      <c r="BF547" s="8"/>
      <c r="BG547" s="47"/>
      <c r="BH547" s="47"/>
      <c r="BI547" s="8"/>
      <c r="BJ547" s="3"/>
      <c r="BK547" s="47"/>
      <c r="BL547" s="47"/>
      <c r="BM547" s="24">
        <f t="shared" si="89"/>
        <v>0</v>
      </c>
      <c r="BN547" s="28">
        <f t="shared" si="83"/>
        <v>137237.26949999994</v>
      </c>
      <c r="BO547" s="2">
        <v>45580</v>
      </c>
    </row>
    <row r="548" spans="4:67" x14ac:dyDescent="0.25">
      <c r="D548" s="9" t="s">
        <v>31</v>
      </c>
      <c r="E548" s="80">
        <v>45581</v>
      </c>
      <c r="F548" s="38"/>
      <c r="G548" s="51"/>
      <c r="H548" s="4">
        <f t="shared" si="84"/>
        <v>1750</v>
      </c>
      <c r="I548" s="5"/>
      <c r="J548" s="4">
        <f t="shared" si="85"/>
        <v>1750</v>
      </c>
      <c r="K548" s="4">
        <f t="shared" si="90"/>
        <v>27999.969999999972</v>
      </c>
      <c r="L548" s="3"/>
      <c r="M548" s="3"/>
      <c r="N548" s="33">
        <f t="shared" si="86"/>
        <v>0</v>
      </c>
      <c r="O548" s="28">
        <f t="shared" si="91"/>
        <v>27999.969999999972</v>
      </c>
      <c r="P548" s="9" t="s">
        <v>31</v>
      </c>
      <c r="Q548" s="2">
        <v>45581</v>
      </c>
      <c r="R548" s="38"/>
      <c r="S548" s="52"/>
      <c r="T548" s="4">
        <f t="shared" si="87"/>
        <v>0</v>
      </c>
      <c r="U548" s="5"/>
      <c r="V548" s="4">
        <f t="shared" si="95"/>
        <v>0</v>
      </c>
      <c r="W548" s="4">
        <f t="shared" si="92"/>
        <v>-22667.254999999986</v>
      </c>
      <c r="X548" s="3"/>
      <c r="Y548" s="3"/>
      <c r="Z548" s="25">
        <f t="shared" si="93"/>
        <v>0</v>
      </c>
      <c r="AA548" s="72">
        <f t="shared" si="94"/>
        <v>-22667.254999999986</v>
      </c>
      <c r="AB548" s="9" t="s">
        <v>31</v>
      </c>
      <c r="AC548" s="19">
        <v>45581</v>
      </c>
      <c r="AD548" s="41"/>
      <c r="AE548" s="42"/>
      <c r="AF548" s="4">
        <f t="shared" si="82"/>
        <v>1750</v>
      </c>
      <c r="AG548" s="3" t="s">
        <v>249</v>
      </c>
      <c r="AH548" s="8">
        <v>388</v>
      </c>
      <c r="AI548" s="4">
        <f t="shared" si="96"/>
        <v>1362</v>
      </c>
      <c r="AJ548" s="4">
        <f t="shared" si="88"/>
        <v>138599.26949999994</v>
      </c>
      <c r="AK548" s="8"/>
      <c r="AL548" s="8"/>
      <c r="AM548" s="47"/>
      <c r="AN548" s="47"/>
      <c r="AO548" s="8"/>
      <c r="AP548" s="8"/>
      <c r="AQ548" s="47"/>
      <c r="AR548" s="47"/>
      <c r="AS548" s="8"/>
      <c r="AT548" s="8"/>
      <c r="AU548" s="47"/>
      <c r="AV548" s="47"/>
      <c r="AW548" s="8"/>
      <c r="AX548" s="8"/>
      <c r="AY548" s="47"/>
      <c r="AZ548" s="47"/>
      <c r="BA548" s="8"/>
      <c r="BB548" s="8"/>
      <c r="BC548" s="47"/>
      <c r="BD548" s="47"/>
      <c r="BE548" s="8"/>
      <c r="BF548" s="8"/>
      <c r="BG548" s="47"/>
      <c r="BH548" s="47"/>
      <c r="BI548" s="8"/>
      <c r="BJ548" s="3"/>
      <c r="BK548" s="47"/>
      <c r="BL548" s="47"/>
      <c r="BM548" s="24">
        <f t="shared" si="89"/>
        <v>0</v>
      </c>
      <c r="BN548" s="28">
        <f t="shared" si="83"/>
        <v>138599.26949999994</v>
      </c>
      <c r="BO548" s="2">
        <v>45581</v>
      </c>
    </row>
    <row r="549" spans="4:67" x14ac:dyDescent="0.25">
      <c r="D549" s="9" t="s">
        <v>32</v>
      </c>
      <c r="E549" s="80">
        <v>45582</v>
      </c>
      <c r="F549" s="38"/>
      <c r="G549" s="51"/>
      <c r="H549" s="4">
        <f t="shared" si="84"/>
        <v>1750</v>
      </c>
      <c r="I549" s="5"/>
      <c r="J549" s="4">
        <f t="shared" si="85"/>
        <v>1750</v>
      </c>
      <c r="K549" s="4">
        <f t="shared" si="90"/>
        <v>29749.969999999972</v>
      </c>
      <c r="L549" s="3"/>
      <c r="M549" s="3"/>
      <c r="N549" s="33">
        <f t="shared" si="86"/>
        <v>0</v>
      </c>
      <c r="O549" s="28">
        <f t="shared" si="91"/>
        <v>29749.969999999972</v>
      </c>
      <c r="P549" s="9" t="s">
        <v>32</v>
      </c>
      <c r="Q549" s="2">
        <v>45582</v>
      </c>
      <c r="R549" s="38"/>
      <c r="S549" s="52"/>
      <c r="T549" s="4">
        <f t="shared" si="87"/>
        <v>2925</v>
      </c>
      <c r="U549" s="5"/>
      <c r="V549" s="4">
        <f t="shared" si="95"/>
        <v>2925</v>
      </c>
      <c r="W549" s="4">
        <f t="shared" si="92"/>
        <v>-19742.254999999986</v>
      </c>
      <c r="X549" s="3"/>
      <c r="Y549" s="3"/>
      <c r="Z549" s="25">
        <f t="shared" si="93"/>
        <v>0</v>
      </c>
      <c r="AA549" s="72">
        <f t="shared" si="94"/>
        <v>-19742.254999999986</v>
      </c>
      <c r="AB549" s="9" t="s">
        <v>32</v>
      </c>
      <c r="AC549" s="19">
        <v>45582</v>
      </c>
      <c r="AD549" s="41"/>
      <c r="AE549" s="42"/>
      <c r="AF549" s="4">
        <f t="shared" si="82"/>
        <v>5325</v>
      </c>
      <c r="AG549" s="3" t="s">
        <v>249</v>
      </c>
      <c r="AH549" s="8"/>
      <c r="AI549" s="4">
        <f t="shared" si="96"/>
        <v>5325</v>
      </c>
      <c r="AJ549" s="4">
        <f t="shared" si="88"/>
        <v>143924.26949999994</v>
      </c>
      <c r="AK549" s="8"/>
      <c r="AL549" s="8"/>
      <c r="AM549" s="47"/>
      <c r="AN549" s="47"/>
      <c r="AO549" s="8"/>
      <c r="AP549" s="8"/>
      <c r="AQ549" s="47"/>
      <c r="AR549" s="47"/>
      <c r="AS549" s="8"/>
      <c r="AT549" s="8"/>
      <c r="AU549" s="47"/>
      <c r="AV549" s="47"/>
      <c r="AW549" s="8"/>
      <c r="AX549" s="8"/>
      <c r="AY549" s="47"/>
      <c r="AZ549" s="47"/>
      <c r="BA549" s="8"/>
      <c r="BB549" s="8"/>
      <c r="BC549" s="47"/>
      <c r="BD549" s="47"/>
      <c r="BE549" s="8"/>
      <c r="BF549" s="8"/>
      <c r="BG549" s="47"/>
      <c r="BH549" s="47"/>
      <c r="BI549" s="8"/>
      <c r="BJ549" s="3"/>
      <c r="BK549" s="47"/>
      <c r="BL549" s="47"/>
      <c r="BM549" s="24">
        <f t="shared" si="89"/>
        <v>0</v>
      </c>
      <c r="BN549" s="28">
        <f t="shared" si="83"/>
        <v>143924.26949999994</v>
      </c>
      <c r="BO549" s="2">
        <v>45582</v>
      </c>
    </row>
    <row r="550" spans="4:67" x14ac:dyDescent="0.25">
      <c r="D550" s="9" t="s">
        <v>26</v>
      </c>
      <c r="E550" s="80">
        <v>45583</v>
      </c>
      <c r="F550" s="38"/>
      <c r="G550" s="51"/>
      <c r="H550" s="4">
        <f t="shared" si="84"/>
        <v>1750</v>
      </c>
      <c r="I550" s="5"/>
      <c r="J550" s="4">
        <f t="shared" si="85"/>
        <v>1750</v>
      </c>
      <c r="K550" s="4">
        <f t="shared" si="90"/>
        <v>31499.969999999972</v>
      </c>
      <c r="L550" s="3"/>
      <c r="M550" s="3"/>
      <c r="N550" s="33">
        <f t="shared" si="86"/>
        <v>0</v>
      </c>
      <c r="O550" s="28">
        <f t="shared" si="91"/>
        <v>31499.969999999972</v>
      </c>
      <c r="P550" s="9" t="s">
        <v>26</v>
      </c>
      <c r="Q550" s="2">
        <v>45583</v>
      </c>
      <c r="R550" s="38"/>
      <c r="S550" s="52"/>
      <c r="T550" s="4">
        <f t="shared" si="87"/>
        <v>2925</v>
      </c>
      <c r="U550" s="5"/>
      <c r="V550" s="4">
        <f t="shared" si="95"/>
        <v>2925</v>
      </c>
      <c r="W550" s="4">
        <f t="shared" si="92"/>
        <v>-16817.254999999986</v>
      </c>
      <c r="X550" s="3"/>
      <c r="Y550" s="3"/>
      <c r="Z550" s="25">
        <f t="shared" si="93"/>
        <v>0</v>
      </c>
      <c r="AA550" s="72">
        <f t="shared" si="94"/>
        <v>-16817.254999999986</v>
      </c>
      <c r="AB550" s="9" t="s">
        <v>26</v>
      </c>
      <c r="AC550" s="19">
        <v>45583</v>
      </c>
      <c r="AD550" s="41"/>
      <c r="AE550" s="42"/>
      <c r="AF550" s="4">
        <f t="shared" si="82"/>
        <v>5325</v>
      </c>
      <c r="AG550" s="3" t="s">
        <v>249</v>
      </c>
      <c r="AH550" s="8"/>
      <c r="AI550" s="4">
        <f t="shared" si="96"/>
        <v>5325</v>
      </c>
      <c r="AJ550" s="4">
        <f t="shared" si="88"/>
        <v>149249.26949999994</v>
      </c>
      <c r="AK550" s="8"/>
      <c r="AL550" s="8"/>
      <c r="AM550" s="47"/>
      <c r="AN550" s="47"/>
      <c r="AO550" s="8"/>
      <c r="AP550" s="8"/>
      <c r="AQ550" s="47"/>
      <c r="AR550" s="47"/>
      <c r="AS550" s="8"/>
      <c r="AT550" s="8"/>
      <c r="AU550" s="47"/>
      <c r="AV550" s="47"/>
      <c r="AW550" s="8"/>
      <c r="AX550" s="8"/>
      <c r="AY550" s="47"/>
      <c r="AZ550" s="47"/>
      <c r="BA550" s="8"/>
      <c r="BB550" s="8"/>
      <c r="BC550" s="47"/>
      <c r="BD550" s="47"/>
      <c r="BE550" s="8"/>
      <c r="BF550" s="8"/>
      <c r="BG550" s="47"/>
      <c r="BH550" s="47"/>
      <c r="BI550" s="8"/>
      <c r="BJ550" s="3"/>
      <c r="BK550" s="47"/>
      <c r="BL550" s="47"/>
      <c r="BM550" s="24">
        <f t="shared" si="89"/>
        <v>0</v>
      </c>
      <c r="BN550" s="28">
        <f t="shared" si="83"/>
        <v>149249.26949999994</v>
      </c>
      <c r="BO550" s="2">
        <v>45583</v>
      </c>
    </row>
    <row r="551" spans="4:67" x14ac:dyDescent="0.25">
      <c r="D551" s="9" t="s">
        <v>27</v>
      </c>
      <c r="E551" s="80">
        <v>45584</v>
      </c>
      <c r="F551" s="38"/>
      <c r="G551" s="51"/>
      <c r="H551" s="4">
        <f t="shared" si="84"/>
        <v>1750</v>
      </c>
      <c r="I551" s="5"/>
      <c r="J551" s="4">
        <f t="shared" si="85"/>
        <v>1750</v>
      </c>
      <c r="K551" s="4">
        <f t="shared" si="90"/>
        <v>33249.969999999972</v>
      </c>
      <c r="L551" s="3"/>
      <c r="M551" s="3"/>
      <c r="N551" s="33">
        <f t="shared" si="86"/>
        <v>0</v>
      </c>
      <c r="O551" s="28">
        <f t="shared" si="91"/>
        <v>33249.969999999972</v>
      </c>
      <c r="P551" s="9" t="s">
        <v>27</v>
      </c>
      <c r="Q551" s="2">
        <v>45584</v>
      </c>
      <c r="R551" s="38"/>
      <c r="S551" s="52"/>
      <c r="T551" s="4">
        <f t="shared" si="87"/>
        <v>2925</v>
      </c>
      <c r="U551" s="5"/>
      <c r="V551" s="4">
        <f t="shared" si="95"/>
        <v>2925</v>
      </c>
      <c r="W551" s="4">
        <f t="shared" si="92"/>
        <v>-13892.254999999986</v>
      </c>
      <c r="X551" s="3"/>
      <c r="Y551" s="3"/>
      <c r="Z551" s="25">
        <f t="shared" si="93"/>
        <v>0</v>
      </c>
      <c r="AA551" s="72">
        <f t="shared" si="94"/>
        <v>-13892.254999999986</v>
      </c>
      <c r="AB551" s="9" t="s">
        <v>27</v>
      </c>
      <c r="AC551" s="19">
        <v>45584</v>
      </c>
      <c r="AD551" s="41"/>
      <c r="AE551" s="42"/>
      <c r="AF551" s="4">
        <f t="shared" si="82"/>
        <v>5325</v>
      </c>
      <c r="AG551" s="3" t="s">
        <v>249</v>
      </c>
      <c r="AH551" s="8"/>
      <c r="AI551" s="4">
        <f t="shared" si="96"/>
        <v>5325</v>
      </c>
      <c r="AJ551" s="4">
        <f t="shared" si="88"/>
        <v>154574.26949999994</v>
      </c>
      <c r="AK551" s="8"/>
      <c r="AL551" s="8"/>
      <c r="AM551" s="47"/>
      <c r="AN551" s="47"/>
      <c r="AO551" s="8"/>
      <c r="AP551" s="8"/>
      <c r="AQ551" s="47"/>
      <c r="AR551" s="47"/>
      <c r="AS551" s="8"/>
      <c r="AT551" s="8"/>
      <c r="AU551" s="47"/>
      <c r="AV551" s="47"/>
      <c r="AW551" s="8"/>
      <c r="AX551" s="8"/>
      <c r="AY551" s="47"/>
      <c r="AZ551" s="47"/>
      <c r="BA551" s="8"/>
      <c r="BB551" s="8"/>
      <c r="BC551" s="47"/>
      <c r="BD551" s="47"/>
      <c r="BE551" s="8"/>
      <c r="BF551" s="8"/>
      <c r="BG551" s="47"/>
      <c r="BH551" s="47"/>
      <c r="BI551" s="8"/>
      <c r="BJ551" s="3"/>
      <c r="BK551" s="47"/>
      <c r="BL551" s="47"/>
      <c r="BM551" s="24">
        <f t="shared" si="89"/>
        <v>0</v>
      </c>
      <c r="BN551" s="28">
        <f t="shared" si="83"/>
        <v>154574.26949999994</v>
      </c>
      <c r="BO551" s="2">
        <v>45584</v>
      </c>
    </row>
    <row r="552" spans="4:67" x14ac:dyDescent="0.25">
      <c r="D552" s="9" t="s">
        <v>28</v>
      </c>
      <c r="E552" s="80">
        <v>45585</v>
      </c>
      <c r="F552" s="38"/>
      <c r="G552" s="51"/>
      <c r="H552" s="4">
        <f t="shared" si="84"/>
        <v>1750</v>
      </c>
      <c r="I552" s="5"/>
      <c r="J552" s="4">
        <f t="shared" si="85"/>
        <v>1750</v>
      </c>
      <c r="K552" s="4">
        <f t="shared" si="90"/>
        <v>34999.969999999972</v>
      </c>
      <c r="L552" s="3"/>
      <c r="M552" s="3"/>
      <c r="N552" s="33">
        <f t="shared" si="86"/>
        <v>0</v>
      </c>
      <c r="O552" s="28">
        <f t="shared" si="91"/>
        <v>34999.969999999972</v>
      </c>
      <c r="P552" s="9" t="s">
        <v>28</v>
      </c>
      <c r="Q552" s="2">
        <v>45585</v>
      </c>
      <c r="R552" s="38"/>
      <c r="S552" s="52"/>
      <c r="T552" s="4">
        <f t="shared" si="87"/>
        <v>2925</v>
      </c>
      <c r="U552" s="5"/>
      <c r="V552" s="4">
        <f t="shared" si="95"/>
        <v>2925</v>
      </c>
      <c r="W552" s="4">
        <f t="shared" si="92"/>
        <v>-10967.254999999986</v>
      </c>
      <c r="X552" s="3"/>
      <c r="Y552" s="3"/>
      <c r="Z552" s="25">
        <f t="shared" si="93"/>
        <v>0</v>
      </c>
      <c r="AA552" s="72">
        <f t="shared" si="94"/>
        <v>-10967.254999999986</v>
      </c>
      <c r="AB552" s="9" t="s">
        <v>28</v>
      </c>
      <c r="AC552" s="19">
        <v>45585</v>
      </c>
      <c r="AD552" s="41"/>
      <c r="AE552" s="42"/>
      <c r="AF552" s="4">
        <f t="shared" si="82"/>
        <v>5325</v>
      </c>
      <c r="AG552" s="3" t="s">
        <v>249</v>
      </c>
      <c r="AH552" s="8"/>
      <c r="AI552" s="4">
        <f t="shared" si="96"/>
        <v>5325</v>
      </c>
      <c r="AJ552" s="4">
        <f t="shared" si="88"/>
        <v>159899.26949999994</v>
      </c>
      <c r="AK552" s="8"/>
      <c r="AL552" s="8"/>
      <c r="AM552" s="47"/>
      <c r="AN552" s="47"/>
      <c r="AO552" s="8"/>
      <c r="AP552" s="8"/>
      <c r="AQ552" s="47"/>
      <c r="AR552" s="47"/>
      <c r="AS552" s="8"/>
      <c r="AT552" s="8"/>
      <c r="AU552" s="47"/>
      <c r="AV552" s="47"/>
      <c r="AW552" s="8"/>
      <c r="AX552" s="8"/>
      <c r="AY552" s="47"/>
      <c r="AZ552" s="47"/>
      <c r="BA552" s="8"/>
      <c r="BB552" s="8"/>
      <c r="BC552" s="47"/>
      <c r="BD552" s="47"/>
      <c r="BE552" s="8"/>
      <c r="BF552" s="8"/>
      <c r="BG552" s="47"/>
      <c r="BH552" s="47"/>
      <c r="BI552" s="8"/>
      <c r="BJ552" s="3"/>
      <c r="BK552" s="47"/>
      <c r="BL552" s="47"/>
      <c r="BM552" s="24">
        <f t="shared" si="89"/>
        <v>0</v>
      </c>
      <c r="BN552" s="28">
        <f t="shared" si="83"/>
        <v>159899.26949999994</v>
      </c>
      <c r="BO552" s="2">
        <v>45585</v>
      </c>
    </row>
    <row r="553" spans="4:67" x14ac:dyDescent="0.25">
      <c r="D553" s="9" t="s">
        <v>29</v>
      </c>
      <c r="E553" s="80">
        <v>45586</v>
      </c>
      <c r="F553" s="38"/>
      <c r="G553" s="51"/>
      <c r="H553" s="4">
        <f t="shared" si="84"/>
        <v>1750</v>
      </c>
      <c r="I553" s="5"/>
      <c r="J553" s="4">
        <f t="shared" si="85"/>
        <v>1750</v>
      </c>
      <c r="K553" s="4">
        <f t="shared" si="90"/>
        <v>36749.969999999972</v>
      </c>
      <c r="L553" s="3"/>
      <c r="M553" s="3"/>
      <c r="N553" s="33">
        <f t="shared" si="86"/>
        <v>0</v>
      </c>
      <c r="O553" s="28">
        <f t="shared" si="91"/>
        <v>36749.969999999972</v>
      </c>
      <c r="P553" s="9" t="s">
        <v>29</v>
      </c>
      <c r="Q553" s="2">
        <v>45586</v>
      </c>
      <c r="R553" s="38"/>
      <c r="S553" s="52"/>
      <c r="T553" s="4">
        <f t="shared" si="87"/>
        <v>2925</v>
      </c>
      <c r="U553" s="5"/>
      <c r="V553" s="4">
        <f t="shared" si="95"/>
        <v>2925</v>
      </c>
      <c r="W553" s="4">
        <f t="shared" si="92"/>
        <v>-8042.2549999999865</v>
      </c>
      <c r="X553" s="3"/>
      <c r="Y553" s="3"/>
      <c r="Z553" s="25">
        <f t="shared" si="93"/>
        <v>0</v>
      </c>
      <c r="AA553" s="72">
        <f t="shared" si="94"/>
        <v>-8042.2549999999865</v>
      </c>
      <c r="AB553" s="9" t="s">
        <v>29</v>
      </c>
      <c r="AC553" s="19">
        <v>45586</v>
      </c>
      <c r="AD553" s="41"/>
      <c r="AE553" s="42"/>
      <c r="AF553" s="4">
        <f t="shared" si="82"/>
        <v>5325</v>
      </c>
      <c r="AG553" s="3" t="s">
        <v>249</v>
      </c>
      <c r="AH553" s="8"/>
      <c r="AI553" s="4">
        <f t="shared" si="96"/>
        <v>5325</v>
      </c>
      <c r="AJ553" s="4">
        <f t="shared" si="88"/>
        <v>165224.26949999994</v>
      </c>
      <c r="AK553" s="8"/>
      <c r="AL553" s="8"/>
      <c r="AM553" s="47"/>
      <c r="AN553" s="47"/>
      <c r="AO553" s="8"/>
      <c r="AP553" s="8"/>
      <c r="AQ553" s="47"/>
      <c r="AR553" s="47"/>
      <c r="AS553" s="8"/>
      <c r="AT553" s="8"/>
      <c r="AU553" s="47"/>
      <c r="AV553" s="47"/>
      <c r="AW553" s="8"/>
      <c r="AX553" s="8"/>
      <c r="AY553" s="47"/>
      <c r="AZ553" s="47"/>
      <c r="BA553" s="8"/>
      <c r="BB553" s="8"/>
      <c r="BC553" s="47"/>
      <c r="BD553" s="47"/>
      <c r="BE553" s="8"/>
      <c r="BF553" s="8"/>
      <c r="BG553" s="47"/>
      <c r="BH553" s="47"/>
      <c r="BI553" s="8"/>
      <c r="BJ553" s="3"/>
      <c r="BK553" s="47"/>
      <c r="BL553" s="47"/>
      <c r="BM553" s="24">
        <f t="shared" si="89"/>
        <v>0</v>
      </c>
      <c r="BN553" s="28">
        <f t="shared" si="83"/>
        <v>165224.26949999994</v>
      </c>
      <c r="BO553" s="2">
        <v>45586</v>
      </c>
    </row>
    <row r="554" spans="4:67" x14ac:dyDescent="0.25">
      <c r="D554" s="9" t="s">
        <v>30</v>
      </c>
      <c r="E554" s="80">
        <v>45587</v>
      </c>
      <c r="F554" s="38"/>
      <c r="G554" s="51"/>
      <c r="H554" s="4">
        <f t="shared" si="84"/>
        <v>1750</v>
      </c>
      <c r="I554" s="5"/>
      <c r="J554" s="4">
        <f t="shared" si="85"/>
        <v>1750</v>
      </c>
      <c r="K554" s="4">
        <f t="shared" si="90"/>
        <v>38499.969999999972</v>
      </c>
      <c r="L554" s="3"/>
      <c r="M554" s="3"/>
      <c r="N554" s="33">
        <f t="shared" si="86"/>
        <v>0</v>
      </c>
      <c r="O554" s="28">
        <f t="shared" si="91"/>
        <v>38499.969999999972</v>
      </c>
      <c r="P554" s="9" t="s">
        <v>30</v>
      </c>
      <c r="Q554" s="2">
        <v>45587</v>
      </c>
      <c r="R554" s="38"/>
      <c r="S554" s="52"/>
      <c r="T554" s="4">
        <f t="shared" si="87"/>
        <v>2925</v>
      </c>
      <c r="U554" s="5"/>
      <c r="V554" s="4">
        <f t="shared" si="95"/>
        <v>2925</v>
      </c>
      <c r="W554" s="4">
        <f t="shared" si="92"/>
        <v>-5117.2549999999865</v>
      </c>
      <c r="X554" s="3"/>
      <c r="Y554" s="3"/>
      <c r="Z554" s="25">
        <f t="shared" si="93"/>
        <v>0</v>
      </c>
      <c r="AA554" s="72">
        <f t="shared" si="94"/>
        <v>-5117.2549999999865</v>
      </c>
      <c r="AB554" s="9" t="s">
        <v>30</v>
      </c>
      <c r="AC554" s="19">
        <v>45587</v>
      </c>
      <c r="AD554" s="41"/>
      <c r="AE554" s="42"/>
      <c r="AF554" s="4">
        <f t="shared" si="82"/>
        <v>5325</v>
      </c>
      <c r="AG554" s="3" t="s">
        <v>249</v>
      </c>
      <c r="AH554" s="8"/>
      <c r="AI554" s="4">
        <f t="shared" si="96"/>
        <v>5325</v>
      </c>
      <c r="AJ554" s="4">
        <f t="shared" si="88"/>
        <v>170549.26949999994</v>
      </c>
      <c r="AK554" s="8"/>
      <c r="AL554" s="8"/>
      <c r="AM554" s="47"/>
      <c r="AN554" s="47"/>
      <c r="AO554" s="8"/>
      <c r="AP554" s="8"/>
      <c r="AQ554" s="47"/>
      <c r="AR554" s="47"/>
      <c r="AS554" s="8"/>
      <c r="AT554" s="8"/>
      <c r="AU554" s="47"/>
      <c r="AV554" s="47"/>
      <c r="AW554" s="8"/>
      <c r="AX554" s="8"/>
      <c r="AY554" s="47"/>
      <c r="AZ554" s="47"/>
      <c r="BA554" s="8"/>
      <c r="BB554" s="8"/>
      <c r="BC554" s="47"/>
      <c r="BD554" s="47"/>
      <c r="BE554" s="8"/>
      <c r="BF554" s="8"/>
      <c r="BG554" s="47"/>
      <c r="BH554" s="47"/>
      <c r="BI554" s="8"/>
      <c r="BJ554" s="3"/>
      <c r="BK554" s="47"/>
      <c r="BL554" s="47"/>
      <c r="BM554" s="24">
        <f t="shared" si="89"/>
        <v>0</v>
      </c>
      <c r="BN554" s="28">
        <f t="shared" si="83"/>
        <v>170549.26949999994</v>
      </c>
      <c r="BO554" s="2">
        <v>45587</v>
      </c>
    </row>
    <row r="555" spans="4:67" x14ac:dyDescent="0.25">
      <c r="D555" s="9" t="s">
        <v>31</v>
      </c>
      <c r="E555" s="80">
        <v>45588</v>
      </c>
      <c r="F555" s="38"/>
      <c r="G555" s="51"/>
      <c r="H555" s="4">
        <f t="shared" si="84"/>
        <v>1750</v>
      </c>
      <c r="I555" s="5"/>
      <c r="J555" s="4">
        <f t="shared" si="85"/>
        <v>1750</v>
      </c>
      <c r="K555" s="4">
        <f t="shared" si="90"/>
        <v>40249.969999999972</v>
      </c>
      <c r="L555" s="3"/>
      <c r="M555" s="3"/>
      <c r="N555" s="33">
        <f t="shared" si="86"/>
        <v>0</v>
      </c>
      <c r="O555" s="28">
        <f t="shared" si="91"/>
        <v>40249.969999999972</v>
      </c>
      <c r="P555" s="9" t="s">
        <v>31</v>
      </c>
      <c r="Q555" s="2">
        <v>45588</v>
      </c>
      <c r="R555" s="38"/>
      <c r="S555" s="52"/>
      <c r="T555" s="4">
        <f t="shared" si="87"/>
        <v>2925</v>
      </c>
      <c r="U555" s="5"/>
      <c r="V555" s="4">
        <f t="shared" si="95"/>
        <v>2925</v>
      </c>
      <c r="W555" s="4">
        <f t="shared" si="92"/>
        <v>-2192.2549999999865</v>
      </c>
      <c r="X555" s="3"/>
      <c r="Y555" s="3"/>
      <c r="Z555" s="25">
        <f t="shared" si="93"/>
        <v>0</v>
      </c>
      <c r="AA555" s="72">
        <f t="shared" si="94"/>
        <v>-2192.2549999999865</v>
      </c>
      <c r="AB555" s="9" t="s">
        <v>31</v>
      </c>
      <c r="AC555" s="19">
        <v>45588</v>
      </c>
      <c r="AD555" s="41"/>
      <c r="AE555" s="42"/>
      <c r="AF555" s="4">
        <f t="shared" si="82"/>
        <v>5325</v>
      </c>
      <c r="AG555" s="3" t="s">
        <v>249</v>
      </c>
      <c r="AH555" s="8"/>
      <c r="AI555" s="4">
        <f t="shared" si="96"/>
        <v>5325</v>
      </c>
      <c r="AJ555" s="4">
        <f t="shared" si="88"/>
        <v>175874.26949999994</v>
      </c>
      <c r="AK555" s="8"/>
      <c r="AL555" s="8"/>
      <c r="AM555" s="47"/>
      <c r="AN555" s="47"/>
      <c r="AO555" s="8"/>
      <c r="AP555" s="8"/>
      <c r="AQ555" s="47"/>
      <c r="AR555" s="47"/>
      <c r="AS555" s="8"/>
      <c r="AT555" s="8"/>
      <c r="AU555" s="47"/>
      <c r="AV555" s="47"/>
      <c r="AW555" s="8"/>
      <c r="AX555" s="8"/>
      <c r="AY555" s="47"/>
      <c r="AZ555" s="47"/>
      <c r="BA555" s="8"/>
      <c r="BB555" s="8"/>
      <c r="BC555" s="47"/>
      <c r="BD555" s="47"/>
      <c r="BE555" s="8"/>
      <c r="BF555" s="8"/>
      <c r="BG555" s="47"/>
      <c r="BH555" s="47"/>
      <c r="BI555" s="8"/>
      <c r="BJ555" s="3"/>
      <c r="BK555" s="47"/>
      <c r="BL555" s="47"/>
      <c r="BM555" s="24">
        <f t="shared" si="89"/>
        <v>0</v>
      </c>
      <c r="BN555" s="28">
        <f t="shared" si="83"/>
        <v>175874.26949999994</v>
      </c>
      <c r="BO555" s="2">
        <v>45588</v>
      </c>
    </row>
    <row r="556" spans="4:67" x14ac:dyDescent="0.25">
      <c r="D556" s="9" t="s">
        <v>32</v>
      </c>
      <c r="E556" s="80">
        <v>45589</v>
      </c>
      <c r="F556" s="38"/>
      <c r="G556" s="51"/>
      <c r="H556" s="4">
        <f t="shared" si="84"/>
        <v>1750</v>
      </c>
      <c r="I556" s="5"/>
      <c r="J556" s="4">
        <f t="shared" si="85"/>
        <v>1750</v>
      </c>
      <c r="K556" s="4">
        <f t="shared" si="90"/>
        <v>41999.969999999972</v>
      </c>
      <c r="L556" s="3"/>
      <c r="M556" s="3"/>
      <c r="N556" s="33">
        <f t="shared" si="86"/>
        <v>0</v>
      </c>
      <c r="O556" s="28">
        <f t="shared" si="91"/>
        <v>41999.969999999972</v>
      </c>
      <c r="P556" s="9" t="s">
        <v>32</v>
      </c>
      <c r="Q556" s="2">
        <v>45589</v>
      </c>
      <c r="R556" s="38"/>
      <c r="S556" s="52"/>
      <c r="T556" s="4">
        <f t="shared" si="87"/>
        <v>2925</v>
      </c>
      <c r="U556" s="5"/>
      <c r="V556" s="4">
        <f t="shared" si="95"/>
        <v>2925</v>
      </c>
      <c r="W556" s="4">
        <f t="shared" si="92"/>
        <v>732.74500000001353</v>
      </c>
      <c r="X556" s="3"/>
      <c r="Y556" s="3"/>
      <c r="Z556" s="25">
        <f t="shared" si="93"/>
        <v>0</v>
      </c>
      <c r="AA556" s="72">
        <f t="shared" si="94"/>
        <v>732.74500000001353</v>
      </c>
      <c r="AB556" s="9" t="s">
        <v>32</v>
      </c>
      <c r="AC556" s="19">
        <v>45589</v>
      </c>
      <c r="AD556" s="41"/>
      <c r="AE556" s="42"/>
      <c r="AF556" s="4">
        <f t="shared" si="82"/>
        <v>5325</v>
      </c>
      <c r="AG556" s="3" t="s">
        <v>249</v>
      </c>
      <c r="AH556" s="8"/>
      <c r="AI556" s="4">
        <f t="shared" si="96"/>
        <v>5325</v>
      </c>
      <c r="AJ556" s="4">
        <f t="shared" si="88"/>
        <v>181199.26949999994</v>
      </c>
      <c r="AK556" s="8"/>
      <c r="AL556" s="8"/>
      <c r="AM556" s="48"/>
      <c r="AN556" s="47"/>
      <c r="AO556" s="8"/>
      <c r="AP556" s="8"/>
      <c r="AQ556" s="47"/>
      <c r="AR556" s="47"/>
      <c r="AS556" s="8"/>
      <c r="AT556" s="8"/>
      <c r="AU556" s="47"/>
      <c r="AV556" s="47"/>
      <c r="AW556" s="8"/>
      <c r="AX556" s="8"/>
      <c r="AY556" s="47"/>
      <c r="AZ556" s="47"/>
      <c r="BA556" s="8"/>
      <c r="BB556" s="8"/>
      <c r="BC556" s="47"/>
      <c r="BD556" s="47"/>
      <c r="BE556" s="8"/>
      <c r="BF556" s="8"/>
      <c r="BG556" s="47"/>
      <c r="BH556" s="47"/>
      <c r="BI556" s="8"/>
      <c r="BJ556" s="3"/>
      <c r="BK556" s="47"/>
      <c r="BL556" s="47"/>
      <c r="BM556" s="24">
        <f t="shared" si="89"/>
        <v>0</v>
      </c>
      <c r="BN556" s="28">
        <f t="shared" si="83"/>
        <v>181199.26949999994</v>
      </c>
      <c r="BO556" s="2">
        <v>45589</v>
      </c>
    </row>
    <row r="557" spans="4:67" x14ac:dyDescent="0.25">
      <c r="D557" s="9" t="s">
        <v>26</v>
      </c>
      <c r="E557" s="80">
        <v>45590</v>
      </c>
      <c r="F557" s="38"/>
      <c r="G557" s="51"/>
      <c r="H557" s="4">
        <f t="shared" si="84"/>
        <v>1750</v>
      </c>
      <c r="I557" s="5"/>
      <c r="J557" s="4">
        <f t="shared" si="85"/>
        <v>1750</v>
      </c>
      <c r="K557" s="4">
        <f t="shared" si="90"/>
        <v>43749.969999999972</v>
      </c>
      <c r="L557" s="3"/>
      <c r="M557" s="3"/>
      <c r="N557" s="33">
        <f t="shared" si="86"/>
        <v>0</v>
      </c>
      <c r="O557" s="28">
        <f t="shared" si="91"/>
        <v>43749.969999999972</v>
      </c>
      <c r="P557" s="9" t="s">
        <v>26</v>
      </c>
      <c r="Q557" s="2">
        <v>45590</v>
      </c>
      <c r="R557" s="38"/>
      <c r="S557" s="52"/>
      <c r="T557" s="4">
        <f t="shared" si="87"/>
        <v>2925</v>
      </c>
      <c r="U557" s="5"/>
      <c r="V557" s="4">
        <f t="shared" si="95"/>
        <v>2925</v>
      </c>
      <c r="W557" s="4">
        <f t="shared" si="92"/>
        <v>3657.7450000000135</v>
      </c>
      <c r="X557" s="3"/>
      <c r="Y557" s="3"/>
      <c r="Z557" s="25">
        <f t="shared" si="93"/>
        <v>0</v>
      </c>
      <c r="AA557" s="72">
        <f t="shared" si="94"/>
        <v>3657.7450000000135</v>
      </c>
      <c r="AB557" s="9" t="s">
        <v>26</v>
      </c>
      <c r="AC557" s="19">
        <v>45590</v>
      </c>
      <c r="AD557" s="41"/>
      <c r="AE557" s="42"/>
      <c r="AF557" s="4">
        <f t="shared" si="82"/>
        <v>5325</v>
      </c>
      <c r="AG557" s="3" t="s">
        <v>249</v>
      </c>
      <c r="AH557" s="8"/>
      <c r="AI557" s="4">
        <f t="shared" si="96"/>
        <v>5325</v>
      </c>
      <c r="AJ557" s="4">
        <f t="shared" si="88"/>
        <v>186524.26949999994</v>
      </c>
      <c r="AK557" s="8"/>
      <c r="AL557" s="8"/>
      <c r="AM557" s="47"/>
      <c r="AN557" s="47"/>
      <c r="AO557" s="8"/>
      <c r="AP557" s="8"/>
      <c r="AQ557" s="47"/>
      <c r="AR557" s="47"/>
      <c r="AS557" s="8"/>
      <c r="AT557" s="8"/>
      <c r="AU557" s="47"/>
      <c r="AV557" s="47"/>
      <c r="AW557" s="8"/>
      <c r="AX557" s="8"/>
      <c r="AY557" s="47"/>
      <c r="AZ557" s="47"/>
      <c r="BA557" s="8"/>
      <c r="BB557" s="8"/>
      <c r="BC557" s="47"/>
      <c r="BD557" s="47"/>
      <c r="BE557" s="8"/>
      <c r="BF557" s="8"/>
      <c r="BG557" s="47"/>
      <c r="BH557" s="47"/>
      <c r="BI557" s="8"/>
      <c r="BJ557" s="3"/>
      <c r="BK557" s="47"/>
      <c r="BL557" s="47"/>
      <c r="BM557" s="24">
        <f t="shared" si="89"/>
        <v>0</v>
      </c>
      <c r="BN557" s="28">
        <f t="shared" si="83"/>
        <v>186524.26949999994</v>
      </c>
      <c r="BO557" s="2">
        <v>45590</v>
      </c>
    </row>
    <row r="558" spans="4:67" x14ac:dyDescent="0.25">
      <c r="D558" s="9" t="s">
        <v>27</v>
      </c>
      <c r="E558" s="80">
        <v>45591</v>
      </c>
      <c r="F558" s="38"/>
      <c r="G558" s="51"/>
      <c r="H558" s="4">
        <f t="shared" si="84"/>
        <v>1750</v>
      </c>
      <c r="I558" s="5"/>
      <c r="J558" s="4">
        <f t="shared" si="85"/>
        <v>1750</v>
      </c>
      <c r="K558" s="4">
        <f t="shared" si="90"/>
        <v>45499.969999999972</v>
      </c>
      <c r="L558" s="3"/>
      <c r="M558" s="3"/>
      <c r="N558" s="33">
        <f t="shared" si="86"/>
        <v>0</v>
      </c>
      <c r="O558" s="28">
        <f t="shared" si="91"/>
        <v>45499.969999999972</v>
      </c>
      <c r="P558" s="9" t="s">
        <v>27</v>
      </c>
      <c r="Q558" s="2">
        <v>45591</v>
      </c>
      <c r="R558" s="38"/>
      <c r="S558" s="52"/>
      <c r="T558" s="4">
        <f t="shared" si="87"/>
        <v>2925</v>
      </c>
      <c r="U558" s="5"/>
      <c r="V558" s="4">
        <f t="shared" si="95"/>
        <v>2925</v>
      </c>
      <c r="W558" s="4">
        <f t="shared" si="92"/>
        <v>6582.7450000000135</v>
      </c>
      <c r="X558" s="3"/>
      <c r="Y558" s="3"/>
      <c r="Z558" s="25">
        <f t="shared" si="93"/>
        <v>0</v>
      </c>
      <c r="AA558" s="72">
        <f t="shared" si="94"/>
        <v>6582.7450000000135</v>
      </c>
      <c r="AB558" s="9" t="s">
        <v>27</v>
      </c>
      <c r="AC558" s="19">
        <v>45591</v>
      </c>
      <c r="AD558" s="41"/>
      <c r="AE558" s="42"/>
      <c r="AF558" s="4">
        <f t="shared" si="82"/>
        <v>5325</v>
      </c>
      <c r="AG558" s="3" t="s">
        <v>249</v>
      </c>
      <c r="AH558" s="8"/>
      <c r="AI558" s="4">
        <f t="shared" si="96"/>
        <v>5325</v>
      </c>
      <c r="AJ558" s="4">
        <f t="shared" si="88"/>
        <v>191849.26949999994</v>
      </c>
      <c r="AK558" s="8"/>
      <c r="AL558" s="8"/>
      <c r="AM558" s="47"/>
      <c r="AN558" s="47"/>
      <c r="AO558" s="8"/>
      <c r="AP558" s="8"/>
      <c r="AQ558" s="47"/>
      <c r="AR558" s="47"/>
      <c r="AS558" s="8"/>
      <c r="AT558" s="8"/>
      <c r="AU558" s="47"/>
      <c r="AV558" s="47"/>
      <c r="AW558" s="8"/>
      <c r="AX558" s="8"/>
      <c r="AY558" s="47"/>
      <c r="AZ558" s="47"/>
      <c r="BA558" s="8"/>
      <c r="BB558" s="8"/>
      <c r="BC558" s="47"/>
      <c r="BD558" s="47"/>
      <c r="BE558" s="8"/>
      <c r="BF558" s="8"/>
      <c r="BG558" s="47"/>
      <c r="BH558" s="47"/>
      <c r="BI558" s="8"/>
      <c r="BJ558" s="3"/>
      <c r="BK558" s="47"/>
      <c r="BL558" s="47"/>
      <c r="BM558" s="24">
        <f t="shared" si="89"/>
        <v>0</v>
      </c>
      <c r="BN558" s="28">
        <f t="shared" si="83"/>
        <v>191849.26949999994</v>
      </c>
      <c r="BO558" s="2">
        <v>45591</v>
      </c>
    </row>
    <row r="559" spans="4:67" x14ac:dyDescent="0.25">
      <c r="D559" s="9" t="s">
        <v>28</v>
      </c>
      <c r="E559" s="80">
        <v>45592</v>
      </c>
      <c r="F559" s="38"/>
      <c r="G559" s="51"/>
      <c r="H559" s="4">
        <f t="shared" si="84"/>
        <v>1750</v>
      </c>
      <c r="I559" s="5"/>
      <c r="J559" s="4">
        <f t="shared" si="85"/>
        <v>1750</v>
      </c>
      <c r="K559" s="4">
        <f t="shared" si="90"/>
        <v>47249.969999999972</v>
      </c>
      <c r="L559" s="3"/>
      <c r="M559" s="3"/>
      <c r="N559" s="33">
        <f t="shared" si="86"/>
        <v>0</v>
      </c>
      <c r="O559" s="28">
        <f t="shared" si="91"/>
        <v>47249.969999999972</v>
      </c>
      <c r="P559" s="9" t="s">
        <v>28</v>
      </c>
      <c r="Q559" s="2">
        <v>45592</v>
      </c>
      <c r="R559" s="38"/>
      <c r="S559" s="52"/>
      <c r="T559" s="4">
        <f t="shared" si="87"/>
        <v>2925</v>
      </c>
      <c r="U559" s="5"/>
      <c r="V559" s="4">
        <f t="shared" si="95"/>
        <v>2925</v>
      </c>
      <c r="W559" s="4">
        <f t="shared" si="92"/>
        <v>9507.7450000000135</v>
      </c>
      <c r="X559" s="3"/>
      <c r="Y559" s="3"/>
      <c r="Z559" s="25">
        <f t="shared" si="93"/>
        <v>0</v>
      </c>
      <c r="AA559" s="72">
        <f t="shared" si="94"/>
        <v>9507.7450000000135</v>
      </c>
      <c r="AB559" s="9" t="s">
        <v>28</v>
      </c>
      <c r="AC559" s="19">
        <v>45592</v>
      </c>
      <c r="AD559" s="41"/>
      <c r="AE559" s="42"/>
      <c r="AF559" s="4">
        <f t="shared" si="82"/>
        <v>5325</v>
      </c>
      <c r="AG559" s="3" t="s">
        <v>249</v>
      </c>
      <c r="AH559" s="8"/>
      <c r="AI559" s="4">
        <f t="shared" si="96"/>
        <v>5325</v>
      </c>
      <c r="AJ559" s="4">
        <f t="shared" si="88"/>
        <v>197174.26949999994</v>
      </c>
      <c r="AK559" s="8"/>
      <c r="AL559" s="8"/>
      <c r="AM559" s="47"/>
      <c r="AN559" s="47"/>
      <c r="AO559" s="8"/>
      <c r="AP559" s="8"/>
      <c r="AQ559" s="47"/>
      <c r="AR559" s="47"/>
      <c r="AS559" s="8"/>
      <c r="AT559" s="8"/>
      <c r="AU559" s="47"/>
      <c r="AV559" s="47"/>
      <c r="AW559" s="8"/>
      <c r="AX559" s="8"/>
      <c r="AY559" s="47"/>
      <c r="AZ559" s="47"/>
      <c r="BA559" s="8"/>
      <c r="BB559" s="8"/>
      <c r="BC559" s="47"/>
      <c r="BD559" s="47"/>
      <c r="BE559" s="8"/>
      <c r="BF559" s="8"/>
      <c r="BG559" s="47"/>
      <c r="BH559" s="47"/>
      <c r="BI559" s="8"/>
      <c r="BJ559" s="3"/>
      <c r="BK559" s="47"/>
      <c r="BL559" s="47"/>
      <c r="BM559" s="24">
        <f t="shared" si="89"/>
        <v>0</v>
      </c>
      <c r="BN559" s="28">
        <f t="shared" si="83"/>
        <v>197174.26949999994</v>
      </c>
      <c r="BO559" s="2">
        <v>45592</v>
      </c>
    </row>
    <row r="560" spans="4:67" x14ac:dyDescent="0.25">
      <c r="D560" s="9" t="s">
        <v>29</v>
      </c>
      <c r="E560" s="80">
        <v>45593</v>
      </c>
      <c r="F560" s="38"/>
      <c r="G560" s="51"/>
      <c r="H560" s="4">
        <f t="shared" si="84"/>
        <v>1750</v>
      </c>
      <c r="I560" s="5"/>
      <c r="J560" s="4">
        <f t="shared" si="85"/>
        <v>1750</v>
      </c>
      <c r="K560" s="4">
        <f t="shared" si="90"/>
        <v>48999.969999999972</v>
      </c>
      <c r="L560" s="3"/>
      <c r="M560" s="3"/>
      <c r="N560" s="33">
        <f t="shared" si="86"/>
        <v>0</v>
      </c>
      <c r="O560" s="28">
        <f t="shared" si="91"/>
        <v>48999.969999999972</v>
      </c>
      <c r="P560" s="9" t="s">
        <v>29</v>
      </c>
      <c r="Q560" s="2">
        <v>45593</v>
      </c>
      <c r="R560" s="38"/>
      <c r="S560" s="52"/>
      <c r="T560" s="4">
        <f t="shared" si="87"/>
        <v>2925</v>
      </c>
      <c r="U560" s="5"/>
      <c r="V560" s="4">
        <f t="shared" si="95"/>
        <v>2925</v>
      </c>
      <c r="W560" s="4">
        <f t="shared" si="92"/>
        <v>12432.745000000014</v>
      </c>
      <c r="X560" s="3"/>
      <c r="Y560" s="3"/>
      <c r="Z560" s="25">
        <f t="shared" si="93"/>
        <v>0</v>
      </c>
      <c r="AA560" s="72">
        <f t="shared" si="94"/>
        <v>12432.745000000014</v>
      </c>
      <c r="AB560" s="9" t="s">
        <v>29</v>
      </c>
      <c r="AC560" s="19">
        <v>45593</v>
      </c>
      <c r="AD560" s="41"/>
      <c r="AE560" s="42"/>
      <c r="AF560" s="4">
        <f t="shared" si="82"/>
        <v>5325</v>
      </c>
      <c r="AG560" s="3" t="s">
        <v>249</v>
      </c>
      <c r="AH560" s="8"/>
      <c r="AI560" s="4">
        <f t="shared" si="96"/>
        <v>5325</v>
      </c>
      <c r="AJ560" s="4">
        <f t="shared" si="88"/>
        <v>202499.26949999994</v>
      </c>
      <c r="AK560" s="8"/>
      <c r="AL560" s="8"/>
      <c r="AM560" s="47"/>
      <c r="AN560" s="47"/>
      <c r="AO560" s="8"/>
      <c r="AP560" s="8"/>
      <c r="AQ560" s="47"/>
      <c r="AR560" s="47"/>
      <c r="AS560" s="8"/>
      <c r="AT560" s="8"/>
      <c r="AU560" s="47"/>
      <c r="AV560" s="47"/>
      <c r="AW560" s="8"/>
      <c r="AX560" s="8"/>
      <c r="AY560" s="47"/>
      <c r="AZ560" s="47"/>
      <c r="BA560" s="8"/>
      <c r="BB560" s="8"/>
      <c r="BC560" s="47"/>
      <c r="BD560" s="47"/>
      <c r="BE560" s="8"/>
      <c r="BF560" s="8"/>
      <c r="BG560" s="47"/>
      <c r="BH560" s="47"/>
      <c r="BI560" s="8"/>
      <c r="BJ560" s="3"/>
      <c r="BK560" s="47"/>
      <c r="BL560" s="47"/>
      <c r="BM560" s="24">
        <f t="shared" si="89"/>
        <v>0</v>
      </c>
      <c r="BN560" s="28">
        <f t="shared" si="83"/>
        <v>202499.26949999994</v>
      </c>
      <c r="BO560" s="2">
        <v>45593</v>
      </c>
    </row>
    <row r="561" spans="4:67" x14ac:dyDescent="0.25">
      <c r="D561" s="9" t="s">
        <v>30</v>
      </c>
      <c r="E561" s="80">
        <v>45594</v>
      </c>
      <c r="F561" s="38"/>
      <c r="G561" s="51"/>
      <c r="H561" s="4">
        <f t="shared" si="84"/>
        <v>1750</v>
      </c>
      <c r="I561" s="5"/>
      <c r="J561" s="4">
        <f t="shared" si="85"/>
        <v>1750</v>
      </c>
      <c r="K561" s="4">
        <f t="shared" si="90"/>
        <v>50749.969999999972</v>
      </c>
      <c r="L561" s="3"/>
      <c r="M561" s="3"/>
      <c r="N561" s="33">
        <f t="shared" si="86"/>
        <v>0</v>
      </c>
      <c r="O561" s="28">
        <f t="shared" si="91"/>
        <v>50749.969999999972</v>
      </c>
      <c r="P561" s="9" t="s">
        <v>30</v>
      </c>
      <c r="Q561" s="2">
        <v>45594</v>
      </c>
      <c r="R561" s="38"/>
      <c r="S561" s="52"/>
      <c r="T561" s="4">
        <f t="shared" si="87"/>
        <v>2925</v>
      </c>
      <c r="U561" s="5"/>
      <c r="V561" s="4">
        <f t="shared" si="95"/>
        <v>2925</v>
      </c>
      <c r="W561" s="4">
        <f t="shared" si="92"/>
        <v>15357.745000000014</v>
      </c>
      <c r="X561" s="3"/>
      <c r="Y561" s="3"/>
      <c r="Z561" s="25">
        <f t="shared" si="93"/>
        <v>0</v>
      </c>
      <c r="AA561" s="72">
        <f t="shared" si="94"/>
        <v>15357.745000000014</v>
      </c>
      <c r="AB561" s="9" t="s">
        <v>30</v>
      </c>
      <c r="AC561" s="19">
        <v>45594</v>
      </c>
      <c r="AD561" s="41"/>
      <c r="AE561" s="42"/>
      <c r="AF561" s="4">
        <f t="shared" si="82"/>
        <v>5325</v>
      </c>
      <c r="AG561" s="3" t="s">
        <v>249</v>
      </c>
      <c r="AH561" s="8"/>
      <c r="AI561" s="4">
        <f t="shared" si="96"/>
        <v>5325</v>
      </c>
      <c r="AJ561" s="4">
        <f t="shared" si="88"/>
        <v>207824.26949999994</v>
      </c>
      <c r="AK561" s="8"/>
      <c r="AL561" s="8"/>
      <c r="AM561" s="47"/>
      <c r="AN561" s="47"/>
      <c r="AO561" s="8"/>
      <c r="AP561" s="8"/>
      <c r="AQ561" s="47"/>
      <c r="AR561" s="47"/>
      <c r="AS561" s="8"/>
      <c r="AT561" s="8"/>
      <c r="AU561" s="47"/>
      <c r="AV561" s="47"/>
      <c r="AW561" s="8"/>
      <c r="AX561" s="8"/>
      <c r="AY561" s="47"/>
      <c r="AZ561" s="47"/>
      <c r="BA561" s="8"/>
      <c r="BB561" s="8"/>
      <c r="BC561" s="47"/>
      <c r="BD561" s="47"/>
      <c r="BE561" s="8"/>
      <c r="BF561" s="8"/>
      <c r="BG561" s="47"/>
      <c r="BH561" s="47"/>
      <c r="BI561" s="8"/>
      <c r="BJ561" s="3"/>
      <c r="BK561" s="47"/>
      <c r="BL561" s="47"/>
      <c r="BM561" s="24">
        <f t="shared" si="89"/>
        <v>0</v>
      </c>
      <c r="BN561" s="28">
        <f t="shared" si="83"/>
        <v>207824.26949999994</v>
      </c>
      <c r="BO561" s="2">
        <v>45594</v>
      </c>
    </row>
    <row r="562" spans="4:67" x14ac:dyDescent="0.25">
      <c r="D562" s="9" t="s">
        <v>31</v>
      </c>
      <c r="E562" s="80">
        <v>45595</v>
      </c>
      <c r="F562" s="38"/>
      <c r="G562" s="51"/>
      <c r="H562" s="4">
        <f t="shared" si="84"/>
        <v>1750</v>
      </c>
      <c r="I562" s="5"/>
      <c r="J562" s="4">
        <f t="shared" si="85"/>
        <v>1750</v>
      </c>
      <c r="K562" s="4">
        <f t="shared" si="90"/>
        <v>52499.969999999972</v>
      </c>
      <c r="L562" s="3"/>
      <c r="M562" s="3"/>
      <c r="N562" s="33">
        <f t="shared" si="86"/>
        <v>0</v>
      </c>
      <c r="O562" s="28">
        <f t="shared" si="91"/>
        <v>52499.969999999972</v>
      </c>
      <c r="P562" s="9" t="s">
        <v>31</v>
      </c>
      <c r="Q562" s="2">
        <v>45595</v>
      </c>
      <c r="R562" s="38"/>
      <c r="S562" s="52"/>
      <c r="T562" s="4">
        <f t="shared" si="87"/>
        <v>2925</v>
      </c>
      <c r="U562" s="5"/>
      <c r="V562" s="4">
        <f t="shared" si="95"/>
        <v>2925</v>
      </c>
      <c r="W562" s="4">
        <f t="shared" si="92"/>
        <v>18282.745000000014</v>
      </c>
      <c r="X562" s="3"/>
      <c r="Y562" s="3"/>
      <c r="Z562" s="25">
        <f t="shared" si="93"/>
        <v>0</v>
      </c>
      <c r="AA562" s="72">
        <f t="shared" si="94"/>
        <v>18282.745000000014</v>
      </c>
      <c r="AB562" s="9" t="s">
        <v>31</v>
      </c>
      <c r="AC562" s="19">
        <v>45595</v>
      </c>
      <c r="AD562" s="41"/>
      <c r="AE562" s="42"/>
      <c r="AF562" s="4">
        <f t="shared" si="82"/>
        <v>5325</v>
      </c>
      <c r="AG562" s="3" t="s">
        <v>249</v>
      </c>
      <c r="AH562" s="8"/>
      <c r="AI562" s="4">
        <f t="shared" si="96"/>
        <v>5325</v>
      </c>
      <c r="AJ562" s="4">
        <f t="shared" si="88"/>
        <v>213149.26949999994</v>
      </c>
      <c r="AK562" s="8"/>
      <c r="AL562" s="8"/>
      <c r="AM562" s="47"/>
      <c r="AN562" s="47"/>
      <c r="AO562" s="8"/>
      <c r="AP562" s="8"/>
      <c r="AQ562" s="47"/>
      <c r="AR562" s="47"/>
      <c r="AS562" s="8"/>
      <c r="AT562" s="8"/>
      <c r="AU562" s="47"/>
      <c r="AV562" s="47"/>
      <c r="AW562" s="8"/>
      <c r="AX562" s="8"/>
      <c r="AY562" s="47"/>
      <c r="AZ562" s="47"/>
      <c r="BA562" s="8"/>
      <c r="BB562" s="8"/>
      <c r="BC562" s="47"/>
      <c r="BD562" s="47"/>
      <c r="BE562" s="8"/>
      <c r="BF562" s="8"/>
      <c r="BG562" s="47"/>
      <c r="BH562" s="47"/>
      <c r="BI562" s="8"/>
      <c r="BJ562" s="3"/>
      <c r="BK562" s="47"/>
      <c r="BL562" s="47"/>
      <c r="BM562" s="24">
        <f t="shared" si="89"/>
        <v>0</v>
      </c>
      <c r="BN562" s="28">
        <f t="shared" si="83"/>
        <v>213149.26949999994</v>
      </c>
      <c r="BO562" s="2">
        <v>45595</v>
      </c>
    </row>
    <row r="563" spans="4:67" s="13" customFormat="1" x14ac:dyDescent="0.25">
      <c r="D563" s="13" t="s">
        <v>32</v>
      </c>
      <c r="E563" s="81">
        <v>45596</v>
      </c>
      <c r="F563" s="10"/>
      <c r="G563" s="54"/>
      <c r="H563" s="11">
        <f t="shared" si="84"/>
        <v>1750</v>
      </c>
      <c r="I563" s="12"/>
      <c r="J563" s="11">
        <f t="shared" si="85"/>
        <v>1750</v>
      </c>
      <c r="K563" s="11">
        <f t="shared" si="90"/>
        <v>54249.969999999972</v>
      </c>
      <c r="L563" s="11"/>
      <c r="M563" s="11"/>
      <c r="N563" s="26">
        <f t="shared" si="86"/>
        <v>0</v>
      </c>
      <c r="O563" s="11">
        <f t="shared" si="91"/>
        <v>54249.969999999972</v>
      </c>
      <c r="P563" s="13" t="s">
        <v>32</v>
      </c>
      <c r="Q563" s="10">
        <v>45596</v>
      </c>
      <c r="R563" s="10"/>
      <c r="S563" s="53"/>
      <c r="T563" s="11">
        <f t="shared" si="87"/>
        <v>2925</v>
      </c>
      <c r="U563" s="12"/>
      <c r="V563" s="11">
        <f t="shared" si="95"/>
        <v>2925</v>
      </c>
      <c r="W563" s="11">
        <f t="shared" si="92"/>
        <v>21207.745000000014</v>
      </c>
      <c r="X563" s="11"/>
      <c r="Y563" s="11"/>
      <c r="Z563" s="26">
        <f t="shared" si="93"/>
        <v>0</v>
      </c>
      <c r="AA563" s="53">
        <f t="shared" si="94"/>
        <v>21207.745000000014</v>
      </c>
      <c r="AB563" s="13" t="s">
        <v>32</v>
      </c>
      <c r="AC563" s="20">
        <v>45596</v>
      </c>
      <c r="AD563" s="14"/>
      <c r="AE563" s="27"/>
      <c r="AF563" s="11">
        <f t="shared" si="82"/>
        <v>5325</v>
      </c>
      <c r="AG563" s="3" t="s">
        <v>249</v>
      </c>
      <c r="AH563" s="15"/>
      <c r="AI563" s="11">
        <f t="shared" si="96"/>
        <v>5325</v>
      </c>
      <c r="AJ563" s="11">
        <f t="shared" si="88"/>
        <v>218474.26949999994</v>
      </c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1"/>
      <c r="BK563" s="15"/>
      <c r="BL563" s="15"/>
      <c r="BM563" s="23">
        <f t="shared" si="89"/>
        <v>0</v>
      </c>
      <c r="BN563" s="11">
        <f t="shared" si="83"/>
        <v>218474.26949999994</v>
      </c>
      <c r="BO563" s="10">
        <v>45596</v>
      </c>
    </row>
    <row r="564" spans="4:67" s="94" customFormat="1" x14ac:dyDescent="0.25">
      <c r="D564" s="94" t="s">
        <v>26</v>
      </c>
      <c r="E564" s="95">
        <v>45597</v>
      </c>
      <c r="F564" s="96"/>
      <c r="G564" s="97"/>
      <c r="H564" s="98">
        <f t="shared" si="84"/>
        <v>1750</v>
      </c>
      <c r="I564" s="99"/>
      <c r="J564" s="98">
        <f t="shared" si="85"/>
        <v>1750</v>
      </c>
      <c r="K564" s="98">
        <f t="shared" si="90"/>
        <v>55999.969999999972</v>
      </c>
      <c r="L564" s="98"/>
      <c r="M564" s="98"/>
      <c r="N564" s="100">
        <f t="shared" si="86"/>
        <v>0</v>
      </c>
      <c r="O564" s="98">
        <f t="shared" si="91"/>
        <v>55999.969999999972</v>
      </c>
      <c r="P564" s="94" t="s">
        <v>26</v>
      </c>
      <c r="Q564" s="96">
        <v>45597</v>
      </c>
      <c r="R564" s="96"/>
      <c r="S564" s="101"/>
      <c r="T564" s="98">
        <f t="shared" si="87"/>
        <v>2925</v>
      </c>
      <c r="U564" s="99"/>
      <c r="V564" s="98">
        <f t="shared" si="95"/>
        <v>2925</v>
      </c>
      <c r="W564" s="98">
        <f t="shared" si="92"/>
        <v>24132.745000000014</v>
      </c>
      <c r="X564" s="98"/>
      <c r="Y564" s="98"/>
      <c r="Z564" s="100">
        <f t="shared" si="93"/>
        <v>0</v>
      </c>
      <c r="AA564" s="101">
        <f t="shared" si="94"/>
        <v>24132.745000000014</v>
      </c>
      <c r="AB564" s="94" t="s">
        <v>26</v>
      </c>
      <c r="AC564" s="102">
        <v>45597</v>
      </c>
      <c r="AD564" s="103"/>
      <c r="AE564" s="104"/>
      <c r="AF564" s="98">
        <f t="shared" si="82"/>
        <v>5325</v>
      </c>
      <c r="AG564" s="98"/>
      <c r="AH564" s="105"/>
      <c r="AI564" s="98">
        <f t="shared" si="96"/>
        <v>5325</v>
      </c>
      <c r="AJ564" s="98">
        <f t="shared" si="88"/>
        <v>223799.26949999994</v>
      </c>
      <c r="AK564" s="105"/>
      <c r="AL564" s="105"/>
      <c r="AM564" s="105"/>
      <c r="AN564" s="105"/>
      <c r="AO564" s="105"/>
      <c r="AP564" s="105"/>
      <c r="AQ564" s="105"/>
      <c r="AR564" s="105"/>
      <c r="AS564" s="105"/>
      <c r="AT564" s="105"/>
      <c r="AU564" s="105"/>
      <c r="AV564" s="105"/>
      <c r="AW564" s="105"/>
      <c r="AX564" s="105"/>
      <c r="AY564" s="105"/>
      <c r="AZ564" s="105"/>
      <c r="BA564" s="105"/>
      <c r="BB564" s="105"/>
      <c r="BC564" s="105"/>
      <c r="BD564" s="105"/>
      <c r="BE564" s="105"/>
      <c r="BF564" s="105"/>
      <c r="BG564" s="105"/>
      <c r="BH564" s="105"/>
      <c r="BI564" s="105"/>
      <c r="BJ564" s="98"/>
      <c r="BK564" s="105"/>
      <c r="BL564" s="105"/>
      <c r="BM564" s="106">
        <f t="shared" si="89"/>
        <v>0</v>
      </c>
      <c r="BN564" s="98">
        <f t="shared" si="83"/>
        <v>223799.26949999994</v>
      </c>
      <c r="BO564" s="96">
        <v>45597</v>
      </c>
    </row>
    <row r="565" spans="4:67" x14ac:dyDescent="0.25">
      <c r="D565" s="9" t="s">
        <v>27</v>
      </c>
      <c r="E565" s="80">
        <v>45598</v>
      </c>
      <c r="F565" s="38"/>
      <c r="G565" s="51"/>
      <c r="H565" s="4">
        <f t="shared" si="84"/>
        <v>1750</v>
      </c>
      <c r="I565" s="5"/>
      <c r="J565" s="4">
        <f t="shared" si="85"/>
        <v>1750</v>
      </c>
      <c r="K565" s="4">
        <f t="shared" si="90"/>
        <v>57749.969999999972</v>
      </c>
      <c r="L565" s="3"/>
      <c r="M565" s="3"/>
      <c r="N565" s="33">
        <f t="shared" si="86"/>
        <v>0</v>
      </c>
      <c r="O565" s="28">
        <f t="shared" si="91"/>
        <v>57749.969999999972</v>
      </c>
      <c r="P565" s="9" t="s">
        <v>27</v>
      </c>
      <c r="Q565" s="2">
        <v>45598</v>
      </c>
      <c r="R565" s="38"/>
      <c r="S565" s="52"/>
      <c r="T565" s="4">
        <f t="shared" si="87"/>
        <v>2925</v>
      </c>
      <c r="U565" s="5"/>
      <c r="V565" s="4">
        <f t="shared" si="95"/>
        <v>2925</v>
      </c>
      <c r="W565" s="4">
        <f t="shared" si="92"/>
        <v>27057.745000000014</v>
      </c>
      <c r="X565" s="3"/>
      <c r="Y565" s="3"/>
      <c r="Z565" s="25">
        <f t="shared" si="93"/>
        <v>0</v>
      </c>
      <c r="AA565" s="72">
        <f t="shared" si="94"/>
        <v>27057.745000000014</v>
      </c>
      <c r="AB565" s="9" t="s">
        <v>27</v>
      </c>
      <c r="AC565" s="19">
        <v>45598</v>
      </c>
      <c r="AD565" s="41"/>
      <c r="AE565" s="42"/>
      <c r="AF565" s="4">
        <f t="shared" si="82"/>
        <v>5325</v>
      </c>
      <c r="AG565" s="3"/>
      <c r="AH565" s="8"/>
      <c r="AI565" s="4">
        <f t="shared" si="96"/>
        <v>5325</v>
      </c>
      <c r="AJ565" s="4">
        <f t="shared" si="88"/>
        <v>229124.26949999994</v>
      </c>
      <c r="AK565" s="8"/>
      <c r="AL565" s="8"/>
      <c r="AM565" s="47"/>
      <c r="AN565" s="47"/>
      <c r="AO565" s="8"/>
      <c r="AP565" s="8"/>
      <c r="AQ565" s="47"/>
      <c r="AR565" s="47"/>
      <c r="AS565" s="8"/>
      <c r="AT565" s="8"/>
      <c r="AU565" s="47"/>
      <c r="AV565" s="47"/>
      <c r="AW565" s="8"/>
      <c r="AX565" s="8"/>
      <c r="AY565" s="47"/>
      <c r="AZ565" s="47"/>
      <c r="BA565" s="8"/>
      <c r="BB565" s="8"/>
      <c r="BC565" s="47"/>
      <c r="BD565" s="47"/>
      <c r="BE565" s="8"/>
      <c r="BF565" s="8"/>
      <c r="BG565" s="47"/>
      <c r="BH565" s="47"/>
      <c r="BI565" s="8"/>
      <c r="BJ565" s="3"/>
      <c r="BK565" s="47"/>
      <c r="BL565" s="47"/>
      <c r="BM565" s="24">
        <f t="shared" si="89"/>
        <v>0</v>
      </c>
      <c r="BN565" s="28">
        <f t="shared" si="83"/>
        <v>229124.26949999994</v>
      </c>
      <c r="BO565" s="2">
        <v>45598</v>
      </c>
    </row>
    <row r="566" spans="4:67" x14ac:dyDescent="0.25">
      <c r="D566" s="9" t="s">
        <v>28</v>
      </c>
      <c r="E566" s="80">
        <v>45599</v>
      </c>
      <c r="F566" s="38"/>
      <c r="G566" s="51"/>
      <c r="H566" s="4">
        <f t="shared" si="84"/>
        <v>1750</v>
      </c>
      <c r="I566" s="5"/>
      <c r="J566" s="4">
        <f t="shared" si="85"/>
        <v>1750</v>
      </c>
      <c r="K566" s="4">
        <f t="shared" si="90"/>
        <v>59499.969999999972</v>
      </c>
      <c r="L566" s="3"/>
      <c r="M566" s="3"/>
      <c r="N566" s="33">
        <f t="shared" si="86"/>
        <v>0</v>
      </c>
      <c r="O566" s="28">
        <f t="shared" si="91"/>
        <v>59499.969999999972</v>
      </c>
      <c r="P566" s="9" t="s">
        <v>28</v>
      </c>
      <c r="Q566" s="2">
        <v>45599</v>
      </c>
      <c r="R566" s="38"/>
      <c r="S566" s="52"/>
      <c r="T566" s="4">
        <f t="shared" si="87"/>
        <v>2925</v>
      </c>
      <c r="U566" s="5"/>
      <c r="V566" s="4">
        <f t="shared" si="95"/>
        <v>2925</v>
      </c>
      <c r="W566" s="4">
        <f t="shared" si="92"/>
        <v>29982.745000000014</v>
      </c>
      <c r="X566" s="3"/>
      <c r="Y566" s="3"/>
      <c r="Z566" s="25">
        <f t="shared" si="93"/>
        <v>0</v>
      </c>
      <c r="AA566" s="72">
        <f t="shared" si="94"/>
        <v>29982.745000000014</v>
      </c>
      <c r="AB566" s="9" t="s">
        <v>28</v>
      </c>
      <c r="AC566" s="19">
        <v>45599</v>
      </c>
      <c r="AD566" s="41"/>
      <c r="AE566" s="42"/>
      <c r="AF566" s="4">
        <f t="shared" si="82"/>
        <v>5325</v>
      </c>
      <c r="AG566" s="3"/>
      <c r="AH566" s="8"/>
      <c r="AI566" s="4">
        <f t="shared" si="96"/>
        <v>5325</v>
      </c>
      <c r="AJ566" s="4">
        <f t="shared" si="88"/>
        <v>234449.26949999994</v>
      </c>
      <c r="AK566" s="3"/>
      <c r="AL566" s="8"/>
      <c r="AM566" s="47"/>
      <c r="AN566" s="47"/>
      <c r="AO566" s="8"/>
      <c r="AP566" s="8"/>
      <c r="AQ566" s="47"/>
      <c r="AR566" s="47"/>
      <c r="AS566" s="8"/>
      <c r="AT566" s="8"/>
      <c r="AU566" s="47"/>
      <c r="AV566" s="47"/>
      <c r="AW566" s="8"/>
      <c r="AX566" s="8"/>
      <c r="AY566" s="47"/>
      <c r="AZ566" s="47"/>
      <c r="BA566" s="8"/>
      <c r="BB566" s="8"/>
      <c r="BC566" s="47"/>
      <c r="BD566" s="47"/>
      <c r="BE566" s="8"/>
      <c r="BF566" s="8"/>
      <c r="BG566" s="47"/>
      <c r="BH566" s="47"/>
      <c r="BI566" s="8"/>
      <c r="BJ566" s="3"/>
      <c r="BK566" s="47"/>
      <c r="BL566" s="47"/>
      <c r="BM566" s="24">
        <f t="shared" si="89"/>
        <v>0</v>
      </c>
      <c r="BN566" s="28">
        <f t="shared" si="83"/>
        <v>234449.26949999994</v>
      </c>
      <c r="BO566" s="2">
        <v>45599</v>
      </c>
    </row>
    <row r="567" spans="4:67" x14ac:dyDescent="0.25">
      <c r="D567" s="9" t="s">
        <v>29</v>
      </c>
      <c r="E567" s="80">
        <v>45600</v>
      </c>
      <c r="F567" s="38"/>
      <c r="G567" s="51"/>
      <c r="H567" s="4">
        <f t="shared" si="84"/>
        <v>1750</v>
      </c>
      <c r="I567" s="5"/>
      <c r="J567" s="4">
        <f t="shared" si="85"/>
        <v>1750</v>
      </c>
      <c r="K567" s="4">
        <f t="shared" si="90"/>
        <v>61249.969999999972</v>
      </c>
      <c r="L567" s="3"/>
      <c r="M567" s="3"/>
      <c r="N567" s="33">
        <f t="shared" si="86"/>
        <v>0</v>
      </c>
      <c r="O567" s="28">
        <f t="shared" si="91"/>
        <v>61249.969999999972</v>
      </c>
      <c r="P567" s="9" t="s">
        <v>29</v>
      </c>
      <c r="Q567" s="2">
        <v>45600</v>
      </c>
      <c r="R567" s="38"/>
      <c r="S567" s="52"/>
      <c r="T567" s="4">
        <f t="shared" si="87"/>
        <v>2925</v>
      </c>
      <c r="U567" s="5"/>
      <c r="V567" s="4">
        <f t="shared" si="95"/>
        <v>2925</v>
      </c>
      <c r="W567" s="4">
        <f t="shared" si="92"/>
        <v>32907.74500000001</v>
      </c>
      <c r="X567" s="3"/>
      <c r="Y567" s="3"/>
      <c r="Z567" s="25">
        <f t="shared" si="93"/>
        <v>0</v>
      </c>
      <c r="AA567" s="72">
        <f t="shared" si="94"/>
        <v>32907.74500000001</v>
      </c>
      <c r="AB567" s="9" t="s">
        <v>29</v>
      </c>
      <c r="AC567" s="19">
        <v>45600</v>
      </c>
      <c r="AD567" s="41"/>
      <c r="AE567" s="42"/>
      <c r="AF567" s="4">
        <f t="shared" si="82"/>
        <v>5325</v>
      </c>
      <c r="AG567" s="3"/>
      <c r="AH567" s="8"/>
      <c r="AI567" s="4">
        <f t="shared" si="96"/>
        <v>5325</v>
      </c>
      <c r="AJ567" s="4">
        <f t="shared" si="88"/>
        <v>239774.26949999994</v>
      </c>
      <c r="AK567" s="8"/>
      <c r="AL567" s="8"/>
      <c r="AM567" s="47"/>
      <c r="AN567" s="47"/>
      <c r="AO567" s="8"/>
      <c r="AP567" s="8"/>
      <c r="AQ567" s="47"/>
      <c r="AR567" s="47"/>
      <c r="AS567" s="8"/>
      <c r="AT567" s="8"/>
      <c r="AU567" s="47"/>
      <c r="AV567" s="47"/>
      <c r="AW567" s="8"/>
      <c r="AX567" s="8"/>
      <c r="AY567" s="47"/>
      <c r="AZ567" s="47"/>
      <c r="BA567" s="3"/>
      <c r="BB567" s="8"/>
      <c r="BC567" s="47"/>
      <c r="BD567" s="47"/>
      <c r="BE567" s="8"/>
      <c r="BF567" s="8"/>
      <c r="BG567" s="47"/>
      <c r="BH567" s="47"/>
      <c r="BI567" s="8"/>
      <c r="BJ567" s="3"/>
      <c r="BK567" s="47"/>
      <c r="BL567" s="47"/>
      <c r="BM567" s="24">
        <f t="shared" si="89"/>
        <v>0</v>
      </c>
      <c r="BN567" s="28">
        <f t="shared" si="83"/>
        <v>239774.26949999994</v>
      </c>
      <c r="BO567" s="2">
        <v>45600</v>
      </c>
    </row>
    <row r="568" spans="4:67" x14ac:dyDescent="0.25">
      <c r="D568" s="9" t="s">
        <v>30</v>
      </c>
      <c r="E568" s="80">
        <v>45601</v>
      </c>
      <c r="F568" s="38"/>
      <c r="G568" s="51"/>
      <c r="H568" s="4">
        <f t="shared" si="84"/>
        <v>1750</v>
      </c>
      <c r="I568" s="5"/>
      <c r="J568" s="4">
        <f t="shared" si="85"/>
        <v>1750</v>
      </c>
      <c r="K568" s="4">
        <f t="shared" si="90"/>
        <v>62999.969999999972</v>
      </c>
      <c r="L568" s="3"/>
      <c r="M568" s="3"/>
      <c r="N568" s="33">
        <f t="shared" si="86"/>
        <v>0</v>
      </c>
      <c r="O568" s="28">
        <f t="shared" si="91"/>
        <v>62999.969999999972</v>
      </c>
      <c r="P568" s="9" t="s">
        <v>30</v>
      </c>
      <c r="Q568" s="2">
        <v>45601</v>
      </c>
      <c r="R568" s="38"/>
      <c r="S568" s="52"/>
      <c r="T568" s="4">
        <f t="shared" si="87"/>
        <v>2925</v>
      </c>
      <c r="U568" s="5"/>
      <c r="V568" s="4">
        <f t="shared" si="95"/>
        <v>2925</v>
      </c>
      <c r="W568" s="4">
        <f t="shared" si="92"/>
        <v>35832.74500000001</v>
      </c>
      <c r="X568" s="3"/>
      <c r="Y568" s="3"/>
      <c r="Z568" s="25">
        <f t="shared" si="93"/>
        <v>0</v>
      </c>
      <c r="AA568" s="72">
        <f t="shared" si="94"/>
        <v>35832.74500000001</v>
      </c>
      <c r="AB568" s="9" t="s">
        <v>30</v>
      </c>
      <c r="AC568" s="19">
        <v>45601</v>
      </c>
      <c r="AD568" s="41"/>
      <c r="AE568" s="42"/>
      <c r="AF568" s="4">
        <f t="shared" si="82"/>
        <v>5325</v>
      </c>
      <c r="AG568" s="3"/>
      <c r="AH568" s="8"/>
      <c r="AI568" s="4">
        <f t="shared" si="96"/>
        <v>5325</v>
      </c>
      <c r="AJ568" s="4">
        <f t="shared" si="88"/>
        <v>245099.26949999994</v>
      </c>
      <c r="AK568" s="8"/>
      <c r="AL568" s="8"/>
      <c r="AM568" s="47"/>
      <c r="AN568" s="47"/>
      <c r="AO568" s="8"/>
      <c r="AP568" s="8"/>
      <c r="AQ568" s="47"/>
      <c r="AR568" s="47"/>
      <c r="AS568" s="8"/>
      <c r="AT568" s="8"/>
      <c r="AU568" s="47"/>
      <c r="AV568" s="47"/>
      <c r="AW568" s="8"/>
      <c r="AX568" s="8"/>
      <c r="AY568" s="47"/>
      <c r="AZ568" s="47"/>
      <c r="BA568" s="8"/>
      <c r="BB568" s="8"/>
      <c r="BC568" s="47"/>
      <c r="BD568" s="47"/>
      <c r="BE568" s="8"/>
      <c r="BF568" s="8"/>
      <c r="BG568" s="47"/>
      <c r="BH568" s="47"/>
      <c r="BI568" s="8"/>
      <c r="BJ568" s="3"/>
      <c r="BK568" s="47"/>
      <c r="BL568" s="47"/>
      <c r="BM568" s="24">
        <f t="shared" si="89"/>
        <v>0</v>
      </c>
      <c r="BN568" s="28">
        <f t="shared" si="83"/>
        <v>245099.26949999994</v>
      </c>
      <c r="BO568" s="2">
        <v>45601</v>
      </c>
    </row>
    <row r="569" spans="4:67" x14ac:dyDescent="0.25">
      <c r="D569" s="9" t="s">
        <v>31</v>
      </c>
      <c r="E569" s="80">
        <v>45602</v>
      </c>
      <c r="F569" s="38"/>
      <c r="G569" s="51"/>
      <c r="H569" s="4">
        <f t="shared" si="84"/>
        <v>1750</v>
      </c>
      <c r="I569" s="5"/>
      <c r="J569" s="4">
        <f t="shared" si="85"/>
        <v>1750</v>
      </c>
      <c r="K569" s="4">
        <f t="shared" si="90"/>
        <v>64749.969999999972</v>
      </c>
      <c r="L569" s="3"/>
      <c r="M569" s="3"/>
      <c r="N569" s="33">
        <f t="shared" si="86"/>
        <v>0</v>
      </c>
      <c r="O569" s="28">
        <f t="shared" si="91"/>
        <v>64749.969999999972</v>
      </c>
      <c r="P569" s="9" t="s">
        <v>31</v>
      </c>
      <c r="Q569" s="2">
        <v>45602</v>
      </c>
      <c r="R569" s="38"/>
      <c r="S569" s="52"/>
      <c r="T569" s="4">
        <f t="shared" si="87"/>
        <v>2925</v>
      </c>
      <c r="U569" s="5"/>
      <c r="V569" s="4">
        <f t="shared" si="95"/>
        <v>2925</v>
      </c>
      <c r="W569" s="4">
        <f t="shared" si="92"/>
        <v>38757.74500000001</v>
      </c>
      <c r="X569" s="3"/>
      <c r="Y569" s="3"/>
      <c r="Z569" s="25">
        <f t="shared" si="93"/>
        <v>0</v>
      </c>
      <c r="AA569" s="72">
        <f t="shared" si="94"/>
        <v>38757.74500000001</v>
      </c>
      <c r="AB569" s="9" t="s">
        <v>31</v>
      </c>
      <c r="AC569" s="19">
        <v>45602</v>
      </c>
      <c r="AD569" s="41"/>
      <c r="AE569" s="42"/>
      <c r="AF569" s="4">
        <f t="shared" si="82"/>
        <v>5325</v>
      </c>
      <c r="AG569" s="3"/>
      <c r="AH569" s="8"/>
      <c r="AI569" s="4">
        <f t="shared" si="96"/>
        <v>5325</v>
      </c>
      <c r="AJ569" s="4">
        <f t="shared" si="88"/>
        <v>250424.26949999994</v>
      </c>
      <c r="AK569" s="8"/>
      <c r="AL569" s="8"/>
      <c r="AM569" s="47"/>
      <c r="AN569" s="47"/>
      <c r="AO569" s="8"/>
      <c r="AP569" s="8"/>
      <c r="AQ569" s="47"/>
      <c r="AR569" s="47"/>
      <c r="AS569" s="8"/>
      <c r="AT569" s="8"/>
      <c r="AU569" s="47"/>
      <c r="AV569" s="47"/>
      <c r="AW569" s="8"/>
      <c r="AX569" s="8"/>
      <c r="AY569" s="47"/>
      <c r="AZ569" s="47"/>
      <c r="BA569" s="8"/>
      <c r="BB569" s="8"/>
      <c r="BC569" s="47"/>
      <c r="BD569" s="47"/>
      <c r="BE569" s="8"/>
      <c r="BF569" s="8"/>
      <c r="BG569" s="47"/>
      <c r="BH569" s="47"/>
      <c r="BI569" s="8"/>
      <c r="BJ569" s="3"/>
      <c r="BK569" s="47"/>
      <c r="BL569" s="47"/>
      <c r="BM569" s="24">
        <f t="shared" si="89"/>
        <v>0</v>
      </c>
      <c r="BN569" s="28">
        <f t="shared" si="83"/>
        <v>250424.26949999994</v>
      </c>
      <c r="BO569" s="2">
        <v>45602</v>
      </c>
    </row>
    <row r="570" spans="4:67" x14ac:dyDescent="0.25">
      <c r="D570" s="9" t="s">
        <v>32</v>
      </c>
      <c r="E570" s="80">
        <v>45603</v>
      </c>
      <c r="F570" s="38"/>
      <c r="G570" s="51"/>
      <c r="H570" s="4">
        <f t="shared" si="84"/>
        <v>1750</v>
      </c>
      <c r="I570" s="5"/>
      <c r="J570" s="4">
        <f t="shared" si="85"/>
        <v>1750</v>
      </c>
      <c r="K570" s="4">
        <f t="shared" si="90"/>
        <v>66499.969999999972</v>
      </c>
      <c r="L570" s="3"/>
      <c r="M570" s="3"/>
      <c r="N570" s="33">
        <f t="shared" si="86"/>
        <v>0</v>
      </c>
      <c r="O570" s="28">
        <f t="shared" si="91"/>
        <v>66499.969999999972</v>
      </c>
      <c r="P570" s="9" t="s">
        <v>32</v>
      </c>
      <c r="Q570" s="2">
        <v>45603</v>
      </c>
      <c r="R570" s="38"/>
      <c r="S570" s="52"/>
      <c r="T570" s="4">
        <f t="shared" si="87"/>
        <v>2925</v>
      </c>
      <c r="U570" s="5"/>
      <c r="V570" s="4">
        <f t="shared" si="95"/>
        <v>2925</v>
      </c>
      <c r="W570" s="4">
        <f t="shared" si="92"/>
        <v>41682.74500000001</v>
      </c>
      <c r="X570" s="3"/>
      <c r="Y570" s="3"/>
      <c r="Z570" s="25">
        <f t="shared" si="93"/>
        <v>0</v>
      </c>
      <c r="AA570" s="72">
        <f t="shared" si="94"/>
        <v>41682.74500000001</v>
      </c>
      <c r="AB570" s="9" t="s">
        <v>32</v>
      </c>
      <c r="AC570" s="19">
        <v>45603</v>
      </c>
      <c r="AD570" s="41"/>
      <c r="AE570" s="42"/>
      <c r="AF570" s="4">
        <f t="shared" si="82"/>
        <v>5325</v>
      </c>
      <c r="AG570" s="3"/>
      <c r="AH570" s="8"/>
      <c r="AI570" s="4">
        <f t="shared" si="96"/>
        <v>5325</v>
      </c>
      <c r="AJ570" s="4">
        <f t="shared" si="88"/>
        <v>255749.26949999994</v>
      </c>
      <c r="AK570" s="8"/>
      <c r="AL570" s="8"/>
      <c r="AM570" s="47"/>
      <c r="AN570" s="47"/>
      <c r="AO570" s="8"/>
      <c r="AP570" s="8"/>
      <c r="AQ570" s="47"/>
      <c r="AR570" s="47"/>
      <c r="AS570" s="8"/>
      <c r="AT570" s="8"/>
      <c r="AU570" s="47"/>
      <c r="AV570" s="47"/>
      <c r="AW570" s="8"/>
      <c r="AX570" s="8"/>
      <c r="AY570" s="47"/>
      <c r="AZ570" s="47"/>
      <c r="BA570" s="8"/>
      <c r="BB570" s="8"/>
      <c r="BC570" s="47"/>
      <c r="BD570" s="47"/>
      <c r="BE570" s="8"/>
      <c r="BF570" s="8"/>
      <c r="BG570" s="47"/>
      <c r="BH570" s="47"/>
      <c r="BI570" s="8"/>
      <c r="BJ570" s="3"/>
      <c r="BK570" s="47"/>
      <c r="BL570" s="47"/>
      <c r="BM570" s="24">
        <f t="shared" si="89"/>
        <v>0</v>
      </c>
      <c r="BN570" s="28">
        <f t="shared" si="83"/>
        <v>255749.26949999994</v>
      </c>
      <c r="BO570" s="2">
        <v>45603</v>
      </c>
    </row>
    <row r="571" spans="4:67" x14ac:dyDescent="0.25">
      <c r="D571" s="9" t="s">
        <v>26</v>
      </c>
      <c r="E571" s="80">
        <v>45604</v>
      </c>
      <c r="F571" s="38"/>
      <c r="G571" s="51"/>
      <c r="H571" s="4">
        <f t="shared" si="84"/>
        <v>1750</v>
      </c>
      <c r="I571" s="5"/>
      <c r="J571" s="4">
        <f t="shared" si="85"/>
        <v>1750</v>
      </c>
      <c r="K571" s="4">
        <f t="shared" si="90"/>
        <v>68249.969999999972</v>
      </c>
      <c r="L571" s="3"/>
      <c r="M571" s="3"/>
      <c r="N571" s="33">
        <f t="shared" si="86"/>
        <v>0</v>
      </c>
      <c r="O571" s="28">
        <f t="shared" si="91"/>
        <v>68249.969999999972</v>
      </c>
      <c r="P571" s="9" t="s">
        <v>26</v>
      </c>
      <c r="Q571" s="2">
        <v>45604</v>
      </c>
      <c r="R571" s="38"/>
      <c r="S571" s="52"/>
      <c r="T571" s="4">
        <f t="shared" si="87"/>
        <v>2925</v>
      </c>
      <c r="U571" s="5"/>
      <c r="V571" s="4">
        <f t="shared" si="95"/>
        <v>2925</v>
      </c>
      <c r="W571" s="4">
        <f t="shared" si="92"/>
        <v>44607.74500000001</v>
      </c>
      <c r="X571" s="3"/>
      <c r="Y571" s="3"/>
      <c r="Z571" s="25">
        <f t="shared" si="93"/>
        <v>0</v>
      </c>
      <c r="AA571" s="72">
        <f t="shared" si="94"/>
        <v>44607.74500000001</v>
      </c>
      <c r="AB571" s="9" t="s">
        <v>26</v>
      </c>
      <c r="AC571" s="19">
        <v>45604</v>
      </c>
      <c r="AD571" s="41"/>
      <c r="AE571" s="42"/>
      <c r="AF571" s="4">
        <f t="shared" si="82"/>
        <v>5325</v>
      </c>
      <c r="AG571" s="3"/>
      <c r="AH571" s="8"/>
      <c r="AI571" s="4">
        <f t="shared" si="96"/>
        <v>5325</v>
      </c>
      <c r="AJ571" s="4">
        <f t="shared" si="88"/>
        <v>261074.26949999994</v>
      </c>
      <c r="AK571" s="8"/>
      <c r="AL571" s="8"/>
      <c r="AM571" s="47"/>
      <c r="AN571" s="47"/>
      <c r="AO571" s="8"/>
      <c r="AP571" s="8"/>
      <c r="AQ571" s="47"/>
      <c r="AR571" s="47"/>
      <c r="AS571" s="8"/>
      <c r="AT571" s="8"/>
      <c r="AU571" s="47"/>
      <c r="AV571" s="47"/>
      <c r="AW571" s="8"/>
      <c r="AX571" s="8"/>
      <c r="AY571" s="47"/>
      <c r="AZ571" s="47"/>
      <c r="BA571" s="3"/>
      <c r="BB571" s="8"/>
      <c r="BC571" s="47"/>
      <c r="BD571" s="47"/>
      <c r="BE571" s="8"/>
      <c r="BF571" s="8"/>
      <c r="BG571" s="47"/>
      <c r="BH571" s="47"/>
      <c r="BI571" s="8"/>
      <c r="BJ571" s="3"/>
      <c r="BK571" s="47"/>
      <c r="BL571" s="47"/>
      <c r="BM571" s="24">
        <f t="shared" si="89"/>
        <v>0</v>
      </c>
      <c r="BN571" s="28">
        <f t="shared" si="83"/>
        <v>261074.26949999994</v>
      </c>
      <c r="BO571" s="2">
        <v>45604</v>
      </c>
    </row>
    <row r="572" spans="4:67" x14ac:dyDescent="0.25">
      <c r="D572" s="9" t="s">
        <v>27</v>
      </c>
      <c r="E572" s="80">
        <v>45605</v>
      </c>
      <c r="F572" s="38"/>
      <c r="G572" s="51"/>
      <c r="H572" s="4">
        <f t="shared" si="84"/>
        <v>1750</v>
      </c>
      <c r="I572" s="5"/>
      <c r="J572" s="4">
        <f t="shared" si="85"/>
        <v>1750</v>
      </c>
      <c r="K572" s="4">
        <f t="shared" si="90"/>
        <v>69999.969999999972</v>
      </c>
      <c r="L572" s="3"/>
      <c r="M572" s="3"/>
      <c r="N572" s="33">
        <f t="shared" si="86"/>
        <v>0</v>
      </c>
      <c r="O572" s="28">
        <f t="shared" si="91"/>
        <v>69999.969999999972</v>
      </c>
      <c r="P572" s="9" t="s">
        <v>27</v>
      </c>
      <c r="Q572" s="2">
        <v>45605</v>
      </c>
      <c r="R572" s="38"/>
      <c r="S572" s="52"/>
      <c r="T572" s="4">
        <f t="shared" si="87"/>
        <v>2925</v>
      </c>
      <c r="U572" s="5"/>
      <c r="V572" s="4">
        <f t="shared" si="95"/>
        <v>2925</v>
      </c>
      <c r="W572" s="4">
        <f t="shared" si="92"/>
        <v>47532.74500000001</v>
      </c>
      <c r="X572" s="3"/>
      <c r="Y572" s="3"/>
      <c r="Z572" s="25">
        <f t="shared" si="93"/>
        <v>0</v>
      </c>
      <c r="AA572" s="72">
        <f t="shared" si="94"/>
        <v>47532.74500000001</v>
      </c>
      <c r="AB572" s="9" t="s">
        <v>27</v>
      </c>
      <c r="AC572" s="19">
        <v>45605</v>
      </c>
      <c r="AD572" s="41"/>
      <c r="AE572" s="42"/>
      <c r="AF572" s="4">
        <f t="shared" si="82"/>
        <v>5325</v>
      </c>
      <c r="AG572" s="3"/>
      <c r="AH572" s="8"/>
      <c r="AI572" s="4">
        <f t="shared" si="96"/>
        <v>5325</v>
      </c>
      <c r="AJ572" s="4">
        <f t="shared" si="88"/>
        <v>266399.26949999994</v>
      </c>
      <c r="AK572" s="8"/>
      <c r="AL572" s="8"/>
      <c r="AM572" s="47"/>
      <c r="AN572" s="47"/>
      <c r="AO572" s="8"/>
      <c r="AP572" s="8"/>
      <c r="AQ572" s="47"/>
      <c r="AR572" s="47"/>
      <c r="AS572" s="8"/>
      <c r="AT572" s="8"/>
      <c r="AU572" s="47"/>
      <c r="AV572" s="47"/>
      <c r="AW572" s="8"/>
      <c r="AX572" s="8"/>
      <c r="AY572" s="47"/>
      <c r="AZ572" s="47"/>
      <c r="BA572" s="8"/>
      <c r="BB572" s="8"/>
      <c r="BC572" s="47"/>
      <c r="BD572" s="47"/>
      <c r="BE572" s="8"/>
      <c r="BF572" s="8"/>
      <c r="BG572" s="47"/>
      <c r="BH572" s="47"/>
      <c r="BI572" s="8"/>
      <c r="BJ572" s="3"/>
      <c r="BK572" s="47"/>
      <c r="BL572" s="47"/>
      <c r="BM572" s="24">
        <f t="shared" si="89"/>
        <v>0</v>
      </c>
      <c r="BN572" s="28">
        <f t="shared" si="83"/>
        <v>266399.26949999994</v>
      </c>
      <c r="BO572" s="2">
        <v>45605</v>
      </c>
    </row>
    <row r="573" spans="4:67" x14ac:dyDescent="0.25">
      <c r="D573" s="9" t="s">
        <v>28</v>
      </c>
      <c r="E573" s="80">
        <v>45606</v>
      </c>
      <c r="F573" s="38"/>
      <c r="G573" s="51"/>
      <c r="H573" s="4">
        <f t="shared" si="84"/>
        <v>1750</v>
      </c>
      <c r="I573" s="5"/>
      <c r="J573" s="4">
        <f t="shared" si="85"/>
        <v>1750</v>
      </c>
      <c r="K573" s="4">
        <f t="shared" si="90"/>
        <v>71749.969999999972</v>
      </c>
      <c r="L573" s="3"/>
      <c r="M573" s="3"/>
      <c r="N573" s="33">
        <f t="shared" si="86"/>
        <v>0</v>
      </c>
      <c r="O573" s="28">
        <f t="shared" si="91"/>
        <v>71749.969999999972</v>
      </c>
      <c r="P573" s="9" t="s">
        <v>28</v>
      </c>
      <c r="Q573" s="2">
        <v>45606</v>
      </c>
      <c r="R573" s="38"/>
      <c r="S573" s="52"/>
      <c r="T573" s="4">
        <f t="shared" si="87"/>
        <v>2925</v>
      </c>
      <c r="U573" s="5"/>
      <c r="V573" s="4">
        <f t="shared" si="95"/>
        <v>2925</v>
      </c>
      <c r="W573" s="4">
        <f t="shared" si="92"/>
        <v>50457.74500000001</v>
      </c>
      <c r="X573" s="3"/>
      <c r="Y573" s="3"/>
      <c r="Z573" s="25">
        <f t="shared" si="93"/>
        <v>0</v>
      </c>
      <c r="AA573" s="72">
        <f t="shared" si="94"/>
        <v>50457.74500000001</v>
      </c>
      <c r="AB573" s="9" t="s">
        <v>28</v>
      </c>
      <c r="AC573" s="19">
        <v>45606</v>
      </c>
      <c r="AD573" s="41"/>
      <c r="AE573" s="42"/>
      <c r="AF573" s="4">
        <f t="shared" si="82"/>
        <v>5325</v>
      </c>
      <c r="AG573" s="3"/>
      <c r="AH573" s="8"/>
      <c r="AI573" s="4">
        <f t="shared" si="96"/>
        <v>5325</v>
      </c>
      <c r="AJ573" s="4">
        <f t="shared" si="88"/>
        <v>271724.26949999994</v>
      </c>
      <c r="AK573" s="8"/>
      <c r="AL573" s="8"/>
      <c r="AM573" s="47"/>
      <c r="AN573" s="47"/>
      <c r="AO573" s="8"/>
      <c r="AP573" s="8"/>
      <c r="AQ573" s="47"/>
      <c r="AR573" s="47"/>
      <c r="AS573" s="8"/>
      <c r="AT573" s="8"/>
      <c r="AU573" s="47"/>
      <c r="AV573" s="47"/>
      <c r="AW573" s="8"/>
      <c r="AX573" s="8"/>
      <c r="AY573" s="47"/>
      <c r="AZ573" s="47"/>
      <c r="BA573" s="8"/>
      <c r="BB573" s="8"/>
      <c r="BC573" s="47"/>
      <c r="BD573" s="47"/>
      <c r="BE573" s="8"/>
      <c r="BF573" s="8"/>
      <c r="BG573" s="47"/>
      <c r="BH573" s="47"/>
      <c r="BI573" s="8"/>
      <c r="BJ573" s="3"/>
      <c r="BK573" s="47"/>
      <c r="BL573" s="47"/>
      <c r="BM573" s="24">
        <f t="shared" si="89"/>
        <v>0</v>
      </c>
      <c r="BN573" s="28">
        <f t="shared" si="83"/>
        <v>271724.26949999994</v>
      </c>
      <c r="BO573" s="2">
        <v>45606</v>
      </c>
    </row>
    <row r="574" spans="4:67" x14ac:dyDescent="0.25">
      <c r="D574" s="9" t="s">
        <v>29</v>
      </c>
      <c r="E574" s="80">
        <v>45607</v>
      </c>
      <c r="F574" s="38"/>
      <c r="G574" s="51"/>
      <c r="H574" s="4">
        <f t="shared" si="84"/>
        <v>1750</v>
      </c>
      <c r="I574" s="5"/>
      <c r="J574" s="4">
        <f t="shared" si="85"/>
        <v>1750</v>
      </c>
      <c r="K574" s="4">
        <f t="shared" si="90"/>
        <v>73499.969999999972</v>
      </c>
      <c r="L574" s="3"/>
      <c r="M574" s="3"/>
      <c r="N574" s="33">
        <f t="shared" si="86"/>
        <v>0</v>
      </c>
      <c r="O574" s="28">
        <f t="shared" si="91"/>
        <v>73499.969999999972</v>
      </c>
      <c r="P574" s="9" t="s">
        <v>29</v>
      </c>
      <c r="Q574" s="2">
        <v>45607</v>
      </c>
      <c r="R574" s="38"/>
      <c r="S574" s="52"/>
      <c r="T574" s="4">
        <f t="shared" si="87"/>
        <v>2925</v>
      </c>
      <c r="U574" s="5"/>
      <c r="V574" s="4">
        <f t="shared" si="95"/>
        <v>2925</v>
      </c>
      <c r="W574" s="4">
        <f t="shared" si="92"/>
        <v>53382.74500000001</v>
      </c>
      <c r="X574" s="3"/>
      <c r="Y574" s="3"/>
      <c r="Z574" s="25">
        <f t="shared" si="93"/>
        <v>0</v>
      </c>
      <c r="AA574" s="72">
        <f t="shared" si="94"/>
        <v>53382.74500000001</v>
      </c>
      <c r="AB574" s="9" t="s">
        <v>29</v>
      </c>
      <c r="AC574" s="19">
        <v>45607</v>
      </c>
      <c r="AD574" s="41"/>
      <c r="AE574" s="42"/>
      <c r="AF574" s="4">
        <f t="shared" si="82"/>
        <v>5325</v>
      </c>
      <c r="AG574" s="3"/>
      <c r="AH574" s="8"/>
      <c r="AI574" s="4">
        <f t="shared" si="96"/>
        <v>5325</v>
      </c>
      <c r="AJ574" s="4">
        <f t="shared" si="88"/>
        <v>277049.26949999994</v>
      </c>
      <c r="AK574" s="8"/>
      <c r="AL574" s="8"/>
      <c r="AM574" s="47"/>
      <c r="AN574" s="47"/>
      <c r="AO574" s="8"/>
      <c r="AP574" s="8"/>
      <c r="AQ574" s="47"/>
      <c r="AR574" s="47"/>
      <c r="AS574" s="8"/>
      <c r="AT574" s="8"/>
      <c r="AU574" s="47"/>
      <c r="AV574" s="47"/>
      <c r="AW574" s="8"/>
      <c r="AX574" s="8"/>
      <c r="AY574" s="47"/>
      <c r="AZ574" s="47"/>
      <c r="BA574" s="8"/>
      <c r="BB574" s="8"/>
      <c r="BC574" s="47"/>
      <c r="BD574" s="47"/>
      <c r="BE574" s="8"/>
      <c r="BF574" s="8"/>
      <c r="BG574" s="47"/>
      <c r="BH574" s="47"/>
      <c r="BI574" s="8"/>
      <c r="BJ574" s="3"/>
      <c r="BK574" s="47"/>
      <c r="BL574" s="47"/>
      <c r="BM574" s="24">
        <f t="shared" si="89"/>
        <v>0</v>
      </c>
      <c r="BN574" s="28">
        <f t="shared" si="83"/>
        <v>277049.26949999994</v>
      </c>
      <c r="BO574" s="2">
        <v>45607</v>
      </c>
    </row>
    <row r="575" spans="4:67" x14ac:dyDescent="0.25">
      <c r="D575" s="9" t="s">
        <v>30</v>
      </c>
      <c r="E575" s="80">
        <v>45608</v>
      </c>
      <c r="F575" s="38"/>
      <c r="G575" s="51"/>
      <c r="H575" s="4">
        <f t="shared" si="84"/>
        <v>1750</v>
      </c>
      <c r="I575" s="5"/>
      <c r="J575" s="4">
        <f t="shared" si="85"/>
        <v>1750</v>
      </c>
      <c r="K575" s="4">
        <f t="shared" si="90"/>
        <v>75249.969999999972</v>
      </c>
      <c r="L575" s="3"/>
      <c r="M575" s="3"/>
      <c r="N575" s="33">
        <f t="shared" si="86"/>
        <v>0</v>
      </c>
      <c r="O575" s="28">
        <f t="shared" si="91"/>
        <v>75249.969999999972</v>
      </c>
      <c r="P575" s="9" t="s">
        <v>30</v>
      </c>
      <c r="Q575" s="2">
        <v>45608</v>
      </c>
      <c r="R575" s="38"/>
      <c r="S575" s="52"/>
      <c r="T575" s="4">
        <f t="shared" si="87"/>
        <v>2925</v>
      </c>
      <c r="U575" s="5"/>
      <c r="V575" s="4">
        <f t="shared" si="95"/>
        <v>2925</v>
      </c>
      <c r="W575" s="4">
        <f t="shared" si="92"/>
        <v>56307.74500000001</v>
      </c>
      <c r="X575" s="3"/>
      <c r="Y575" s="3"/>
      <c r="Z575" s="25">
        <f t="shared" si="93"/>
        <v>0</v>
      </c>
      <c r="AA575" s="72">
        <f t="shared" si="94"/>
        <v>56307.74500000001</v>
      </c>
      <c r="AB575" s="9" t="s">
        <v>30</v>
      </c>
      <c r="AC575" s="19">
        <v>45608</v>
      </c>
      <c r="AD575" s="41"/>
      <c r="AE575" s="42"/>
      <c r="AF575" s="4">
        <f t="shared" ref="AF575:AF624" si="97">AD264-H575-T575</f>
        <v>5325</v>
      </c>
      <c r="AG575" s="3"/>
      <c r="AH575" s="8"/>
      <c r="AI575" s="4">
        <f t="shared" si="96"/>
        <v>5325</v>
      </c>
      <c r="AJ575" s="4">
        <f t="shared" si="88"/>
        <v>282374.26949999994</v>
      </c>
      <c r="AK575" s="8"/>
      <c r="AL575" s="8"/>
      <c r="AM575" s="47"/>
      <c r="AN575" s="47"/>
      <c r="AO575" s="8"/>
      <c r="AP575" s="8"/>
      <c r="AQ575" s="47"/>
      <c r="AR575" s="47"/>
      <c r="AS575" s="8"/>
      <c r="AT575" s="8"/>
      <c r="AU575" s="47"/>
      <c r="AV575" s="47"/>
      <c r="AW575" s="8"/>
      <c r="AX575" s="8"/>
      <c r="AY575" s="47"/>
      <c r="AZ575" s="47"/>
      <c r="BA575" s="8"/>
      <c r="BB575" s="8"/>
      <c r="BC575" s="47"/>
      <c r="BD575" s="47"/>
      <c r="BE575" s="8"/>
      <c r="BF575" s="8"/>
      <c r="BG575" s="47"/>
      <c r="BH575" s="47"/>
      <c r="BI575" s="8"/>
      <c r="BJ575" s="3"/>
      <c r="BK575" s="47"/>
      <c r="BL575" s="47"/>
      <c r="BM575" s="24">
        <f t="shared" si="89"/>
        <v>0</v>
      </c>
      <c r="BN575" s="28">
        <f t="shared" ref="BN575:BN624" si="98">AJ575-BM575</f>
        <v>282374.26949999994</v>
      </c>
      <c r="BO575" s="2">
        <v>45608</v>
      </c>
    </row>
    <row r="576" spans="4:67" x14ac:dyDescent="0.25">
      <c r="D576" s="9" t="s">
        <v>31</v>
      </c>
      <c r="E576" s="80">
        <v>45609</v>
      </c>
      <c r="F576" s="38"/>
      <c r="G576" s="51"/>
      <c r="H576" s="4">
        <f t="shared" ref="H576:H624" si="99">F265*50%</f>
        <v>1750</v>
      </c>
      <c r="I576" s="5"/>
      <c r="J576" s="4">
        <f t="shared" ref="J576:J624" si="100">(G576+H576)-I576</f>
        <v>1750</v>
      </c>
      <c r="K576" s="4">
        <f t="shared" si="90"/>
        <v>76999.969999999972</v>
      </c>
      <c r="L576" s="3"/>
      <c r="M576" s="3"/>
      <c r="N576" s="33">
        <f t="shared" ref="N576:N624" si="101">I576+M576</f>
        <v>0</v>
      </c>
      <c r="O576" s="28">
        <f t="shared" si="91"/>
        <v>76999.969999999972</v>
      </c>
      <c r="P576" s="9" t="s">
        <v>31</v>
      </c>
      <c r="Q576" s="2">
        <v>45609</v>
      </c>
      <c r="R576" s="38"/>
      <c r="S576" s="52"/>
      <c r="T576" s="4">
        <f t="shared" ref="T576:T624" si="102">R265*45%</f>
        <v>2925</v>
      </c>
      <c r="U576" s="5"/>
      <c r="V576" s="4">
        <f t="shared" si="95"/>
        <v>2925</v>
      </c>
      <c r="W576" s="4">
        <f t="shared" si="92"/>
        <v>59232.74500000001</v>
      </c>
      <c r="X576" s="3"/>
      <c r="Y576" s="3"/>
      <c r="Z576" s="25">
        <f t="shared" si="93"/>
        <v>0</v>
      </c>
      <c r="AA576" s="72">
        <f t="shared" si="94"/>
        <v>59232.74500000001</v>
      </c>
      <c r="AB576" s="9" t="s">
        <v>31</v>
      </c>
      <c r="AC576" s="19">
        <v>45609</v>
      </c>
      <c r="AD576" s="41"/>
      <c r="AE576" s="42"/>
      <c r="AF576" s="4">
        <f t="shared" si="97"/>
        <v>5325</v>
      </c>
      <c r="AG576" s="3"/>
      <c r="AH576" s="8"/>
      <c r="AI576" s="4">
        <f t="shared" si="96"/>
        <v>5325</v>
      </c>
      <c r="AJ576" s="4">
        <f t="shared" ref="AJ576:AJ624" si="103">AI576+BN575</f>
        <v>287699.26949999994</v>
      </c>
      <c r="AK576" s="8"/>
      <c r="AL576" s="8"/>
      <c r="AM576" s="47"/>
      <c r="AN576" s="47"/>
      <c r="AO576" s="8"/>
      <c r="AP576" s="8"/>
      <c r="AQ576" s="47"/>
      <c r="AR576" s="47"/>
      <c r="AS576" s="8"/>
      <c r="AT576" s="8"/>
      <c r="AU576" s="47"/>
      <c r="AV576" s="47"/>
      <c r="AW576" s="8"/>
      <c r="AX576" s="8"/>
      <c r="AY576" s="47"/>
      <c r="AZ576" s="47"/>
      <c r="BA576" s="8"/>
      <c r="BB576" s="8"/>
      <c r="BC576" s="47"/>
      <c r="BD576" s="47"/>
      <c r="BE576" s="8"/>
      <c r="BF576" s="8"/>
      <c r="BG576" s="47"/>
      <c r="BH576" s="47"/>
      <c r="BI576" s="8"/>
      <c r="BJ576" s="3"/>
      <c r="BK576" s="47"/>
      <c r="BL576" s="47"/>
      <c r="BM576" s="24">
        <f t="shared" ref="BM576:BM624" si="104">AL576+AN576+AP576+AR576+AT576+AV576+AX576+AZ576+BB576+BD576+BF576+BH576+BJ576+BL576</f>
        <v>0</v>
      </c>
      <c r="BN576" s="28">
        <f t="shared" si="98"/>
        <v>287699.26949999994</v>
      </c>
      <c r="BO576" s="2">
        <v>45609</v>
      </c>
    </row>
    <row r="577" spans="4:67" x14ac:dyDescent="0.25">
      <c r="D577" s="9" t="s">
        <v>32</v>
      </c>
      <c r="E577" s="80">
        <v>45610</v>
      </c>
      <c r="F577" s="38"/>
      <c r="G577" s="51"/>
      <c r="H577" s="4">
        <f t="shared" si="99"/>
        <v>1750</v>
      </c>
      <c r="I577" s="5"/>
      <c r="J577" s="4">
        <f t="shared" si="100"/>
        <v>1750</v>
      </c>
      <c r="K577" s="4">
        <f t="shared" ref="K577:K624" si="105">J577+O576</f>
        <v>78749.969999999972</v>
      </c>
      <c r="L577" s="3"/>
      <c r="M577" s="3"/>
      <c r="N577" s="33">
        <f t="shared" si="101"/>
        <v>0</v>
      </c>
      <c r="O577" s="28">
        <f t="shared" ref="O577:O624" si="106">K577-M577</f>
        <v>78749.969999999972</v>
      </c>
      <c r="P577" s="9" t="s">
        <v>32</v>
      </c>
      <c r="Q577" s="2">
        <v>45610</v>
      </c>
      <c r="R577" s="38"/>
      <c r="S577" s="52"/>
      <c r="T577" s="4">
        <f t="shared" si="102"/>
        <v>2925</v>
      </c>
      <c r="U577" s="5"/>
      <c r="V577" s="4">
        <f t="shared" si="95"/>
        <v>2925</v>
      </c>
      <c r="W577" s="4">
        <f t="shared" ref="W577:W624" si="107">V577+AA576</f>
        <v>62157.74500000001</v>
      </c>
      <c r="X577" s="3"/>
      <c r="Y577" s="3"/>
      <c r="Z577" s="25">
        <f t="shared" ref="Z577:Z624" si="108">U577+Y577</f>
        <v>0</v>
      </c>
      <c r="AA577" s="72">
        <f t="shared" ref="AA577:AA624" si="109">W577-Y577</f>
        <v>62157.74500000001</v>
      </c>
      <c r="AB577" s="9" t="s">
        <v>32</v>
      </c>
      <c r="AC577" s="19">
        <v>45610</v>
      </c>
      <c r="AD577" s="41"/>
      <c r="AE577" s="42"/>
      <c r="AF577" s="4">
        <f t="shared" si="97"/>
        <v>5325</v>
      </c>
      <c r="AG577" s="3"/>
      <c r="AH577" s="8"/>
      <c r="AI577" s="4">
        <f t="shared" si="96"/>
        <v>5325</v>
      </c>
      <c r="AJ577" s="4">
        <f t="shared" si="103"/>
        <v>293024.26949999994</v>
      </c>
      <c r="AK577" s="8"/>
      <c r="AL577" s="8"/>
      <c r="AM577" s="47"/>
      <c r="AN577" s="47"/>
      <c r="AO577" s="8"/>
      <c r="AP577" s="8"/>
      <c r="AQ577" s="47"/>
      <c r="AR577" s="47"/>
      <c r="AS577" s="8"/>
      <c r="AT577" s="8"/>
      <c r="AU577" s="47"/>
      <c r="AV577" s="47"/>
      <c r="AW577" s="8"/>
      <c r="AX577" s="8"/>
      <c r="AY577" s="47"/>
      <c r="AZ577" s="47"/>
      <c r="BA577" s="8"/>
      <c r="BB577" s="8"/>
      <c r="BC577" s="47"/>
      <c r="BD577" s="47"/>
      <c r="BE577" s="8"/>
      <c r="BF577" s="8"/>
      <c r="BG577" s="47"/>
      <c r="BH577" s="47"/>
      <c r="BI577" s="8"/>
      <c r="BJ577" s="3"/>
      <c r="BK577" s="47"/>
      <c r="BL577" s="47"/>
      <c r="BM577" s="24">
        <f t="shared" si="104"/>
        <v>0</v>
      </c>
      <c r="BN577" s="28">
        <f t="shared" si="98"/>
        <v>293024.26949999994</v>
      </c>
      <c r="BO577" s="2">
        <v>45610</v>
      </c>
    </row>
    <row r="578" spans="4:67" x14ac:dyDescent="0.25">
      <c r="D578" s="9" t="s">
        <v>26</v>
      </c>
      <c r="E578" s="80">
        <v>45611</v>
      </c>
      <c r="F578" s="38"/>
      <c r="G578" s="51"/>
      <c r="H578" s="4">
        <f t="shared" si="99"/>
        <v>1750</v>
      </c>
      <c r="I578" s="5"/>
      <c r="J578" s="4">
        <f t="shared" si="100"/>
        <v>1750</v>
      </c>
      <c r="K578" s="4">
        <f t="shared" si="105"/>
        <v>80499.969999999972</v>
      </c>
      <c r="L578" s="3"/>
      <c r="M578" s="3"/>
      <c r="N578" s="33">
        <f t="shared" si="101"/>
        <v>0</v>
      </c>
      <c r="O578" s="28">
        <f t="shared" si="106"/>
        <v>80499.969999999972</v>
      </c>
      <c r="P578" s="9" t="s">
        <v>26</v>
      </c>
      <c r="Q578" s="2">
        <v>45611</v>
      </c>
      <c r="R578" s="38"/>
      <c r="S578" s="52"/>
      <c r="T578" s="4">
        <f t="shared" si="102"/>
        <v>2925</v>
      </c>
      <c r="U578" s="5"/>
      <c r="V578" s="4">
        <f t="shared" si="95"/>
        <v>2925</v>
      </c>
      <c r="W578" s="4">
        <f t="shared" si="107"/>
        <v>65082.74500000001</v>
      </c>
      <c r="X578" s="3"/>
      <c r="Y578" s="3"/>
      <c r="Z578" s="25">
        <f t="shared" si="108"/>
        <v>0</v>
      </c>
      <c r="AA578" s="72">
        <f t="shared" si="109"/>
        <v>65082.74500000001</v>
      </c>
      <c r="AB578" s="9" t="s">
        <v>26</v>
      </c>
      <c r="AC578" s="19">
        <v>45611</v>
      </c>
      <c r="AD578" s="41"/>
      <c r="AE578" s="42"/>
      <c r="AF578" s="4">
        <f t="shared" si="97"/>
        <v>5325</v>
      </c>
      <c r="AG578" s="3"/>
      <c r="AH578" s="8"/>
      <c r="AI578" s="4">
        <f t="shared" si="96"/>
        <v>5325</v>
      </c>
      <c r="AJ578" s="4">
        <f t="shared" si="103"/>
        <v>298349.26949999994</v>
      </c>
      <c r="AK578" s="8"/>
      <c r="AL578" s="8"/>
      <c r="AM578" s="47"/>
      <c r="AN578" s="47"/>
      <c r="AO578" s="8"/>
      <c r="AP578" s="8"/>
      <c r="AQ578" s="47"/>
      <c r="AR578" s="47"/>
      <c r="AS578" s="8"/>
      <c r="AT578" s="8"/>
      <c r="AU578" s="47"/>
      <c r="AV578" s="47"/>
      <c r="AW578" s="8"/>
      <c r="AX578" s="8"/>
      <c r="AY578" s="47"/>
      <c r="AZ578" s="47"/>
      <c r="BA578" s="8"/>
      <c r="BB578" s="8"/>
      <c r="BC578" s="47"/>
      <c r="BD578" s="47"/>
      <c r="BE578" s="8"/>
      <c r="BF578" s="8"/>
      <c r="BG578" s="47"/>
      <c r="BH578" s="47"/>
      <c r="BI578" s="8"/>
      <c r="BJ578" s="3"/>
      <c r="BK578" s="47"/>
      <c r="BL578" s="47"/>
      <c r="BM578" s="24">
        <f t="shared" si="104"/>
        <v>0</v>
      </c>
      <c r="BN578" s="28">
        <f t="shared" si="98"/>
        <v>298349.26949999994</v>
      </c>
      <c r="BO578" s="2">
        <v>45611</v>
      </c>
    </row>
    <row r="579" spans="4:67" x14ac:dyDescent="0.25">
      <c r="D579" s="9" t="s">
        <v>27</v>
      </c>
      <c r="E579" s="80">
        <v>45612</v>
      </c>
      <c r="F579" s="38"/>
      <c r="G579" s="51"/>
      <c r="H579" s="4">
        <f t="shared" si="99"/>
        <v>1750</v>
      </c>
      <c r="I579" s="5"/>
      <c r="J579" s="4">
        <f t="shared" si="100"/>
        <v>1750</v>
      </c>
      <c r="K579" s="4">
        <f t="shared" si="105"/>
        <v>82249.969999999972</v>
      </c>
      <c r="L579" s="3"/>
      <c r="M579" s="3"/>
      <c r="N579" s="33">
        <f t="shared" si="101"/>
        <v>0</v>
      </c>
      <c r="O579" s="28">
        <f t="shared" si="106"/>
        <v>82249.969999999972</v>
      </c>
      <c r="P579" s="9" t="s">
        <v>27</v>
      </c>
      <c r="Q579" s="2">
        <v>45612</v>
      </c>
      <c r="R579" s="38"/>
      <c r="S579" s="52"/>
      <c r="T579" s="4">
        <f t="shared" si="102"/>
        <v>2925</v>
      </c>
      <c r="U579" s="5"/>
      <c r="V579" s="4">
        <f t="shared" si="95"/>
        <v>2925</v>
      </c>
      <c r="W579" s="4">
        <f t="shared" si="107"/>
        <v>68007.74500000001</v>
      </c>
      <c r="X579" s="3"/>
      <c r="Y579" s="3"/>
      <c r="Z579" s="25">
        <f t="shared" si="108"/>
        <v>0</v>
      </c>
      <c r="AA579" s="72">
        <f t="shared" si="109"/>
        <v>68007.74500000001</v>
      </c>
      <c r="AB579" s="9" t="s">
        <v>27</v>
      </c>
      <c r="AC579" s="19">
        <v>45612</v>
      </c>
      <c r="AD579" s="41"/>
      <c r="AE579" s="42"/>
      <c r="AF579" s="4">
        <f t="shared" si="97"/>
        <v>5325</v>
      </c>
      <c r="AG579" s="3"/>
      <c r="AH579" s="8"/>
      <c r="AI579" s="4">
        <f t="shared" si="96"/>
        <v>5325</v>
      </c>
      <c r="AJ579" s="4">
        <f t="shared" si="103"/>
        <v>303674.26949999994</v>
      </c>
      <c r="AK579" s="8"/>
      <c r="AL579" s="8"/>
      <c r="AM579" s="47"/>
      <c r="AN579" s="47"/>
      <c r="AO579" s="8"/>
      <c r="AP579" s="8"/>
      <c r="AQ579" s="47"/>
      <c r="AR579" s="47"/>
      <c r="AS579" s="8"/>
      <c r="AT579" s="8"/>
      <c r="AU579" s="47"/>
      <c r="AV579" s="47"/>
      <c r="AW579" s="8"/>
      <c r="AX579" s="8"/>
      <c r="AY579" s="47"/>
      <c r="AZ579" s="47"/>
      <c r="BA579" s="8"/>
      <c r="BB579" s="8"/>
      <c r="BC579" s="47"/>
      <c r="BD579" s="47"/>
      <c r="BE579" s="8"/>
      <c r="BF579" s="8"/>
      <c r="BG579" s="47"/>
      <c r="BH579" s="47"/>
      <c r="BI579" s="8"/>
      <c r="BJ579" s="3"/>
      <c r="BK579" s="47"/>
      <c r="BL579" s="47"/>
      <c r="BM579" s="24">
        <f t="shared" si="104"/>
        <v>0</v>
      </c>
      <c r="BN579" s="28">
        <f t="shared" si="98"/>
        <v>303674.26949999994</v>
      </c>
      <c r="BO579" s="2">
        <v>45612</v>
      </c>
    </row>
    <row r="580" spans="4:67" x14ac:dyDescent="0.25">
      <c r="D580" s="9" t="s">
        <v>28</v>
      </c>
      <c r="E580" s="80">
        <v>45613</v>
      </c>
      <c r="F580" s="38"/>
      <c r="G580" s="51"/>
      <c r="H580" s="4">
        <f t="shared" si="99"/>
        <v>1750</v>
      </c>
      <c r="I580" s="5"/>
      <c r="J580" s="4">
        <f t="shared" si="100"/>
        <v>1750</v>
      </c>
      <c r="K580" s="4">
        <f t="shared" si="105"/>
        <v>83999.969999999972</v>
      </c>
      <c r="L580" s="3"/>
      <c r="M580" s="3"/>
      <c r="N580" s="33">
        <f t="shared" si="101"/>
        <v>0</v>
      </c>
      <c r="O580" s="28">
        <f t="shared" si="106"/>
        <v>83999.969999999972</v>
      </c>
      <c r="P580" s="9" t="s">
        <v>28</v>
      </c>
      <c r="Q580" s="2">
        <v>45613</v>
      </c>
      <c r="R580" s="38"/>
      <c r="S580" s="52"/>
      <c r="T580" s="4">
        <f t="shared" si="102"/>
        <v>2925</v>
      </c>
      <c r="U580" s="5"/>
      <c r="V580" s="4">
        <f t="shared" si="95"/>
        <v>2925</v>
      </c>
      <c r="W580" s="4">
        <f t="shared" si="107"/>
        <v>70932.74500000001</v>
      </c>
      <c r="X580" s="3"/>
      <c r="Y580" s="3"/>
      <c r="Z580" s="25">
        <f t="shared" si="108"/>
        <v>0</v>
      </c>
      <c r="AA580" s="72">
        <f t="shared" si="109"/>
        <v>70932.74500000001</v>
      </c>
      <c r="AB580" s="9" t="s">
        <v>28</v>
      </c>
      <c r="AC580" s="19">
        <v>45613</v>
      </c>
      <c r="AD580" s="41"/>
      <c r="AE580" s="42"/>
      <c r="AF580" s="4">
        <f t="shared" si="97"/>
        <v>5325</v>
      </c>
      <c r="AG580" s="3"/>
      <c r="AH580" s="8"/>
      <c r="AI580" s="4">
        <f t="shared" si="96"/>
        <v>5325</v>
      </c>
      <c r="AJ580" s="4">
        <f t="shared" si="103"/>
        <v>308999.26949999994</v>
      </c>
      <c r="AK580" s="8"/>
      <c r="AL580" s="8"/>
      <c r="AM580" s="47"/>
      <c r="AN580" s="47"/>
      <c r="AO580" s="8"/>
      <c r="AP580" s="8"/>
      <c r="AQ580" s="47"/>
      <c r="AR580" s="47"/>
      <c r="AS580" s="8"/>
      <c r="AT580" s="8"/>
      <c r="AU580" s="47"/>
      <c r="AV580" s="47"/>
      <c r="AW580" s="8"/>
      <c r="AX580" s="8"/>
      <c r="AY580" s="47"/>
      <c r="AZ580" s="47"/>
      <c r="BA580" s="8"/>
      <c r="BB580" s="8"/>
      <c r="BC580" s="47"/>
      <c r="BD580" s="47"/>
      <c r="BE580" s="8"/>
      <c r="BF580" s="8"/>
      <c r="BG580" s="47"/>
      <c r="BH580" s="47"/>
      <c r="BI580" s="8"/>
      <c r="BJ580" s="3"/>
      <c r="BK580" s="47"/>
      <c r="BL580" s="47"/>
      <c r="BM580" s="24">
        <f t="shared" si="104"/>
        <v>0</v>
      </c>
      <c r="BN580" s="28">
        <f t="shared" si="98"/>
        <v>308999.26949999994</v>
      </c>
      <c r="BO580" s="2">
        <v>45613</v>
      </c>
    </row>
    <row r="581" spans="4:67" x14ac:dyDescent="0.25">
      <c r="D581" s="9" t="s">
        <v>29</v>
      </c>
      <c r="E581" s="80">
        <v>45614</v>
      </c>
      <c r="F581" s="38"/>
      <c r="G581" s="51"/>
      <c r="H581" s="4">
        <f t="shared" si="99"/>
        <v>1750</v>
      </c>
      <c r="I581" s="5"/>
      <c r="J581" s="4">
        <f t="shared" si="100"/>
        <v>1750</v>
      </c>
      <c r="K581" s="4">
        <f t="shared" si="105"/>
        <v>85749.969999999972</v>
      </c>
      <c r="L581" s="3"/>
      <c r="M581" s="3"/>
      <c r="N581" s="33">
        <f t="shared" si="101"/>
        <v>0</v>
      </c>
      <c r="O581" s="28">
        <f t="shared" si="106"/>
        <v>85749.969999999972</v>
      </c>
      <c r="P581" s="9" t="s">
        <v>29</v>
      </c>
      <c r="Q581" s="2">
        <v>45614</v>
      </c>
      <c r="R581" s="38"/>
      <c r="S581" s="52"/>
      <c r="T581" s="4">
        <f t="shared" si="102"/>
        <v>2925</v>
      </c>
      <c r="U581" s="5"/>
      <c r="V581" s="4">
        <f t="shared" si="95"/>
        <v>2925</v>
      </c>
      <c r="W581" s="4">
        <f t="shared" si="107"/>
        <v>73857.74500000001</v>
      </c>
      <c r="X581" s="3"/>
      <c r="Y581" s="3"/>
      <c r="Z581" s="25">
        <f t="shared" si="108"/>
        <v>0</v>
      </c>
      <c r="AA581" s="72">
        <f t="shared" si="109"/>
        <v>73857.74500000001</v>
      </c>
      <c r="AB581" s="9" t="s">
        <v>29</v>
      </c>
      <c r="AC581" s="19">
        <v>45614</v>
      </c>
      <c r="AD581" s="41"/>
      <c r="AE581" s="42"/>
      <c r="AF581" s="4">
        <f t="shared" si="97"/>
        <v>5325</v>
      </c>
      <c r="AG581" s="3"/>
      <c r="AH581" s="8"/>
      <c r="AI581" s="4">
        <f t="shared" si="96"/>
        <v>5325</v>
      </c>
      <c r="AJ581" s="4">
        <f t="shared" si="103"/>
        <v>314324.26949999994</v>
      </c>
      <c r="AK581" s="8"/>
      <c r="AL581" s="8"/>
      <c r="AM581" s="47"/>
      <c r="AN581" s="47"/>
      <c r="AO581" s="8"/>
      <c r="AP581" s="8"/>
      <c r="AQ581" s="47"/>
      <c r="AR581" s="47"/>
      <c r="AS581" s="8"/>
      <c r="AT581" s="8"/>
      <c r="AU581" s="47"/>
      <c r="AV581" s="47"/>
      <c r="AW581" s="8"/>
      <c r="AX581" s="8"/>
      <c r="AY581" s="47"/>
      <c r="AZ581" s="47"/>
      <c r="BA581" s="8"/>
      <c r="BB581" s="8"/>
      <c r="BC581" s="47"/>
      <c r="BD581" s="47"/>
      <c r="BE581" s="8"/>
      <c r="BF581" s="8"/>
      <c r="BG581" s="47"/>
      <c r="BH581" s="47"/>
      <c r="BI581" s="8"/>
      <c r="BJ581" s="3"/>
      <c r="BK581" s="47"/>
      <c r="BL581" s="47"/>
      <c r="BM581" s="24">
        <f t="shared" si="104"/>
        <v>0</v>
      </c>
      <c r="BN581" s="28">
        <f t="shared" si="98"/>
        <v>314324.26949999994</v>
      </c>
      <c r="BO581" s="2">
        <v>45614</v>
      </c>
    </row>
    <row r="582" spans="4:67" x14ac:dyDescent="0.25">
      <c r="D582" s="9" t="s">
        <v>30</v>
      </c>
      <c r="E582" s="80">
        <v>45615</v>
      </c>
      <c r="F582" s="38"/>
      <c r="G582" s="51"/>
      <c r="H582" s="4">
        <f t="shared" si="99"/>
        <v>1750</v>
      </c>
      <c r="I582" s="5"/>
      <c r="J582" s="4">
        <f t="shared" si="100"/>
        <v>1750</v>
      </c>
      <c r="K582" s="4">
        <f t="shared" si="105"/>
        <v>87499.969999999972</v>
      </c>
      <c r="L582" s="3"/>
      <c r="M582" s="3"/>
      <c r="N582" s="33">
        <f t="shared" si="101"/>
        <v>0</v>
      </c>
      <c r="O582" s="28">
        <f t="shared" si="106"/>
        <v>87499.969999999972</v>
      </c>
      <c r="P582" s="9" t="s">
        <v>30</v>
      </c>
      <c r="Q582" s="2">
        <v>45615</v>
      </c>
      <c r="R582" s="38"/>
      <c r="S582" s="52"/>
      <c r="T582" s="4">
        <f t="shared" si="102"/>
        <v>2925</v>
      </c>
      <c r="U582" s="5"/>
      <c r="V582" s="4">
        <f t="shared" si="95"/>
        <v>2925</v>
      </c>
      <c r="W582" s="4">
        <f t="shared" si="107"/>
        <v>76782.74500000001</v>
      </c>
      <c r="X582" s="3"/>
      <c r="Y582" s="3"/>
      <c r="Z582" s="25">
        <f t="shared" si="108"/>
        <v>0</v>
      </c>
      <c r="AA582" s="72">
        <f t="shared" si="109"/>
        <v>76782.74500000001</v>
      </c>
      <c r="AB582" s="9" t="s">
        <v>30</v>
      </c>
      <c r="AC582" s="19">
        <v>45615</v>
      </c>
      <c r="AD582" s="41"/>
      <c r="AE582" s="42"/>
      <c r="AF582" s="4">
        <f t="shared" si="97"/>
        <v>5325</v>
      </c>
      <c r="AG582" s="3"/>
      <c r="AH582" s="8"/>
      <c r="AI582" s="4">
        <f t="shared" si="96"/>
        <v>5325</v>
      </c>
      <c r="AJ582" s="4">
        <f t="shared" si="103"/>
        <v>319649.26949999994</v>
      </c>
      <c r="AK582" s="8"/>
      <c r="AL582" s="8"/>
      <c r="AM582" s="47"/>
      <c r="AN582" s="47"/>
      <c r="AO582" s="8"/>
      <c r="AP582" s="8"/>
      <c r="AQ582" s="47"/>
      <c r="AR582" s="47"/>
      <c r="AS582" s="8"/>
      <c r="AT582" s="8"/>
      <c r="AU582" s="47"/>
      <c r="AV582" s="47"/>
      <c r="AW582" s="8"/>
      <c r="AX582" s="8"/>
      <c r="AY582" s="47"/>
      <c r="AZ582" s="47"/>
      <c r="BA582" s="8"/>
      <c r="BB582" s="8"/>
      <c r="BC582" s="47"/>
      <c r="BD582" s="47"/>
      <c r="BE582" s="8"/>
      <c r="BF582" s="8"/>
      <c r="BG582" s="47"/>
      <c r="BH582" s="47"/>
      <c r="BI582" s="8"/>
      <c r="BJ582" s="3"/>
      <c r="BK582" s="47"/>
      <c r="BL582" s="47"/>
      <c r="BM582" s="24">
        <f t="shared" si="104"/>
        <v>0</v>
      </c>
      <c r="BN582" s="28">
        <f t="shared" si="98"/>
        <v>319649.26949999994</v>
      </c>
      <c r="BO582" s="2">
        <v>45615</v>
      </c>
    </row>
    <row r="583" spans="4:67" x14ac:dyDescent="0.25">
      <c r="D583" s="9" t="s">
        <v>31</v>
      </c>
      <c r="E583" s="80">
        <v>45616</v>
      </c>
      <c r="F583" s="38"/>
      <c r="G583" s="51"/>
      <c r="H583" s="4">
        <f t="shared" si="99"/>
        <v>1750</v>
      </c>
      <c r="I583" s="5"/>
      <c r="J583" s="4">
        <f t="shared" si="100"/>
        <v>1750</v>
      </c>
      <c r="K583" s="4">
        <f t="shared" si="105"/>
        <v>89249.969999999972</v>
      </c>
      <c r="L583" s="3"/>
      <c r="M583" s="3"/>
      <c r="N583" s="33">
        <f t="shared" si="101"/>
        <v>0</v>
      </c>
      <c r="O583" s="28">
        <f t="shared" si="106"/>
        <v>89249.969999999972</v>
      </c>
      <c r="P583" s="9" t="s">
        <v>31</v>
      </c>
      <c r="Q583" s="2">
        <v>45616</v>
      </c>
      <c r="R583" s="38"/>
      <c r="S583" s="52"/>
      <c r="T583" s="4">
        <f t="shared" si="102"/>
        <v>2925</v>
      </c>
      <c r="U583" s="5"/>
      <c r="V583" s="4">
        <f t="shared" si="95"/>
        <v>2925</v>
      </c>
      <c r="W583" s="4">
        <f t="shared" si="107"/>
        <v>79707.74500000001</v>
      </c>
      <c r="X583" s="3"/>
      <c r="Y583" s="3"/>
      <c r="Z583" s="25">
        <f t="shared" si="108"/>
        <v>0</v>
      </c>
      <c r="AA583" s="72">
        <f t="shared" si="109"/>
        <v>79707.74500000001</v>
      </c>
      <c r="AB583" s="9" t="s">
        <v>31</v>
      </c>
      <c r="AC583" s="19">
        <v>45616</v>
      </c>
      <c r="AD583" s="41"/>
      <c r="AE583" s="42"/>
      <c r="AF583" s="4">
        <f t="shared" si="97"/>
        <v>5325</v>
      </c>
      <c r="AG583" s="3"/>
      <c r="AH583" s="8"/>
      <c r="AI583" s="4">
        <f t="shared" si="96"/>
        <v>5325</v>
      </c>
      <c r="AJ583" s="4">
        <f t="shared" si="103"/>
        <v>324974.26949999994</v>
      </c>
      <c r="AK583" s="8"/>
      <c r="AL583" s="8"/>
      <c r="AM583" s="47"/>
      <c r="AN583" s="47"/>
      <c r="AO583" s="8"/>
      <c r="AP583" s="8"/>
      <c r="AQ583" s="47"/>
      <c r="AR583" s="47"/>
      <c r="AS583" s="8"/>
      <c r="AT583" s="8"/>
      <c r="AU583" s="47"/>
      <c r="AV583" s="47"/>
      <c r="AW583" s="8"/>
      <c r="AX583" s="8"/>
      <c r="AY583" s="47"/>
      <c r="AZ583" s="47"/>
      <c r="BA583" s="8"/>
      <c r="BB583" s="8"/>
      <c r="BC583" s="47"/>
      <c r="BD583" s="47"/>
      <c r="BE583" s="8"/>
      <c r="BF583" s="8"/>
      <c r="BG583" s="47"/>
      <c r="BH583" s="47"/>
      <c r="BI583" s="8"/>
      <c r="BJ583" s="3"/>
      <c r="BK583" s="47"/>
      <c r="BL583" s="47"/>
      <c r="BM583" s="24">
        <f t="shared" si="104"/>
        <v>0</v>
      </c>
      <c r="BN583" s="28">
        <f t="shared" si="98"/>
        <v>324974.26949999994</v>
      </c>
      <c r="BO583" s="2">
        <v>45616</v>
      </c>
    </row>
    <row r="584" spans="4:67" x14ac:dyDescent="0.25">
      <c r="D584" s="9" t="s">
        <v>32</v>
      </c>
      <c r="E584" s="80">
        <v>45617</v>
      </c>
      <c r="F584" s="38"/>
      <c r="G584" s="51"/>
      <c r="H584" s="4">
        <f t="shared" si="99"/>
        <v>1750</v>
      </c>
      <c r="I584" s="5"/>
      <c r="J584" s="4">
        <f t="shared" si="100"/>
        <v>1750</v>
      </c>
      <c r="K584" s="4">
        <f t="shared" si="105"/>
        <v>90999.969999999972</v>
      </c>
      <c r="L584" s="3"/>
      <c r="M584" s="3"/>
      <c r="N584" s="33">
        <f t="shared" si="101"/>
        <v>0</v>
      </c>
      <c r="O584" s="28">
        <f t="shared" si="106"/>
        <v>90999.969999999972</v>
      </c>
      <c r="P584" s="9" t="s">
        <v>32</v>
      </c>
      <c r="Q584" s="2">
        <v>45617</v>
      </c>
      <c r="R584" s="38"/>
      <c r="S584" s="52"/>
      <c r="T584" s="4">
        <f t="shared" si="102"/>
        <v>2925</v>
      </c>
      <c r="U584" s="5"/>
      <c r="V584" s="4">
        <f t="shared" si="95"/>
        <v>2925</v>
      </c>
      <c r="W584" s="4">
        <f t="shared" si="107"/>
        <v>82632.74500000001</v>
      </c>
      <c r="X584" s="3"/>
      <c r="Y584" s="3"/>
      <c r="Z584" s="25">
        <f t="shared" si="108"/>
        <v>0</v>
      </c>
      <c r="AA584" s="72">
        <f t="shared" si="109"/>
        <v>82632.74500000001</v>
      </c>
      <c r="AB584" s="9" t="s">
        <v>32</v>
      </c>
      <c r="AC584" s="19">
        <v>45617</v>
      </c>
      <c r="AD584" s="41"/>
      <c r="AE584" s="42"/>
      <c r="AF584" s="4">
        <f t="shared" si="97"/>
        <v>5325</v>
      </c>
      <c r="AG584" s="3"/>
      <c r="AH584" s="8"/>
      <c r="AI584" s="4">
        <f t="shared" si="96"/>
        <v>5325</v>
      </c>
      <c r="AJ584" s="4">
        <f t="shared" si="103"/>
        <v>330299.26949999994</v>
      </c>
      <c r="AK584" s="8"/>
      <c r="AL584" s="8"/>
      <c r="AM584" s="47"/>
      <c r="AN584" s="47"/>
      <c r="AO584" s="8"/>
      <c r="AP584" s="8"/>
      <c r="AQ584" s="47"/>
      <c r="AR584" s="47"/>
      <c r="AS584" s="8"/>
      <c r="AT584" s="8"/>
      <c r="AU584" s="47"/>
      <c r="AV584" s="47"/>
      <c r="AW584" s="8"/>
      <c r="AX584" s="8"/>
      <c r="AY584" s="47"/>
      <c r="AZ584" s="47"/>
      <c r="BA584" s="8"/>
      <c r="BB584" s="8"/>
      <c r="BC584" s="47"/>
      <c r="BD584" s="47"/>
      <c r="BE584" s="8"/>
      <c r="BF584" s="8"/>
      <c r="BG584" s="47"/>
      <c r="BH584" s="47"/>
      <c r="BI584" s="8"/>
      <c r="BJ584" s="3"/>
      <c r="BK584" s="47"/>
      <c r="BL584" s="47"/>
      <c r="BM584" s="24">
        <f t="shared" si="104"/>
        <v>0</v>
      </c>
      <c r="BN584" s="28">
        <f t="shared" si="98"/>
        <v>330299.26949999994</v>
      </c>
      <c r="BO584" s="2">
        <v>45617</v>
      </c>
    </row>
    <row r="585" spans="4:67" x14ac:dyDescent="0.25">
      <c r="D585" s="9" t="s">
        <v>26</v>
      </c>
      <c r="E585" s="80">
        <v>45618</v>
      </c>
      <c r="F585" s="38"/>
      <c r="G585" s="51"/>
      <c r="H585" s="4">
        <f t="shared" si="99"/>
        <v>1750</v>
      </c>
      <c r="I585" s="5"/>
      <c r="J585" s="4">
        <f t="shared" si="100"/>
        <v>1750</v>
      </c>
      <c r="K585" s="4">
        <f t="shared" si="105"/>
        <v>92749.969999999972</v>
      </c>
      <c r="L585" s="3"/>
      <c r="M585" s="3"/>
      <c r="N585" s="33">
        <f t="shared" si="101"/>
        <v>0</v>
      </c>
      <c r="O585" s="28">
        <f t="shared" si="106"/>
        <v>92749.969999999972</v>
      </c>
      <c r="P585" s="9" t="s">
        <v>26</v>
      </c>
      <c r="Q585" s="2">
        <v>45618</v>
      </c>
      <c r="R585" s="38"/>
      <c r="S585" s="52"/>
      <c r="T585" s="4">
        <f t="shared" si="102"/>
        <v>2925</v>
      </c>
      <c r="U585" s="5"/>
      <c r="V585" s="4">
        <f t="shared" si="95"/>
        <v>2925</v>
      </c>
      <c r="W585" s="4">
        <f t="shared" si="107"/>
        <v>85557.74500000001</v>
      </c>
      <c r="X585" s="3"/>
      <c r="Y585" s="3"/>
      <c r="Z585" s="25">
        <f t="shared" si="108"/>
        <v>0</v>
      </c>
      <c r="AA585" s="72">
        <f t="shared" si="109"/>
        <v>85557.74500000001</v>
      </c>
      <c r="AB585" s="9" t="s">
        <v>26</v>
      </c>
      <c r="AC585" s="19">
        <v>45618</v>
      </c>
      <c r="AD585" s="41"/>
      <c r="AE585" s="42"/>
      <c r="AF585" s="4">
        <f t="shared" si="97"/>
        <v>5325</v>
      </c>
      <c r="AG585" s="3"/>
      <c r="AH585" s="8"/>
      <c r="AI585" s="4">
        <f t="shared" si="96"/>
        <v>5325</v>
      </c>
      <c r="AJ585" s="4">
        <f t="shared" si="103"/>
        <v>335624.26949999994</v>
      </c>
      <c r="AK585" s="8"/>
      <c r="AL585" s="8"/>
      <c r="AM585" s="47"/>
      <c r="AN585" s="47"/>
      <c r="AO585" s="8"/>
      <c r="AP585" s="8"/>
      <c r="AQ585" s="47"/>
      <c r="AR585" s="47"/>
      <c r="AS585" s="8"/>
      <c r="AT585" s="8"/>
      <c r="AU585" s="47"/>
      <c r="AV585" s="47"/>
      <c r="AW585" s="8"/>
      <c r="AX585" s="8"/>
      <c r="AY585" s="47"/>
      <c r="AZ585" s="47"/>
      <c r="BA585" s="8"/>
      <c r="BB585" s="8"/>
      <c r="BC585" s="47"/>
      <c r="BD585" s="47"/>
      <c r="BE585" s="8"/>
      <c r="BF585" s="8"/>
      <c r="BG585" s="47"/>
      <c r="BH585" s="47"/>
      <c r="BI585" s="8"/>
      <c r="BJ585" s="3"/>
      <c r="BK585" s="47"/>
      <c r="BL585" s="47"/>
      <c r="BM585" s="24">
        <f t="shared" si="104"/>
        <v>0</v>
      </c>
      <c r="BN585" s="28">
        <f t="shared" si="98"/>
        <v>335624.26949999994</v>
      </c>
      <c r="BO585" s="2">
        <v>45618</v>
      </c>
    </row>
    <row r="586" spans="4:67" x14ac:dyDescent="0.25">
      <c r="D586" s="9" t="s">
        <v>27</v>
      </c>
      <c r="E586" s="80">
        <v>45619</v>
      </c>
      <c r="F586" s="38"/>
      <c r="G586" s="51"/>
      <c r="H586" s="4">
        <f t="shared" si="99"/>
        <v>1750</v>
      </c>
      <c r="I586" s="5"/>
      <c r="J586" s="4">
        <f t="shared" si="100"/>
        <v>1750</v>
      </c>
      <c r="K586" s="4">
        <f t="shared" si="105"/>
        <v>94499.969999999972</v>
      </c>
      <c r="L586" s="3"/>
      <c r="M586" s="3"/>
      <c r="N586" s="33">
        <f t="shared" si="101"/>
        <v>0</v>
      </c>
      <c r="O586" s="28">
        <f t="shared" si="106"/>
        <v>94499.969999999972</v>
      </c>
      <c r="P586" s="9" t="s">
        <v>27</v>
      </c>
      <c r="Q586" s="2">
        <v>45619</v>
      </c>
      <c r="R586" s="38"/>
      <c r="S586" s="52"/>
      <c r="T586" s="4">
        <f t="shared" si="102"/>
        <v>2925</v>
      </c>
      <c r="U586" s="5"/>
      <c r="V586" s="4">
        <f t="shared" si="95"/>
        <v>2925</v>
      </c>
      <c r="W586" s="4">
        <f t="shared" si="107"/>
        <v>88482.74500000001</v>
      </c>
      <c r="X586" s="3"/>
      <c r="Y586" s="3"/>
      <c r="Z586" s="25">
        <f t="shared" si="108"/>
        <v>0</v>
      </c>
      <c r="AA586" s="72">
        <f t="shared" si="109"/>
        <v>88482.74500000001</v>
      </c>
      <c r="AB586" s="9" t="s">
        <v>27</v>
      </c>
      <c r="AC586" s="19">
        <v>45619</v>
      </c>
      <c r="AD586" s="41"/>
      <c r="AE586" s="42"/>
      <c r="AF586" s="4">
        <f t="shared" si="97"/>
        <v>5325</v>
      </c>
      <c r="AG586" s="3"/>
      <c r="AH586" s="8"/>
      <c r="AI586" s="4">
        <f t="shared" si="96"/>
        <v>5325</v>
      </c>
      <c r="AJ586" s="4">
        <f t="shared" si="103"/>
        <v>340949.26949999994</v>
      </c>
      <c r="AK586" s="8"/>
      <c r="AL586" s="8"/>
      <c r="AM586" s="47"/>
      <c r="AN586" s="47"/>
      <c r="AO586" s="8"/>
      <c r="AP586" s="8"/>
      <c r="AQ586" s="47"/>
      <c r="AR586" s="47"/>
      <c r="AS586" s="8"/>
      <c r="AT586" s="8"/>
      <c r="AU586" s="47"/>
      <c r="AV586" s="47"/>
      <c r="AW586" s="8"/>
      <c r="AX586" s="8"/>
      <c r="AY586" s="47"/>
      <c r="AZ586" s="47"/>
      <c r="BA586" s="8"/>
      <c r="BB586" s="8"/>
      <c r="BC586" s="47"/>
      <c r="BD586" s="47"/>
      <c r="BE586" s="8"/>
      <c r="BF586" s="8"/>
      <c r="BG586" s="47"/>
      <c r="BH586" s="47"/>
      <c r="BI586" s="8"/>
      <c r="BJ586" s="3"/>
      <c r="BK586" s="47"/>
      <c r="BL586" s="47"/>
      <c r="BM586" s="24">
        <f t="shared" si="104"/>
        <v>0</v>
      </c>
      <c r="BN586" s="28">
        <f t="shared" si="98"/>
        <v>340949.26949999994</v>
      </c>
      <c r="BO586" s="2">
        <v>45619</v>
      </c>
    </row>
    <row r="587" spans="4:67" x14ac:dyDescent="0.25">
      <c r="D587" s="9" t="s">
        <v>28</v>
      </c>
      <c r="E587" s="80">
        <v>45620</v>
      </c>
      <c r="F587" s="38"/>
      <c r="G587" s="51"/>
      <c r="H587" s="4">
        <f t="shared" si="99"/>
        <v>1750</v>
      </c>
      <c r="I587" s="5"/>
      <c r="J587" s="4">
        <f t="shared" si="100"/>
        <v>1750</v>
      </c>
      <c r="K587" s="4">
        <f t="shared" si="105"/>
        <v>96249.969999999972</v>
      </c>
      <c r="L587" s="3"/>
      <c r="M587" s="3"/>
      <c r="N587" s="33">
        <f t="shared" si="101"/>
        <v>0</v>
      </c>
      <c r="O587" s="28">
        <f t="shared" si="106"/>
        <v>96249.969999999972</v>
      </c>
      <c r="P587" s="9" t="s">
        <v>28</v>
      </c>
      <c r="Q587" s="2">
        <v>45620</v>
      </c>
      <c r="R587" s="38"/>
      <c r="S587" s="52"/>
      <c r="T587" s="4">
        <f t="shared" si="102"/>
        <v>2925</v>
      </c>
      <c r="U587" s="5"/>
      <c r="V587" s="4">
        <f t="shared" si="95"/>
        <v>2925</v>
      </c>
      <c r="W587" s="4">
        <f t="shared" si="107"/>
        <v>91407.74500000001</v>
      </c>
      <c r="X587" s="3"/>
      <c r="Y587" s="3"/>
      <c r="Z587" s="25">
        <f t="shared" si="108"/>
        <v>0</v>
      </c>
      <c r="AA587" s="72">
        <f t="shared" si="109"/>
        <v>91407.74500000001</v>
      </c>
      <c r="AB587" s="9" t="s">
        <v>28</v>
      </c>
      <c r="AC587" s="19">
        <v>45620</v>
      </c>
      <c r="AD587" s="41"/>
      <c r="AE587" s="42"/>
      <c r="AF587" s="4">
        <f t="shared" si="97"/>
        <v>5325</v>
      </c>
      <c r="AG587" s="3"/>
      <c r="AH587" s="8"/>
      <c r="AI587" s="4">
        <f t="shared" si="96"/>
        <v>5325</v>
      </c>
      <c r="AJ587" s="4">
        <f t="shared" si="103"/>
        <v>346274.26949999994</v>
      </c>
      <c r="AK587" s="8"/>
      <c r="AL587" s="8"/>
      <c r="AM587" s="48"/>
      <c r="AN587" s="47"/>
      <c r="AO587" s="8"/>
      <c r="AP587" s="8"/>
      <c r="AQ587" s="47"/>
      <c r="AR587" s="47"/>
      <c r="AS587" s="8"/>
      <c r="AT587" s="8"/>
      <c r="AU587" s="47"/>
      <c r="AV587" s="47"/>
      <c r="AW587" s="8"/>
      <c r="AX587" s="8"/>
      <c r="AY587" s="47"/>
      <c r="AZ587" s="47"/>
      <c r="BA587" s="8"/>
      <c r="BB587" s="8"/>
      <c r="BC587" s="47"/>
      <c r="BD587" s="47"/>
      <c r="BE587" s="8"/>
      <c r="BF587" s="8"/>
      <c r="BG587" s="47"/>
      <c r="BH587" s="47"/>
      <c r="BI587" s="8"/>
      <c r="BJ587" s="3"/>
      <c r="BK587" s="47"/>
      <c r="BL587" s="47"/>
      <c r="BM587" s="24">
        <f t="shared" si="104"/>
        <v>0</v>
      </c>
      <c r="BN587" s="28">
        <f t="shared" si="98"/>
        <v>346274.26949999994</v>
      </c>
      <c r="BO587" s="2">
        <v>45620</v>
      </c>
    </row>
    <row r="588" spans="4:67" x14ac:dyDescent="0.25">
      <c r="D588" s="9" t="s">
        <v>29</v>
      </c>
      <c r="E588" s="80">
        <v>45621</v>
      </c>
      <c r="F588" s="38"/>
      <c r="G588" s="51"/>
      <c r="H588" s="4">
        <f t="shared" si="99"/>
        <v>1750</v>
      </c>
      <c r="I588" s="5"/>
      <c r="J588" s="4">
        <f t="shared" si="100"/>
        <v>1750</v>
      </c>
      <c r="K588" s="4">
        <f t="shared" si="105"/>
        <v>97999.969999999972</v>
      </c>
      <c r="L588" s="3"/>
      <c r="M588" s="3"/>
      <c r="N588" s="33">
        <f t="shared" si="101"/>
        <v>0</v>
      </c>
      <c r="O588" s="28">
        <f t="shared" si="106"/>
        <v>97999.969999999972</v>
      </c>
      <c r="P588" s="9" t="s">
        <v>29</v>
      </c>
      <c r="Q588" s="2">
        <v>45621</v>
      </c>
      <c r="R588" s="38"/>
      <c r="S588" s="52"/>
      <c r="T588" s="4">
        <f t="shared" si="102"/>
        <v>2925</v>
      </c>
      <c r="U588" s="5"/>
      <c r="V588" s="4">
        <f t="shared" si="95"/>
        <v>2925</v>
      </c>
      <c r="W588" s="4">
        <f t="shared" si="107"/>
        <v>94332.74500000001</v>
      </c>
      <c r="X588" s="3"/>
      <c r="Y588" s="3"/>
      <c r="Z588" s="25">
        <f t="shared" si="108"/>
        <v>0</v>
      </c>
      <c r="AA588" s="72">
        <f t="shared" si="109"/>
        <v>94332.74500000001</v>
      </c>
      <c r="AB588" s="9" t="s">
        <v>29</v>
      </c>
      <c r="AC588" s="19">
        <v>45621</v>
      </c>
      <c r="AD588" s="41"/>
      <c r="AE588" s="42"/>
      <c r="AF588" s="4">
        <f t="shared" si="97"/>
        <v>5325</v>
      </c>
      <c r="AG588" s="3"/>
      <c r="AH588" s="8"/>
      <c r="AI588" s="4">
        <f t="shared" si="96"/>
        <v>5325</v>
      </c>
      <c r="AJ588" s="4">
        <f t="shared" si="103"/>
        <v>351599.26949999994</v>
      </c>
      <c r="AK588" s="8"/>
      <c r="AL588" s="8"/>
      <c r="AM588" s="47"/>
      <c r="AN588" s="47"/>
      <c r="AO588" s="8"/>
      <c r="AP588" s="8"/>
      <c r="AQ588" s="47"/>
      <c r="AR588" s="47"/>
      <c r="AS588" s="8"/>
      <c r="AT588" s="8"/>
      <c r="AU588" s="47"/>
      <c r="AV588" s="47"/>
      <c r="AW588" s="8"/>
      <c r="AX588" s="8"/>
      <c r="AY588" s="47"/>
      <c r="AZ588" s="47"/>
      <c r="BA588" s="8"/>
      <c r="BB588" s="8"/>
      <c r="BC588" s="47"/>
      <c r="BD588" s="47"/>
      <c r="BE588" s="8"/>
      <c r="BF588" s="8"/>
      <c r="BG588" s="47"/>
      <c r="BH588" s="47"/>
      <c r="BI588" s="8"/>
      <c r="BJ588" s="3"/>
      <c r="BK588" s="47"/>
      <c r="BL588" s="47"/>
      <c r="BM588" s="24">
        <f t="shared" si="104"/>
        <v>0</v>
      </c>
      <c r="BN588" s="28">
        <f t="shared" si="98"/>
        <v>351599.26949999994</v>
      </c>
      <c r="BO588" s="2">
        <v>45621</v>
      </c>
    </row>
    <row r="589" spans="4:67" x14ac:dyDescent="0.25">
      <c r="D589" s="9" t="s">
        <v>30</v>
      </c>
      <c r="E589" s="80">
        <v>45622</v>
      </c>
      <c r="F589" s="38"/>
      <c r="G589" s="51"/>
      <c r="H589" s="4">
        <f t="shared" si="99"/>
        <v>1750</v>
      </c>
      <c r="I589" s="5"/>
      <c r="J589" s="4">
        <f t="shared" si="100"/>
        <v>1750</v>
      </c>
      <c r="K589" s="4">
        <f t="shared" si="105"/>
        <v>99749.969999999972</v>
      </c>
      <c r="L589" s="3"/>
      <c r="M589" s="3"/>
      <c r="N589" s="33">
        <f t="shared" si="101"/>
        <v>0</v>
      </c>
      <c r="O589" s="28">
        <f t="shared" si="106"/>
        <v>99749.969999999972</v>
      </c>
      <c r="P589" s="9" t="s">
        <v>30</v>
      </c>
      <c r="Q589" s="2">
        <v>45622</v>
      </c>
      <c r="R589" s="38"/>
      <c r="S589" s="52"/>
      <c r="T589" s="4">
        <f t="shared" si="102"/>
        <v>2925</v>
      </c>
      <c r="U589" s="5"/>
      <c r="V589" s="4">
        <f t="shared" si="95"/>
        <v>2925</v>
      </c>
      <c r="W589" s="4">
        <f t="shared" si="107"/>
        <v>97257.74500000001</v>
      </c>
      <c r="X589" s="3"/>
      <c r="Y589" s="3"/>
      <c r="Z589" s="25">
        <f t="shared" si="108"/>
        <v>0</v>
      </c>
      <c r="AA589" s="72">
        <f t="shared" si="109"/>
        <v>97257.74500000001</v>
      </c>
      <c r="AB589" s="9" t="s">
        <v>30</v>
      </c>
      <c r="AC589" s="19">
        <v>45622</v>
      </c>
      <c r="AD589" s="41"/>
      <c r="AE589" s="42"/>
      <c r="AF589" s="4">
        <f t="shared" si="97"/>
        <v>5325</v>
      </c>
      <c r="AG589" s="3"/>
      <c r="AH589" s="8"/>
      <c r="AI589" s="4">
        <f t="shared" si="96"/>
        <v>5325</v>
      </c>
      <c r="AJ589" s="4">
        <f t="shared" si="103"/>
        <v>356924.26949999994</v>
      </c>
      <c r="AK589" s="8"/>
      <c r="AL589" s="8"/>
      <c r="AM589" s="47"/>
      <c r="AN589" s="47"/>
      <c r="AO589" s="8"/>
      <c r="AP589" s="8"/>
      <c r="AQ589" s="47"/>
      <c r="AR589" s="47"/>
      <c r="AS589" s="8"/>
      <c r="AT589" s="8"/>
      <c r="AU589" s="47"/>
      <c r="AV589" s="47"/>
      <c r="AW589" s="8"/>
      <c r="AX589" s="8"/>
      <c r="AY589" s="47"/>
      <c r="AZ589" s="47"/>
      <c r="BA589" s="8"/>
      <c r="BB589" s="8"/>
      <c r="BC589" s="47"/>
      <c r="BD589" s="47"/>
      <c r="BE589" s="8"/>
      <c r="BF589" s="8"/>
      <c r="BG589" s="47"/>
      <c r="BH589" s="47"/>
      <c r="BI589" s="8"/>
      <c r="BJ589" s="3"/>
      <c r="BK589" s="47"/>
      <c r="BL589" s="47"/>
      <c r="BM589" s="24">
        <f t="shared" si="104"/>
        <v>0</v>
      </c>
      <c r="BN589" s="28">
        <f t="shared" si="98"/>
        <v>356924.26949999994</v>
      </c>
      <c r="BO589" s="2">
        <v>45622</v>
      </c>
    </row>
    <row r="590" spans="4:67" x14ac:dyDescent="0.25">
      <c r="D590" s="9" t="s">
        <v>31</v>
      </c>
      <c r="E590" s="80">
        <v>45623</v>
      </c>
      <c r="F590" s="38"/>
      <c r="G590" s="51"/>
      <c r="H590" s="4">
        <f t="shared" si="99"/>
        <v>1750</v>
      </c>
      <c r="I590" s="5"/>
      <c r="J590" s="4">
        <f t="shared" si="100"/>
        <v>1750</v>
      </c>
      <c r="K590" s="4">
        <f t="shared" si="105"/>
        <v>101499.96999999997</v>
      </c>
      <c r="L590" s="3"/>
      <c r="M590" s="3"/>
      <c r="N590" s="33">
        <f t="shared" si="101"/>
        <v>0</v>
      </c>
      <c r="O590" s="28">
        <f t="shared" si="106"/>
        <v>101499.96999999997</v>
      </c>
      <c r="P590" s="9" t="s">
        <v>31</v>
      </c>
      <c r="Q590" s="2">
        <v>45623</v>
      </c>
      <c r="R590" s="38"/>
      <c r="S590" s="52"/>
      <c r="T590" s="4">
        <f t="shared" si="102"/>
        <v>2925</v>
      </c>
      <c r="U590" s="5"/>
      <c r="V590" s="4">
        <f t="shared" si="95"/>
        <v>2925</v>
      </c>
      <c r="W590" s="4">
        <f t="shared" si="107"/>
        <v>100182.74500000001</v>
      </c>
      <c r="X590" s="3"/>
      <c r="Y590" s="3"/>
      <c r="Z590" s="25">
        <f t="shared" si="108"/>
        <v>0</v>
      </c>
      <c r="AA590" s="72">
        <f t="shared" si="109"/>
        <v>100182.74500000001</v>
      </c>
      <c r="AB590" s="9" t="s">
        <v>31</v>
      </c>
      <c r="AC590" s="19">
        <v>45623</v>
      </c>
      <c r="AD590" s="41"/>
      <c r="AE590" s="42"/>
      <c r="AF590" s="4">
        <f t="shared" si="97"/>
        <v>5325</v>
      </c>
      <c r="AG590" s="3"/>
      <c r="AH590" s="8"/>
      <c r="AI590" s="4">
        <f t="shared" si="96"/>
        <v>5325</v>
      </c>
      <c r="AJ590" s="4">
        <f t="shared" si="103"/>
        <v>362249.26949999994</v>
      </c>
      <c r="AK590" s="8"/>
      <c r="AL590" s="8"/>
      <c r="AM590" s="47"/>
      <c r="AN590" s="47"/>
      <c r="AO590" s="8"/>
      <c r="AP590" s="8"/>
      <c r="AQ590" s="47"/>
      <c r="AR590" s="47"/>
      <c r="AS590" s="8"/>
      <c r="AT590" s="8"/>
      <c r="AU590" s="47"/>
      <c r="AV590" s="47"/>
      <c r="AW590" s="8"/>
      <c r="AX590" s="8"/>
      <c r="AY590" s="47"/>
      <c r="AZ590" s="47"/>
      <c r="BA590" s="8"/>
      <c r="BB590" s="8"/>
      <c r="BC590" s="47"/>
      <c r="BD590" s="47"/>
      <c r="BE590" s="8"/>
      <c r="BF590" s="8"/>
      <c r="BG590" s="47"/>
      <c r="BH590" s="47"/>
      <c r="BI590" s="8"/>
      <c r="BJ590" s="3"/>
      <c r="BK590" s="47"/>
      <c r="BL590" s="47"/>
      <c r="BM590" s="24">
        <f t="shared" si="104"/>
        <v>0</v>
      </c>
      <c r="BN590" s="28">
        <f t="shared" si="98"/>
        <v>362249.26949999994</v>
      </c>
      <c r="BO590" s="2">
        <v>45623</v>
      </c>
    </row>
    <row r="591" spans="4:67" x14ac:dyDescent="0.25">
      <c r="D591" s="9" t="s">
        <v>32</v>
      </c>
      <c r="E591" s="80">
        <v>45624</v>
      </c>
      <c r="F591" s="38"/>
      <c r="G591" s="51"/>
      <c r="H591" s="4">
        <f t="shared" si="99"/>
        <v>1750</v>
      </c>
      <c r="I591" s="5"/>
      <c r="J591" s="4">
        <f t="shared" si="100"/>
        <v>1750</v>
      </c>
      <c r="K591" s="4">
        <f t="shared" si="105"/>
        <v>103249.96999999997</v>
      </c>
      <c r="L591" s="3"/>
      <c r="M591" s="3"/>
      <c r="N591" s="33">
        <f t="shared" si="101"/>
        <v>0</v>
      </c>
      <c r="O591" s="28">
        <f t="shared" si="106"/>
        <v>103249.96999999997</v>
      </c>
      <c r="P591" s="9" t="s">
        <v>32</v>
      </c>
      <c r="Q591" s="2">
        <v>45624</v>
      </c>
      <c r="R591" s="38"/>
      <c r="S591" s="52"/>
      <c r="T591" s="4">
        <f t="shared" si="102"/>
        <v>2925</v>
      </c>
      <c r="U591" s="5"/>
      <c r="V591" s="4">
        <f t="shared" ref="V591:V624" si="110">(S591+T591)-U591</f>
        <v>2925</v>
      </c>
      <c r="W591" s="4">
        <f t="shared" si="107"/>
        <v>103107.74500000001</v>
      </c>
      <c r="X591" s="3"/>
      <c r="Y591" s="3"/>
      <c r="Z591" s="25">
        <f t="shared" si="108"/>
        <v>0</v>
      </c>
      <c r="AA591" s="72">
        <f t="shared" si="109"/>
        <v>103107.74500000001</v>
      </c>
      <c r="AB591" s="9" t="s">
        <v>32</v>
      </c>
      <c r="AC591" s="19">
        <v>45624</v>
      </c>
      <c r="AD591" s="41"/>
      <c r="AE591" s="42"/>
      <c r="AF591" s="4">
        <f t="shared" si="97"/>
        <v>5325</v>
      </c>
      <c r="AG591" s="3"/>
      <c r="AH591" s="8"/>
      <c r="AI591" s="4">
        <f t="shared" ref="AI591:AI624" si="111">(AE591+AF591)-AH591</f>
        <v>5325</v>
      </c>
      <c r="AJ591" s="4">
        <f t="shared" si="103"/>
        <v>367574.26949999994</v>
      </c>
      <c r="AK591" s="8"/>
      <c r="AL591" s="8"/>
      <c r="AM591" s="47"/>
      <c r="AN591" s="47"/>
      <c r="AO591" s="8"/>
      <c r="AP591" s="8"/>
      <c r="AQ591" s="47"/>
      <c r="AR591" s="47"/>
      <c r="AS591" s="8"/>
      <c r="AT591" s="8"/>
      <c r="AU591" s="47"/>
      <c r="AV591" s="47"/>
      <c r="AW591" s="8"/>
      <c r="AX591" s="8"/>
      <c r="AY591" s="47"/>
      <c r="AZ591" s="47"/>
      <c r="BA591" s="8"/>
      <c r="BB591" s="8"/>
      <c r="BC591" s="47"/>
      <c r="BD591" s="47"/>
      <c r="BE591" s="8"/>
      <c r="BF591" s="8"/>
      <c r="BG591" s="47"/>
      <c r="BH591" s="47"/>
      <c r="BI591" s="8"/>
      <c r="BJ591" s="3"/>
      <c r="BK591" s="47"/>
      <c r="BL591" s="47"/>
      <c r="BM591" s="24">
        <f t="shared" si="104"/>
        <v>0</v>
      </c>
      <c r="BN591" s="28">
        <f t="shared" si="98"/>
        <v>367574.26949999994</v>
      </c>
      <c r="BO591" s="2">
        <v>45624</v>
      </c>
    </row>
    <row r="592" spans="4:67" x14ac:dyDescent="0.25">
      <c r="D592" s="9" t="s">
        <v>26</v>
      </c>
      <c r="E592" s="80">
        <v>45625</v>
      </c>
      <c r="F592" s="38"/>
      <c r="G592" s="51"/>
      <c r="H592" s="4">
        <f t="shared" si="99"/>
        <v>1750</v>
      </c>
      <c r="I592" s="5"/>
      <c r="J592" s="4">
        <f t="shared" si="100"/>
        <v>1750</v>
      </c>
      <c r="K592" s="4">
        <f t="shared" si="105"/>
        <v>104999.96999999997</v>
      </c>
      <c r="L592" s="3"/>
      <c r="M592" s="3"/>
      <c r="N592" s="33">
        <f t="shared" si="101"/>
        <v>0</v>
      </c>
      <c r="O592" s="28">
        <f t="shared" si="106"/>
        <v>104999.96999999997</v>
      </c>
      <c r="P592" s="9" t="s">
        <v>26</v>
      </c>
      <c r="Q592" s="2">
        <v>45625</v>
      </c>
      <c r="R592" s="38"/>
      <c r="S592" s="52"/>
      <c r="T592" s="4">
        <f t="shared" si="102"/>
        <v>2925</v>
      </c>
      <c r="U592" s="5"/>
      <c r="V592" s="4">
        <f t="shared" si="110"/>
        <v>2925</v>
      </c>
      <c r="W592" s="4">
        <f t="shared" si="107"/>
        <v>106032.74500000001</v>
      </c>
      <c r="X592" s="3"/>
      <c r="Y592" s="3"/>
      <c r="Z592" s="25">
        <f t="shared" si="108"/>
        <v>0</v>
      </c>
      <c r="AA592" s="72">
        <f t="shared" si="109"/>
        <v>106032.74500000001</v>
      </c>
      <c r="AB592" s="9" t="s">
        <v>26</v>
      </c>
      <c r="AC592" s="19">
        <v>45625</v>
      </c>
      <c r="AD592" s="41"/>
      <c r="AE592" s="42"/>
      <c r="AF592" s="4">
        <f t="shared" si="97"/>
        <v>5325</v>
      </c>
      <c r="AG592" s="3"/>
      <c r="AH592" s="8"/>
      <c r="AI592" s="4">
        <f t="shared" si="111"/>
        <v>5325</v>
      </c>
      <c r="AJ592" s="4">
        <f t="shared" si="103"/>
        <v>372899.26949999994</v>
      </c>
      <c r="AK592" s="8"/>
      <c r="AL592" s="8"/>
      <c r="AM592" s="47"/>
      <c r="AN592" s="47"/>
      <c r="AO592" s="8"/>
      <c r="AP592" s="8"/>
      <c r="AQ592" s="47"/>
      <c r="AR592" s="47"/>
      <c r="AS592" s="8"/>
      <c r="AT592" s="8"/>
      <c r="AU592" s="47"/>
      <c r="AV592" s="47"/>
      <c r="AW592" s="8"/>
      <c r="AX592" s="8"/>
      <c r="AY592" s="47"/>
      <c r="AZ592" s="47"/>
      <c r="BA592" s="8"/>
      <c r="BB592" s="8"/>
      <c r="BC592" s="47"/>
      <c r="BD592" s="47"/>
      <c r="BE592" s="8"/>
      <c r="BF592" s="8"/>
      <c r="BG592" s="47"/>
      <c r="BH592" s="47"/>
      <c r="BI592" s="8"/>
      <c r="BJ592" s="3"/>
      <c r="BK592" s="47"/>
      <c r="BL592" s="47"/>
      <c r="BM592" s="24">
        <f t="shared" si="104"/>
        <v>0</v>
      </c>
      <c r="BN592" s="28">
        <f t="shared" si="98"/>
        <v>372899.26949999994</v>
      </c>
      <c r="BO592" s="2">
        <v>45625</v>
      </c>
    </row>
    <row r="593" spans="4:67" s="13" customFormat="1" x14ac:dyDescent="0.25">
      <c r="D593" s="13" t="s">
        <v>27</v>
      </c>
      <c r="E593" s="81">
        <v>45626</v>
      </c>
      <c r="F593" s="10"/>
      <c r="G593" s="54"/>
      <c r="H593" s="11">
        <f t="shared" si="99"/>
        <v>1750</v>
      </c>
      <c r="I593" s="12"/>
      <c r="J593" s="11">
        <f t="shared" si="100"/>
        <v>1750</v>
      </c>
      <c r="K593" s="11">
        <f t="shared" si="105"/>
        <v>106749.96999999997</v>
      </c>
      <c r="L593" s="11"/>
      <c r="M593" s="11"/>
      <c r="N593" s="26">
        <f t="shared" si="101"/>
        <v>0</v>
      </c>
      <c r="O593" s="11">
        <f t="shared" si="106"/>
        <v>106749.96999999997</v>
      </c>
      <c r="P593" s="13" t="s">
        <v>27</v>
      </c>
      <c r="Q593" s="10">
        <v>45626</v>
      </c>
      <c r="R593" s="10"/>
      <c r="S593" s="53"/>
      <c r="T593" s="11">
        <f t="shared" si="102"/>
        <v>2925</v>
      </c>
      <c r="U593" s="12"/>
      <c r="V593" s="11">
        <f t="shared" si="110"/>
        <v>2925</v>
      </c>
      <c r="W593" s="11">
        <f t="shared" si="107"/>
        <v>108957.74500000001</v>
      </c>
      <c r="X593" s="11"/>
      <c r="Y593" s="11"/>
      <c r="Z593" s="26">
        <f t="shared" si="108"/>
        <v>0</v>
      </c>
      <c r="AA593" s="53">
        <f t="shared" si="109"/>
        <v>108957.74500000001</v>
      </c>
      <c r="AB593" s="13" t="s">
        <v>27</v>
      </c>
      <c r="AC593" s="20">
        <v>45626</v>
      </c>
      <c r="AD593" s="14"/>
      <c r="AE593" s="27"/>
      <c r="AF593" s="11">
        <f t="shared" si="97"/>
        <v>5325</v>
      </c>
      <c r="AG593" s="11"/>
      <c r="AH593" s="15"/>
      <c r="AI593" s="11">
        <f t="shared" si="111"/>
        <v>5325</v>
      </c>
      <c r="AJ593" s="11">
        <f t="shared" si="103"/>
        <v>378224.26949999994</v>
      </c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1"/>
      <c r="BK593" s="15"/>
      <c r="BL593" s="15"/>
      <c r="BM593" s="23">
        <f t="shared" si="104"/>
        <v>0</v>
      </c>
      <c r="BN593" s="11">
        <f t="shared" si="98"/>
        <v>378224.26949999994</v>
      </c>
      <c r="BO593" s="10">
        <v>45626</v>
      </c>
    </row>
    <row r="594" spans="4:67" s="94" customFormat="1" x14ac:dyDescent="0.25">
      <c r="D594" s="94" t="s">
        <v>28</v>
      </c>
      <c r="E594" s="95">
        <v>45627</v>
      </c>
      <c r="F594" s="96"/>
      <c r="G594" s="97"/>
      <c r="H594" s="98">
        <f t="shared" si="99"/>
        <v>1750</v>
      </c>
      <c r="I594" s="99"/>
      <c r="J594" s="98">
        <f t="shared" si="100"/>
        <v>1750</v>
      </c>
      <c r="K594" s="98">
        <f t="shared" si="105"/>
        <v>108499.96999999997</v>
      </c>
      <c r="L594" s="98"/>
      <c r="M594" s="98"/>
      <c r="N594" s="100">
        <f t="shared" si="101"/>
        <v>0</v>
      </c>
      <c r="O594" s="98">
        <f t="shared" si="106"/>
        <v>108499.96999999997</v>
      </c>
      <c r="P594" s="94" t="s">
        <v>28</v>
      </c>
      <c r="Q594" s="96">
        <v>45627</v>
      </c>
      <c r="R594" s="96"/>
      <c r="S594" s="101"/>
      <c r="T594" s="98">
        <f t="shared" si="102"/>
        <v>2925</v>
      </c>
      <c r="U594" s="99"/>
      <c r="V594" s="98">
        <f t="shared" si="110"/>
        <v>2925</v>
      </c>
      <c r="W594" s="98">
        <f t="shared" si="107"/>
        <v>111882.74500000001</v>
      </c>
      <c r="X594" s="98"/>
      <c r="Y594" s="98"/>
      <c r="Z594" s="100">
        <f t="shared" si="108"/>
        <v>0</v>
      </c>
      <c r="AA594" s="101">
        <f t="shared" si="109"/>
        <v>111882.74500000001</v>
      </c>
      <c r="AB594" s="94" t="s">
        <v>28</v>
      </c>
      <c r="AC594" s="102">
        <v>45627</v>
      </c>
      <c r="AD594" s="103"/>
      <c r="AE594" s="104"/>
      <c r="AF594" s="98">
        <f t="shared" si="97"/>
        <v>5325</v>
      </c>
      <c r="AG594" s="98"/>
      <c r="AH594" s="105"/>
      <c r="AI594" s="98">
        <f t="shared" si="111"/>
        <v>5325</v>
      </c>
      <c r="AJ594" s="98">
        <f t="shared" si="103"/>
        <v>383549.26949999994</v>
      </c>
      <c r="AK594" s="105"/>
      <c r="AL594" s="105"/>
      <c r="AM594" s="105"/>
      <c r="AN594" s="105"/>
      <c r="AO594" s="105"/>
      <c r="AP594" s="105"/>
      <c r="AQ594" s="105"/>
      <c r="AR594" s="105"/>
      <c r="AS594" s="105"/>
      <c r="AT594" s="105"/>
      <c r="AU594" s="105"/>
      <c r="AV594" s="105"/>
      <c r="AW594" s="105"/>
      <c r="AX594" s="105"/>
      <c r="AY594" s="105"/>
      <c r="AZ594" s="105"/>
      <c r="BA594" s="105"/>
      <c r="BB594" s="105"/>
      <c r="BC594" s="105"/>
      <c r="BD594" s="105"/>
      <c r="BE594" s="105"/>
      <c r="BF594" s="105"/>
      <c r="BG594" s="105"/>
      <c r="BH594" s="105"/>
      <c r="BI594" s="105"/>
      <c r="BJ594" s="98"/>
      <c r="BK594" s="105"/>
      <c r="BL594" s="105"/>
      <c r="BM594" s="106">
        <f t="shared" si="104"/>
        <v>0</v>
      </c>
      <c r="BN594" s="98">
        <f t="shared" si="98"/>
        <v>383549.26949999994</v>
      </c>
      <c r="BO594" s="96">
        <v>45627</v>
      </c>
    </row>
    <row r="595" spans="4:67" x14ac:dyDescent="0.25">
      <c r="D595" s="9" t="s">
        <v>29</v>
      </c>
      <c r="E595" s="80">
        <v>45628</v>
      </c>
      <c r="F595" s="38"/>
      <c r="G595" s="51"/>
      <c r="H595" s="4">
        <f t="shared" si="99"/>
        <v>1750</v>
      </c>
      <c r="I595" s="5"/>
      <c r="J595" s="4">
        <f t="shared" si="100"/>
        <v>1750</v>
      </c>
      <c r="K595" s="4">
        <f t="shared" si="105"/>
        <v>110249.96999999997</v>
      </c>
      <c r="L595" s="3"/>
      <c r="M595" s="3"/>
      <c r="N595" s="33">
        <f t="shared" si="101"/>
        <v>0</v>
      </c>
      <c r="O595" s="28">
        <f t="shared" si="106"/>
        <v>110249.96999999997</v>
      </c>
      <c r="P595" s="9" t="s">
        <v>29</v>
      </c>
      <c r="Q595" s="2">
        <v>45628</v>
      </c>
      <c r="R595" s="38"/>
      <c r="S595" s="52"/>
      <c r="T595" s="4">
        <f t="shared" si="102"/>
        <v>2925</v>
      </c>
      <c r="U595" s="5"/>
      <c r="V595" s="4">
        <f t="shared" si="110"/>
        <v>2925</v>
      </c>
      <c r="W595" s="4">
        <f t="shared" si="107"/>
        <v>114807.74500000001</v>
      </c>
      <c r="X595" s="3"/>
      <c r="Y595" s="3"/>
      <c r="Z595" s="25">
        <f t="shared" si="108"/>
        <v>0</v>
      </c>
      <c r="AA595" s="72">
        <f t="shared" si="109"/>
        <v>114807.74500000001</v>
      </c>
      <c r="AB595" s="9" t="s">
        <v>29</v>
      </c>
      <c r="AC595" s="19">
        <v>45628</v>
      </c>
      <c r="AD595" s="41"/>
      <c r="AE595" s="42"/>
      <c r="AF595" s="4">
        <f t="shared" si="97"/>
        <v>5325</v>
      </c>
      <c r="AG595" s="3"/>
      <c r="AH595" s="8"/>
      <c r="AI595" s="4">
        <f t="shared" si="111"/>
        <v>5325</v>
      </c>
      <c r="AJ595" s="4">
        <f t="shared" si="103"/>
        <v>388874.26949999994</v>
      </c>
      <c r="AK595" s="8"/>
      <c r="AL595" s="8"/>
      <c r="AM595" s="47"/>
      <c r="AN595" s="47"/>
      <c r="AO595" s="8"/>
      <c r="AP595" s="8"/>
      <c r="AQ595" s="47"/>
      <c r="AR595" s="47"/>
      <c r="AS595" s="8"/>
      <c r="AT595" s="8"/>
      <c r="AU595" s="47"/>
      <c r="AV595" s="47"/>
      <c r="AW595" s="8"/>
      <c r="AX595" s="8"/>
      <c r="AY595" s="47"/>
      <c r="AZ595" s="47"/>
      <c r="BA595" s="8"/>
      <c r="BB595" s="8"/>
      <c r="BC595" s="47"/>
      <c r="BD595" s="47"/>
      <c r="BE595" s="8"/>
      <c r="BF595" s="8"/>
      <c r="BG595" s="47"/>
      <c r="BH595" s="47"/>
      <c r="BI595" s="8"/>
      <c r="BJ595" s="3"/>
      <c r="BK595" s="47"/>
      <c r="BL595" s="47"/>
      <c r="BM595" s="24">
        <f t="shared" si="104"/>
        <v>0</v>
      </c>
      <c r="BN595" s="28">
        <f t="shared" si="98"/>
        <v>388874.26949999994</v>
      </c>
      <c r="BO595" s="2">
        <v>45628</v>
      </c>
    </row>
    <row r="596" spans="4:67" x14ac:dyDescent="0.25">
      <c r="D596" s="9" t="s">
        <v>30</v>
      </c>
      <c r="E596" s="80">
        <v>45629</v>
      </c>
      <c r="F596" s="38"/>
      <c r="G596" s="51"/>
      <c r="H596" s="4">
        <f t="shared" si="99"/>
        <v>1750</v>
      </c>
      <c r="I596" s="5"/>
      <c r="J596" s="4">
        <f t="shared" si="100"/>
        <v>1750</v>
      </c>
      <c r="K596" s="4">
        <f t="shared" si="105"/>
        <v>111999.96999999997</v>
      </c>
      <c r="L596" s="3"/>
      <c r="M596" s="3"/>
      <c r="N596" s="33">
        <f t="shared" si="101"/>
        <v>0</v>
      </c>
      <c r="O596" s="28">
        <f t="shared" si="106"/>
        <v>111999.96999999997</v>
      </c>
      <c r="P596" s="9" t="s">
        <v>30</v>
      </c>
      <c r="Q596" s="2">
        <v>45629</v>
      </c>
      <c r="R596" s="38"/>
      <c r="S596" s="52"/>
      <c r="T596" s="4">
        <f t="shared" si="102"/>
        <v>2925</v>
      </c>
      <c r="U596" s="5"/>
      <c r="V596" s="4">
        <f t="shared" si="110"/>
        <v>2925</v>
      </c>
      <c r="W596" s="4">
        <f t="shared" si="107"/>
        <v>117732.74500000001</v>
      </c>
      <c r="X596" s="3"/>
      <c r="Y596" s="3"/>
      <c r="Z596" s="25">
        <f t="shared" si="108"/>
        <v>0</v>
      </c>
      <c r="AA596" s="72">
        <f t="shared" si="109"/>
        <v>117732.74500000001</v>
      </c>
      <c r="AB596" s="9" t="s">
        <v>30</v>
      </c>
      <c r="AC596" s="19">
        <v>45629</v>
      </c>
      <c r="AD596" s="41"/>
      <c r="AE596" s="42"/>
      <c r="AF596" s="4">
        <f t="shared" si="97"/>
        <v>5325</v>
      </c>
      <c r="AG596" s="3"/>
      <c r="AH596" s="8"/>
      <c r="AI596" s="4">
        <f t="shared" si="111"/>
        <v>5325</v>
      </c>
      <c r="AJ596" s="4">
        <f t="shared" si="103"/>
        <v>394199.26949999994</v>
      </c>
      <c r="AK596" s="3"/>
      <c r="AL596" s="8"/>
      <c r="AM596" s="47"/>
      <c r="AN596" s="47"/>
      <c r="AO596" s="8"/>
      <c r="AP596" s="8"/>
      <c r="AQ596" s="47"/>
      <c r="AR596" s="47"/>
      <c r="AS596" s="8"/>
      <c r="AT596" s="8"/>
      <c r="AU596" s="47"/>
      <c r="AV596" s="47"/>
      <c r="AW596" s="8"/>
      <c r="AX596" s="8"/>
      <c r="AY596" s="47"/>
      <c r="AZ596" s="47"/>
      <c r="BA596" s="8"/>
      <c r="BB596" s="8"/>
      <c r="BC596" s="47"/>
      <c r="BD596" s="47"/>
      <c r="BE596" s="8"/>
      <c r="BF596" s="8"/>
      <c r="BG596" s="47"/>
      <c r="BH596" s="47"/>
      <c r="BI596" s="8"/>
      <c r="BJ596" s="3"/>
      <c r="BK596" s="47"/>
      <c r="BL596" s="47"/>
      <c r="BM596" s="24">
        <f t="shared" si="104"/>
        <v>0</v>
      </c>
      <c r="BN596" s="28">
        <f t="shared" si="98"/>
        <v>394199.26949999994</v>
      </c>
      <c r="BO596" s="2">
        <v>45629</v>
      </c>
    </row>
    <row r="597" spans="4:67" x14ac:dyDescent="0.25">
      <c r="D597" s="9" t="s">
        <v>31</v>
      </c>
      <c r="E597" s="80">
        <v>45630</v>
      </c>
      <c r="F597" s="38"/>
      <c r="G597" s="51"/>
      <c r="H597" s="4">
        <f t="shared" si="99"/>
        <v>1750</v>
      </c>
      <c r="I597" s="5"/>
      <c r="J597" s="4">
        <f t="shared" si="100"/>
        <v>1750</v>
      </c>
      <c r="K597" s="4">
        <f t="shared" si="105"/>
        <v>113749.96999999997</v>
      </c>
      <c r="L597" s="3"/>
      <c r="M597" s="3"/>
      <c r="N597" s="33">
        <f t="shared" si="101"/>
        <v>0</v>
      </c>
      <c r="O597" s="28">
        <f t="shared" si="106"/>
        <v>113749.96999999997</v>
      </c>
      <c r="P597" s="9" t="s">
        <v>31</v>
      </c>
      <c r="Q597" s="2">
        <v>45630</v>
      </c>
      <c r="R597" s="38"/>
      <c r="S597" s="52"/>
      <c r="T597" s="4">
        <f t="shared" si="102"/>
        <v>2925</v>
      </c>
      <c r="U597" s="5"/>
      <c r="V597" s="4">
        <f t="shared" si="110"/>
        <v>2925</v>
      </c>
      <c r="W597" s="4">
        <f t="shared" si="107"/>
        <v>120657.74500000001</v>
      </c>
      <c r="X597" s="3"/>
      <c r="Y597" s="3"/>
      <c r="Z597" s="25">
        <f t="shared" si="108"/>
        <v>0</v>
      </c>
      <c r="AA597" s="72">
        <f t="shared" si="109"/>
        <v>120657.74500000001</v>
      </c>
      <c r="AB597" s="9" t="s">
        <v>31</v>
      </c>
      <c r="AC597" s="19">
        <v>45630</v>
      </c>
      <c r="AD597" s="41"/>
      <c r="AE597" s="42"/>
      <c r="AF597" s="4">
        <f t="shared" si="97"/>
        <v>5325</v>
      </c>
      <c r="AG597" s="3"/>
      <c r="AH597" s="8"/>
      <c r="AI597" s="4">
        <f t="shared" si="111"/>
        <v>5325</v>
      </c>
      <c r="AJ597" s="4">
        <f t="shared" si="103"/>
        <v>399524.26949999994</v>
      </c>
      <c r="AK597" s="8"/>
      <c r="AL597" s="8"/>
      <c r="AM597" s="47"/>
      <c r="AN597" s="47"/>
      <c r="AO597" s="8"/>
      <c r="AP597" s="8"/>
      <c r="AQ597" s="47"/>
      <c r="AR597" s="47"/>
      <c r="AS597" s="8"/>
      <c r="AT597" s="8"/>
      <c r="AU597" s="47"/>
      <c r="AV597" s="47"/>
      <c r="AW597" s="8"/>
      <c r="AX597" s="8"/>
      <c r="AY597" s="47"/>
      <c r="AZ597" s="47"/>
      <c r="BA597" s="3"/>
      <c r="BB597" s="8"/>
      <c r="BC597" s="47"/>
      <c r="BD597" s="47"/>
      <c r="BE597" s="8"/>
      <c r="BF597" s="8"/>
      <c r="BG597" s="47"/>
      <c r="BH597" s="47"/>
      <c r="BI597" s="8"/>
      <c r="BJ597" s="3"/>
      <c r="BK597" s="47"/>
      <c r="BL597" s="47"/>
      <c r="BM597" s="24">
        <f t="shared" si="104"/>
        <v>0</v>
      </c>
      <c r="BN597" s="28">
        <f t="shared" si="98"/>
        <v>399524.26949999994</v>
      </c>
      <c r="BO597" s="2">
        <v>45630</v>
      </c>
    </row>
    <row r="598" spans="4:67" x14ac:dyDescent="0.25">
      <c r="D598" s="9" t="s">
        <v>32</v>
      </c>
      <c r="E598" s="80">
        <v>45631</v>
      </c>
      <c r="F598" s="38"/>
      <c r="G598" s="51"/>
      <c r="H598" s="4">
        <f t="shared" si="99"/>
        <v>1750</v>
      </c>
      <c r="I598" s="5"/>
      <c r="J598" s="4">
        <f t="shared" si="100"/>
        <v>1750</v>
      </c>
      <c r="K598" s="4">
        <f t="shared" si="105"/>
        <v>115499.96999999997</v>
      </c>
      <c r="L598" s="3"/>
      <c r="M598" s="3"/>
      <c r="N598" s="33">
        <f t="shared" si="101"/>
        <v>0</v>
      </c>
      <c r="O598" s="28">
        <f t="shared" si="106"/>
        <v>115499.96999999997</v>
      </c>
      <c r="P598" s="9" t="s">
        <v>32</v>
      </c>
      <c r="Q598" s="2">
        <v>45631</v>
      </c>
      <c r="R598" s="38"/>
      <c r="S598" s="52"/>
      <c r="T598" s="4">
        <f t="shared" si="102"/>
        <v>2925</v>
      </c>
      <c r="U598" s="5"/>
      <c r="V598" s="4">
        <f t="shared" si="110"/>
        <v>2925</v>
      </c>
      <c r="W598" s="4">
        <f t="shared" si="107"/>
        <v>123582.74500000001</v>
      </c>
      <c r="X598" s="3"/>
      <c r="Y598" s="3"/>
      <c r="Z598" s="25">
        <f t="shared" si="108"/>
        <v>0</v>
      </c>
      <c r="AA598" s="72">
        <f t="shared" si="109"/>
        <v>123582.74500000001</v>
      </c>
      <c r="AB598" s="9" t="s">
        <v>32</v>
      </c>
      <c r="AC598" s="19">
        <v>45631</v>
      </c>
      <c r="AD598" s="41"/>
      <c r="AE598" s="42"/>
      <c r="AF598" s="4">
        <f t="shared" si="97"/>
        <v>5325</v>
      </c>
      <c r="AG598" s="3"/>
      <c r="AH598" s="8"/>
      <c r="AI598" s="4">
        <f t="shared" si="111"/>
        <v>5325</v>
      </c>
      <c r="AJ598" s="4">
        <f t="shared" si="103"/>
        <v>404849.26949999994</v>
      </c>
      <c r="AK598" s="8"/>
      <c r="AL598" s="8"/>
      <c r="AM598" s="47"/>
      <c r="AN598" s="47"/>
      <c r="AO598" s="8"/>
      <c r="AP598" s="8"/>
      <c r="AQ598" s="47"/>
      <c r="AR598" s="47"/>
      <c r="AS598" s="8"/>
      <c r="AT598" s="8"/>
      <c r="AU598" s="47"/>
      <c r="AV598" s="47"/>
      <c r="AW598" s="8"/>
      <c r="AX598" s="8"/>
      <c r="AY598" s="47"/>
      <c r="AZ598" s="47"/>
      <c r="BA598" s="8"/>
      <c r="BB598" s="8"/>
      <c r="BC598" s="47"/>
      <c r="BD598" s="47"/>
      <c r="BE598" s="8"/>
      <c r="BF598" s="8"/>
      <c r="BG598" s="47"/>
      <c r="BH598" s="47"/>
      <c r="BI598" s="8"/>
      <c r="BJ598" s="3"/>
      <c r="BK598" s="47"/>
      <c r="BL598" s="47"/>
      <c r="BM598" s="24">
        <f t="shared" si="104"/>
        <v>0</v>
      </c>
      <c r="BN598" s="28">
        <f t="shared" si="98"/>
        <v>404849.26949999994</v>
      </c>
      <c r="BO598" s="2">
        <v>45631</v>
      </c>
    </row>
    <row r="599" spans="4:67" x14ac:dyDescent="0.25">
      <c r="D599" s="9" t="s">
        <v>26</v>
      </c>
      <c r="E599" s="80">
        <v>45632</v>
      </c>
      <c r="F599" s="38"/>
      <c r="G599" s="51"/>
      <c r="H599" s="4">
        <f t="shared" si="99"/>
        <v>1750</v>
      </c>
      <c r="I599" s="5"/>
      <c r="J599" s="4">
        <f t="shared" si="100"/>
        <v>1750</v>
      </c>
      <c r="K599" s="4">
        <f t="shared" si="105"/>
        <v>117249.96999999997</v>
      </c>
      <c r="L599" s="3"/>
      <c r="M599" s="3"/>
      <c r="N599" s="33">
        <f t="shared" si="101"/>
        <v>0</v>
      </c>
      <c r="O599" s="28">
        <f t="shared" si="106"/>
        <v>117249.96999999997</v>
      </c>
      <c r="P599" s="9" t="s">
        <v>26</v>
      </c>
      <c r="Q599" s="2">
        <v>45632</v>
      </c>
      <c r="R599" s="38"/>
      <c r="S599" s="52"/>
      <c r="T599" s="4">
        <f t="shared" si="102"/>
        <v>2925</v>
      </c>
      <c r="U599" s="5"/>
      <c r="V599" s="4">
        <f t="shared" si="110"/>
        <v>2925</v>
      </c>
      <c r="W599" s="4">
        <f t="shared" si="107"/>
        <v>126507.74500000001</v>
      </c>
      <c r="X599" s="3"/>
      <c r="Y599" s="3"/>
      <c r="Z599" s="25">
        <f t="shared" si="108"/>
        <v>0</v>
      </c>
      <c r="AA599" s="72">
        <f t="shared" si="109"/>
        <v>126507.74500000001</v>
      </c>
      <c r="AB599" s="9" t="s">
        <v>26</v>
      </c>
      <c r="AC599" s="19">
        <v>45632</v>
      </c>
      <c r="AD599" s="41"/>
      <c r="AE599" s="42"/>
      <c r="AF599" s="4">
        <f t="shared" si="97"/>
        <v>5325</v>
      </c>
      <c r="AG599" s="3"/>
      <c r="AH599" s="8"/>
      <c r="AI599" s="4">
        <f t="shared" si="111"/>
        <v>5325</v>
      </c>
      <c r="AJ599" s="4">
        <f t="shared" si="103"/>
        <v>410174.26949999994</v>
      </c>
      <c r="AK599" s="8"/>
      <c r="AL599" s="8"/>
      <c r="AM599" s="47"/>
      <c r="AN599" s="47"/>
      <c r="AO599" s="8"/>
      <c r="AP599" s="8"/>
      <c r="AQ599" s="47"/>
      <c r="AR599" s="47"/>
      <c r="AS599" s="8"/>
      <c r="AT599" s="8"/>
      <c r="AU599" s="47"/>
      <c r="AV599" s="47"/>
      <c r="AW599" s="8"/>
      <c r="AX599" s="8"/>
      <c r="AY599" s="47"/>
      <c r="AZ599" s="47"/>
      <c r="BA599" s="8"/>
      <c r="BB599" s="8"/>
      <c r="BC599" s="47"/>
      <c r="BD599" s="47"/>
      <c r="BE599" s="8"/>
      <c r="BF599" s="8"/>
      <c r="BG599" s="47"/>
      <c r="BH599" s="47"/>
      <c r="BI599" s="8"/>
      <c r="BJ599" s="3"/>
      <c r="BK599" s="47"/>
      <c r="BL599" s="47"/>
      <c r="BM599" s="24">
        <f t="shared" si="104"/>
        <v>0</v>
      </c>
      <c r="BN599" s="28">
        <f t="shared" si="98"/>
        <v>410174.26949999994</v>
      </c>
      <c r="BO599" s="2">
        <v>45632</v>
      </c>
    </row>
    <row r="600" spans="4:67" x14ac:dyDescent="0.25">
      <c r="D600" s="9" t="s">
        <v>27</v>
      </c>
      <c r="E600" s="80">
        <v>45633</v>
      </c>
      <c r="F600" s="38"/>
      <c r="G600" s="51"/>
      <c r="H600" s="4">
        <f t="shared" si="99"/>
        <v>1750</v>
      </c>
      <c r="I600" s="5"/>
      <c r="J600" s="4">
        <f t="shared" si="100"/>
        <v>1750</v>
      </c>
      <c r="K600" s="4">
        <f t="shared" si="105"/>
        <v>118999.96999999997</v>
      </c>
      <c r="L600" s="3"/>
      <c r="M600" s="3"/>
      <c r="N600" s="33">
        <f t="shared" si="101"/>
        <v>0</v>
      </c>
      <c r="O600" s="28">
        <f t="shared" si="106"/>
        <v>118999.96999999997</v>
      </c>
      <c r="P600" s="9" t="s">
        <v>27</v>
      </c>
      <c r="Q600" s="2">
        <v>45633</v>
      </c>
      <c r="R600" s="38"/>
      <c r="S600" s="52"/>
      <c r="T600" s="4">
        <f t="shared" si="102"/>
        <v>2925</v>
      </c>
      <c r="U600" s="5"/>
      <c r="V600" s="4">
        <f t="shared" si="110"/>
        <v>2925</v>
      </c>
      <c r="W600" s="4">
        <f t="shared" si="107"/>
        <v>129432.74500000001</v>
      </c>
      <c r="X600" s="3"/>
      <c r="Y600" s="3"/>
      <c r="Z600" s="25">
        <f t="shared" si="108"/>
        <v>0</v>
      </c>
      <c r="AA600" s="72">
        <f t="shared" si="109"/>
        <v>129432.74500000001</v>
      </c>
      <c r="AB600" s="9" t="s">
        <v>27</v>
      </c>
      <c r="AC600" s="19">
        <v>45633</v>
      </c>
      <c r="AD600" s="41"/>
      <c r="AE600" s="42"/>
      <c r="AF600" s="4">
        <f t="shared" si="97"/>
        <v>5325</v>
      </c>
      <c r="AG600" s="3"/>
      <c r="AH600" s="8"/>
      <c r="AI600" s="4">
        <f t="shared" si="111"/>
        <v>5325</v>
      </c>
      <c r="AJ600" s="4">
        <f t="shared" si="103"/>
        <v>415499.26949999994</v>
      </c>
      <c r="AK600" s="8"/>
      <c r="AL600" s="8"/>
      <c r="AM600" s="47"/>
      <c r="AN600" s="47"/>
      <c r="AO600" s="8"/>
      <c r="AP600" s="8"/>
      <c r="AQ600" s="47"/>
      <c r="AR600" s="47"/>
      <c r="AS600" s="8"/>
      <c r="AT600" s="8"/>
      <c r="AU600" s="47"/>
      <c r="AV600" s="47"/>
      <c r="AW600" s="8"/>
      <c r="AX600" s="8"/>
      <c r="AY600" s="47"/>
      <c r="AZ600" s="47"/>
      <c r="BA600" s="8"/>
      <c r="BB600" s="8"/>
      <c r="BC600" s="47"/>
      <c r="BD600" s="47"/>
      <c r="BE600" s="8"/>
      <c r="BF600" s="8"/>
      <c r="BG600" s="47"/>
      <c r="BH600" s="47"/>
      <c r="BI600" s="8"/>
      <c r="BJ600" s="3"/>
      <c r="BK600" s="47"/>
      <c r="BL600" s="47"/>
      <c r="BM600" s="24">
        <f t="shared" si="104"/>
        <v>0</v>
      </c>
      <c r="BN600" s="28">
        <f t="shared" si="98"/>
        <v>415499.26949999994</v>
      </c>
      <c r="BO600" s="2">
        <v>45633</v>
      </c>
    </row>
    <row r="601" spans="4:67" x14ac:dyDescent="0.25">
      <c r="D601" s="9" t="s">
        <v>28</v>
      </c>
      <c r="E601" s="80">
        <v>45634</v>
      </c>
      <c r="F601" s="38"/>
      <c r="G601" s="51"/>
      <c r="H601" s="4">
        <f t="shared" si="99"/>
        <v>1750</v>
      </c>
      <c r="I601" s="5"/>
      <c r="J601" s="4">
        <f t="shared" si="100"/>
        <v>1750</v>
      </c>
      <c r="K601" s="4">
        <f t="shared" si="105"/>
        <v>120749.96999999997</v>
      </c>
      <c r="L601" s="3"/>
      <c r="M601" s="3"/>
      <c r="N601" s="33">
        <f t="shared" si="101"/>
        <v>0</v>
      </c>
      <c r="O601" s="28">
        <f t="shared" si="106"/>
        <v>120749.96999999997</v>
      </c>
      <c r="P601" s="9" t="s">
        <v>28</v>
      </c>
      <c r="Q601" s="2">
        <v>45634</v>
      </c>
      <c r="R601" s="38"/>
      <c r="S601" s="52"/>
      <c r="T601" s="4">
        <f t="shared" si="102"/>
        <v>2925</v>
      </c>
      <c r="U601" s="5"/>
      <c r="V601" s="4">
        <f t="shared" si="110"/>
        <v>2925</v>
      </c>
      <c r="W601" s="4">
        <f t="shared" si="107"/>
        <v>132357.745</v>
      </c>
      <c r="X601" s="3"/>
      <c r="Y601" s="3"/>
      <c r="Z601" s="25">
        <f t="shared" si="108"/>
        <v>0</v>
      </c>
      <c r="AA601" s="72">
        <f t="shared" si="109"/>
        <v>132357.745</v>
      </c>
      <c r="AB601" s="9" t="s">
        <v>28</v>
      </c>
      <c r="AC601" s="19">
        <v>45634</v>
      </c>
      <c r="AD601" s="41"/>
      <c r="AE601" s="42"/>
      <c r="AF601" s="4">
        <f t="shared" si="97"/>
        <v>5325</v>
      </c>
      <c r="AG601" s="3"/>
      <c r="AH601" s="8"/>
      <c r="AI601" s="4">
        <f t="shared" si="111"/>
        <v>5325</v>
      </c>
      <c r="AJ601" s="4">
        <f t="shared" si="103"/>
        <v>420824.26949999994</v>
      </c>
      <c r="AK601" s="8"/>
      <c r="AL601" s="8"/>
      <c r="AM601" s="47"/>
      <c r="AN601" s="47"/>
      <c r="AO601" s="8"/>
      <c r="AP601" s="8"/>
      <c r="AQ601" s="47"/>
      <c r="AR601" s="47"/>
      <c r="AS601" s="8"/>
      <c r="AT601" s="8"/>
      <c r="AU601" s="47"/>
      <c r="AV601" s="47"/>
      <c r="AW601" s="8"/>
      <c r="AX601" s="8"/>
      <c r="AY601" s="47"/>
      <c r="AZ601" s="47"/>
      <c r="BA601" s="3"/>
      <c r="BB601" s="8"/>
      <c r="BC601" s="47"/>
      <c r="BD601" s="47"/>
      <c r="BE601" s="8"/>
      <c r="BF601" s="8"/>
      <c r="BG601" s="47"/>
      <c r="BH601" s="47"/>
      <c r="BI601" s="8"/>
      <c r="BJ601" s="3"/>
      <c r="BK601" s="47"/>
      <c r="BL601" s="47"/>
      <c r="BM601" s="24">
        <f t="shared" si="104"/>
        <v>0</v>
      </c>
      <c r="BN601" s="28">
        <f t="shared" si="98"/>
        <v>420824.26949999994</v>
      </c>
      <c r="BO601" s="2">
        <v>45634</v>
      </c>
    </row>
    <row r="602" spans="4:67" x14ac:dyDescent="0.25">
      <c r="D602" s="9" t="s">
        <v>29</v>
      </c>
      <c r="E602" s="80">
        <v>45635</v>
      </c>
      <c r="F602" s="38"/>
      <c r="G602" s="51"/>
      <c r="H602" s="4">
        <f t="shared" si="99"/>
        <v>1750</v>
      </c>
      <c r="I602" s="5"/>
      <c r="J602" s="4">
        <f t="shared" si="100"/>
        <v>1750</v>
      </c>
      <c r="K602" s="4">
        <f t="shared" si="105"/>
        <v>122499.96999999997</v>
      </c>
      <c r="L602" s="3"/>
      <c r="M602" s="3"/>
      <c r="N602" s="33">
        <f t="shared" si="101"/>
        <v>0</v>
      </c>
      <c r="O602" s="28">
        <f t="shared" si="106"/>
        <v>122499.96999999997</v>
      </c>
      <c r="P602" s="9" t="s">
        <v>29</v>
      </c>
      <c r="Q602" s="2">
        <v>45635</v>
      </c>
      <c r="R602" s="38"/>
      <c r="S602" s="52"/>
      <c r="T602" s="4">
        <f t="shared" si="102"/>
        <v>2925</v>
      </c>
      <c r="U602" s="5"/>
      <c r="V602" s="4">
        <f t="shared" si="110"/>
        <v>2925</v>
      </c>
      <c r="W602" s="4">
        <f t="shared" si="107"/>
        <v>135282.745</v>
      </c>
      <c r="X602" s="3"/>
      <c r="Y602" s="3"/>
      <c r="Z602" s="25">
        <f t="shared" si="108"/>
        <v>0</v>
      </c>
      <c r="AA602" s="72">
        <f t="shared" si="109"/>
        <v>135282.745</v>
      </c>
      <c r="AB602" s="9" t="s">
        <v>29</v>
      </c>
      <c r="AC602" s="19">
        <v>45635</v>
      </c>
      <c r="AD602" s="41"/>
      <c r="AE602" s="42"/>
      <c r="AF602" s="4">
        <f t="shared" si="97"/>
        <v>5325</v>
      </c>
      <c r="AG602" s="3"/>
      <c r="AH602" s="8"/>
      <c r="AI602" s="4">
        <f t="shared" si="111"/>
        <v>5325</v>
      </c>
      <c r="AJ602" s="4">
        <f t="shared" si="103"/>
        <v>426149.26949999994</v>
      </c>
      <c r="AK602" s="8"/>
      <c r="AL602" s="8"/>
      <c r="AM602" s="47"/>
      <c r="AN602" s="47"/>
      <c r="AO602" s="8"/>
      <c r="AP602" s="8"/>
      <c r="AQ602" s="47"/>
      <c r="AR602" s="47"/>
      <c r="AS602" s="8"/>
      <c r="AT602" s="8"/>
      <c r="AU602" s="47"/>
      <c r="AV602" s="47"/>
      <c r="AW602" s="8"/>
      <c r="AX602" s="8"/>
      <c r="AY602" s="47"/>
      <c r="AZ602" s="47"/>
      <c r="BA602" s="8"/>
      <c r="BB602" s="8"/>
      <c r="BC602" s="47"/>
      <c r="BD602" s="47"/>
      <c r="BE602" s="8"/>
      <c r="BF602" s="8"/>
      <c r="BG602" s="47"/>
      <c r="BH602" s="47"/>
      <c r="BI602" s="8"/>
      <c r="BJ602" s="3"/>
      <c r="BK602" s="47"/>
      <c r="BL602" s="47"/>
      <c r="BM602" s="24">
        <f t="shared" si="104"/>
        <v>0</v>
      </c>
      <c r="BN602" s="28">
        <f t="shared" si="98"/>
        <v>426149.26949999994</v>
      </c>
      <c r="BO602" s="2">
        <v>45635</v>
      </c>
    </row>
    <row r="603" spans="4:67" x14ac:dyDescent="0.25">
      <c r="D603" s="9" t="s">
        <v>30</v>
      </c>
      <c r="E603" s="80">
        <v>45636</v>
      </c>
      <c r="F603" s="38"/>
      <c r="G603" s="51"/>
      <c r="H603" s="4">
        <f t="shared" si="99"/>
        <v>1750</v>
      </c>
      <c r="I603" s="5"/>
      <c r="J603" s="4">
        <f t="shared" si="100"/>
        <v>1750</v>
      </c>
      <c r="K603" s="4">
        <f t="shared" si="105"/>
        <v>124249.96999999997</v>
      </c>
      <c r="L603" s="3"/>
      <c r="M603" s="3"/>
      <c r="N603" s="33">
        <f t="shared" si="101"/>
        <v>0</v>
      </c>
      <c r="O603" s="28">
        <f t="shared" si="106"/>
        <v>124249.96999999997</v>
      </c>
      <c r="P603" s="9" t="s">
        <v>30</v>
      </c>
      <c r="Q603" s="2">
        <v>45636</v>
      </c>
      <c r="R603" s="38"/>
      <c r="S603" s="52"/>
      <c r="T603" s="4">
        <f t="shared" si="102"/>
        <v>2925</v>
      </c>
      <c r="U603" s="5"/>
      <c r="V603" s="4">
        <f t="shared" si="110"/>
        <v>2925</v>
      </c>
      <c r="W603" s="4">
        <f t="shared" si="107"/>
        <v>138207.745</v>
      </c>
      <c r="X603" s="3"/>
      <c r="Y603" s="3"/>
      <c r="Z603" s="25">
        <f t="shared" si="108"/>
        <v>0</v>
      </c>
      <c r="AA603" s="72">
        <f t="shared" si="109"/>
        <v>138207.745</v>
      </c>
      <c r="AB603" s="9" t="s">
        <v>30</v>
      </c>
      <c r="AC603" s="19">
        <v>45636</v>
      </c>
      <c r="AD603" s="41"/>
      <c r="AE603" s="42"/>
      <c r="AF603" s="4">
        <f t="shared" si="97"/>
        <v>5325</v>
      </c>
      <c r="AG603" s="3"/>
      <c r="AH603" s="8"/>
      <c r="AI603" s="4">
        <f t="shared" si="111"/>
        <v>5325</v>
      </c>
      <c r="AJ603" s="4">
        <f t="shared" si="103"/>
        <v>431474.26949999994</v>
      </c>
      <c r="AK603" s="8"/>
      <c r="AL603" s="8"/>
      <c r="AM603" s="47"/>
      <c r="AN603" s="47"/>
      <c r="AO603" s="8"/>
      <c r="AP603" s="8"/>
      <c r="AQ603" s="47"/>
      <c r="AR603" s="47"/>
      <c r="AS603" s="8"/>
      <c r="AT603" s="8"/>
      <c r="AU603" s="47"/>
      <c r="AV603" s="47"/>
      <c r="AW603" s="8"/>
      <c r="AX603" s="8"/>
      <c r="AY603" s="47"/>
      <c r="AZ603" s="47"/>
      <c r="BA603" s="8"/>
      <c r="BB603" s="8"/>
      <c r="BC603" s="47"/>
      <c r="BD603" s="47"/>
      <c r="BE603" s="8"/>
      <c r="BF603" s="8"/>
      <c r="BG603" s="47"/>
      <c r="BH603" s="47"/>
      <c r="BI603" s="8"/>
      <c r="BJ603" s="3"/>
      <c r="BK603" s="47"/>
      <c r="BL603" s="47"/>
      <c r="BM603" s="24">
        <f t="shared" si="104"/>
        <v>0</v>
      </c>
      <c r="BN603" s="28">
        <f t="shared" si="98"/>
        <v>431474.26949999994</v>
      </c>
      <c r="BO603" s="2">
        <v>45636</v>
      </c>
    </row>
    <row r="604" spans="4:67" x14ac:dyDescent="0.25">
      <c r="D604" s="9" t="s">
        <v>31</v>
      </c>
      <c r="E604" s="80">
        <v>45637</v>
      </c>
      <c r="F604" s="38"/>
      <c r="G604" s="51"/>
      <c r="H604" s="4">
        <f t="shared" si="99"/>
        <v>1750</v>
      </c>
      <c r="I604" s="5"/>
      <c r="J604" s="4">
        <f t="shared" si="100"/>
        <v>1750</v>
      </c>
      <c r="K604" s="4">
        <f t="shared" si="105"/>
        <v>125999.96999999997</v>
      </c>
      <c r="L604" s="3"/>
      <c r="M604" s="3"/>
      <c r="N604" s="33">
        <f t="shared" si="101"/>
        <v>0</v>
      </c>
      <c r="O604" s="28">
        <f t="shared" si="106"/>
        <v>125999.96999999997</v>
      </c>
      <c r="P604" s="9" t="s">
        <v>31</v>
      </c>
      <c r="Q604" s="2">
        <v>45637</v>
      </c>
      <c r="R604" s="38"/>
      <c r="S604" s="52"/>
      <c r="T604" s="4">
        <f t="shared" si="102"/>
        <v>2925</v>
      </c>
      <c r="U604" s="5"/>
      <c r="V604" s="4">
        <f t="shared" si="110"/>
        <v>2925</v>
      </c>
      <c r="W604" s="4">
        <f t="shared" si="107"/>
        <v>141132.745</v>
      </c>
      <c r="X604" s="3"/>
      <c r="Y604" s="3"/>
      <c r="Z604" s="25">
        <f t="shared" si="108"/>
        <v>0</v>
      </c>
      <c r="AA604" s="72">
        <f t="shared" si="109"/>
        <v>141132.745</v>
      </c>
      <c r="AB604" s="9" t="s">
        <v>31</v>
      </c>
      <c r="AC604" s="19">
        <v>45637</v>
      </c>
      <c r="AD604" s="41"/>
      <c r="AE604" s="42"/>
      <c r="AF604" s="4">
        <f t="shared" si="97"/>
        <v>5325</v>
      </c>
      <c r="AG604" s="3"/>
      <c r="AH604" s="8"/>
      <c r="AI604" s="4">
        <f t="shared" si="111"/>
        <v>5325</v>
      </c>
      <c r="AJ604" s="4">
        <f t="shared" si="103"/>
        <v>436799.26949999994</v>
      </c>
      <c r="AK604" s="8"/>
      <c r="AL604" s="8"/>
      <c r="AM604" s="47"/>
      <c r="AN604" s="47"/>
      <c r="AO604" s="8"/>
      <c r="AP604" s="8"/>
      <c r="AQ604" s="47"/>
      <c r="AR604" s="47"/>
      <c r="AS604" s="8"/>
      <c r="AT604" s="8"/>
      <c r="AU604" s="47"/>
      <c r="AV604" s="47"/>
      <c r="AW604" s="8"/>
      <c r="AX604" s="8"/>
      <c r="AY604" s="47"/>
      <c r="AZ604" s="47"/>
      <c r="BA604" s="8"/>
      <c r="BB604" s="8"/>
      <c r="BC604" s="47"/>
      <c r="BD604" s="47"/>
      <c r="BE604" s="8"/>
      <c r="BF604" s="8"/>
      <c r="BG604" s="47"/>
      <c r="BH604" s="47"/>
      <c r="BI604" s="8"/>
      <c r="BJ604" s="3"/>
      <c r="BK604" s="47"/>
      <c r="BL604" s="47"/>
      <c r="BM604" s="24">
        <f t="shared" si="104"/>
        <v>0</v>
      </c>
      <c r="BN604" s="28">
        <f t="shared" si="98"/>
        <v>436799.26949999994</v>
      </c>
      <c r="BO604" s="2">
        <v>45637</v>
      </c>
    </row>
    <row r="605" spans="4:67" x14ac:dyDescent="0.25">
      <c r="D605" s="9" t="s">
        <v>32</v>
      </c>
      <c r="E605" s="80">
        <v>45638</v>
      </c>
      <c r="F605" s="38"/>
      <c r="G605" s="51"/>
      <c r="H605" s="4">
        <f t="shared" si="99"/>
        <v>1750</v>
      </c>
      <c r="I605" s="5"/>
      <c r="J605" s="4">
        <f t="shared" si="100"/>
        <v>1750</v>
      </c>
      <c r="K605" s="4">
        <f t="shared" si="105"/>
        <v>127749.96999999997</v>
      </c>
      <c r="L605" s="3"/>
      <c r="M605" s="3"/>
      <c r="N605" s="33">
        <f t="shared" si="101"/>
        <v>0</v>
      </c>
      <c r="O605" s="28">
        <f t="shared" si="106"/>
        <v>127749.96999999997</v>
      </c>
      <c r="P605" s="9" t="s">
        <v>32</v>
      </c>
      <c r="Q605" s="2">
        <v>45638</v>
      </c>
      <c r="R605" s="38"/>
      <c r="S605" s="52"/>
      <c r="T605" s="4">
        <f t="shared" si="102"/>
        <v>2925</v>
      </c>
      <c r="U605" s="5"/>
      <c r="V605" s="4">
        <f t="shared" si="110"/>
        <v>2925</v>
      </c>
      <c r="W605" s="4">
        <f t="shared" si="107"/>
        <v>144057.745</v>
      </c>
      <c r="X605" s="3"/>
      <c r="Y605" s="3"/>
      <c r="Z605" s="25">
        <f t="shared" si="108"/>
        <v>0</v>
      </c>
      <c r="AA605" s="72">
        <f t="shared" si="109"/>
        <v>144057.745</v>
      </c>
      <c r="AB605" s="9" t="s">
        <v>32</v>
      </c>
      <c r="AC605" s="19">
        <v>45638</v>
      </c>
      <c r="AD605" s="41"/>
      <c r="AE605" s="42"/>
      <c r="AF605" s="4">
        <f t="shared" si="97"/>
        <v>5325</v>
      </c>
      <c r="AG605" s="3"/>
      <c r="AH605" s="8"/>
      <c r="AI605" s="4">
        <f t="shared" si="111"/>
        <v>5325</v>
      </c>
      <c r="AJ605" s="4">
        <f t="shared" si="103"/>
        <v>442124.26949999994</v>
      </c>
      <c r="AK605" s="8"/>
      <c r="AL605" s="8"/>
      <c r="AM605" s="47"/>
      <c r="AN605" s="47"/>
      <c r="AO605" s="8"/>
      <c r="AP605" s="8"/>
      <c r="AQ605" s="47"/>
      <c r="AR605" s="47"/>
      <c r="AS605" s="8"/>
      <c r="AT605" s="8"/>
      <c r="AU605" s="47"/>
      <c r="AV605" s="47"/>
      <c r="AW605" s="8"/>
      <c r="AX605" s="8"/>
      <c r="AY605" s="47"/>
      <c r="AZ605" s="47"/>
      <c r="BA605" s="8"/>
      <c r="BB605" s="8"/>
      <c r="BC605" s="47"/>
      <c r="BD605" s="47"/>
      <c r="BE605" s="8"/>
      <c r="BF605" s="8"/>
      <c r="BG605" s="47"/>
      <c r="BH605" s="47"/>
      <c r="BI605" s="8"/>
      <c r="BJ605" s="3"/>
      <c r="BK605" s="47"/>
      <c r="BL605" s="47"/>
      <c r="BM605" s="24">
        <f t="shared" si="104"/>
        <v>0</v>
      </c>
      <c r="BN605" s="28">
        <f t="shared" si="98"/>
        <v>442124.26949999994</v>
      </c>
      <c r="BO605" s="2">
        <v>45638</v>
      </c>
    </row>
    <row r="606" spans="4:67" x14ac:dyDescent="0.25">
      <c r="D606" s="9" t="s">
        <v>26</v>
      </c>
      <c r="E606" s="80">
        <v>45639</v>
      </c>
      <c r="F606" s="38"/>
      <c r="G606" s="51"/>
      <c r="H606" s="4">
        <f t="shared" si="99"/>
        <v>1750</v>
      </c>
      <c r="I606" s="5"/>
      <c r="J606" s="4">
        <f t="shared" si="100"/>
        <v>1750</v>
      </c>
      <c r="K606" s="4">
        <f t="shared" si="105"/>
        <v>129499.96999999997</v>
      </c>
      <c r="L606" s="3"/>
      <c r="M606" s="3"/>
      <c r="N606" s="33">
        <f t="shared" si="101"/>
        <v>0</v>
      </c>
      <c r="O606" s="28">
        <f t="shared" si="106"/>
        <v>129499.96999999997</v>
      </c>
      <c r="P606" s="9" t="s">
        <v>26</v>
      </c>
      <c r="Q606" s="2">
        <v>45639</v>
      </c>
      <c r="R606" s="38"/>
      <c r="S606" s="52"/>
      <c r="T606" s="4">
        <f t="shared" si="102"/>
        <v>2925</v>
      </c>
      <c r="U606" s="5"/>
      <c r="V606" s="4">
        <f t="shared" si="110"/>
        <v>2925</v>
      </c>
      <c r="W606" s="4">
        <f t="shared" si="107"/>
        <v>146982.745</v>
      </c>
      <c r="X606" s="3"/>
      <c r="Y606" s="3"/>
      <c r="Z606" s="25">
        <f t="shared" si="108"/>
        <v>0</v>
      </c>
      <c r="AA606" s="72">
        <f t="shared" si="109"/>
        <v>146982.745</v>
      </c>
      <c r="AB606" s="9" t="s">
        <v>26</v>
      </c>
      <c r="AC606" s="19">
        <v>45639</v>
      </c>
      <c r="AD606" s="41"/>
      <c r="AE606" s="42"/>
      <c r="AF606" s="4">
        <f t="shared" si="97"/>
        <v>5325</v>
      </c>
      <c r="AG606" s="3"/>
      <c r="AH606" s="8"/>
      <c r="AI606" s="4">
        <f t="shared" si="111"/>
        <v>5325</v>
      </c>
      <c r="AJ606" s="4">
        <f t="shared" si="103"/>
        <v>447449.26949999994</v>
      </c>
      <c r="AK606" s="8"/>
      <c r="AL606" s="8"/>
      <c r="AM606" s="47"/>
      <c r="AN606" s="47"/>
      <c r="AO606" s="8"/>
      <c r="AP606" s="8"/>
      <c r="AQ606" s="47"/>
      <c r="AR606" s="47"/>
      <c r="AS606" s="8"/>
      <c r="AT606" s="8"/>
      <c r="AU606" s="47"/>
      <c r="AV606" s="47"/>
      <c r="AW606" s="8"/>
      <c r="AX606" s="8"/>
      <c r="AY606" s="47"/>
      <c r="AZ606" s="47"/>
      <c r="BA606" s="8"/>
      <c r="BB606" s="8"/>
      <c r="BC606" s="47"/>
      <c r="BD606" s="47"/>
      <c r="BE606" s="8"/>
      <c r="BF606" s="8"/>
      <c r="BG606" s="47"/>
      <c r="BH606" s="47"/>
      <c r="BI606" s="8"/>
      <c r="BJ606" s="3"/>
      <c r="BK606" s="47"/>
      <c r="BL606" s="47"/>
      <c r="BM606" s="24">
        <f t="shared" si="104"/>
        <v>0</v>
      </c>
      <c r="BN606" s="28">
        <f t="shared" si="98"/>
        <v>447449.26949999994</v>
      </c>
      <c r="BO606" s="2">
        <v>45639</v>
      </c>
    </row>
    <row r="607" spans="4:67" x14ac:dyDescent="0.25">
      <c r="D607" s="9" t="s">
        <v>27</v>
      </c>
      <c r="E607" s="80">
        <v>45640</v>
      </c>
      <c r="F607" s="38"/>
      <c r="G607" s="51"/>
      <c r="H607" s="4">
        <f t="shared" si="99"/>
        <v>1750</v>
      </c>
      <c r="I607" s="5"/>
      <c r="J607" s="4">
        <f t="shared" si="100"/>
        <v>1750</v>
      </c>
      <c r="K607" s="4">
        <f t="shared" si="105"/>
        <v>131249.96999999997</v>
      </c>
      <c r="L607" s="3"/>
      <c r="M607" s="3"/>
      <c r="N607" s="33">
        <f t="shared" si="101"/>
        <v>0</v>
      </c>
      <c r="O607" s="28">
        <f t="shared" si="106"/>
        <v>131249.96999999997</v>
      </c>
      <c r="P607" s="9" t="s">
        <v>27</v>
      </c>
      <c r="Q607" s="2">
        <v>45640</v>
      </c>
      <c r="R607" s="38"/>
      <c r="S607" s="52"/>
      <c r="T607" s="4">
        <f t="shared" si="102"/>
        <v>2925</v>
      </c>
      <c r="U607" s="5"/>
      <c r="V607" s="4">
        <f t="shared" si="110"/>
        <v>2925</v>
      </c>
      <c r="W607" s="4">
        <f t="shared" si="107"/>
        <v>149907.745</v>
      </c>
      <c r="X607" s="3"/>
      <c r="Y607" s="3"/>
      <c r="Z607" s="25">
        <f t="shared" si="108"/>
        <v>0</v>
      </c>
      <c r="AA607" s="72">
        <f t="shared" si="109"/>
        <v>149907.745</v>
      </c>
      <c r="AB607" s="9" t="s">
        <v>27</v>
      </c>
      <c r="AC607" s="19">
        <v>45640</v>
      </c>
      <c r="AD607" s="41"/>
      <c r="AE607" s="42"/>
      <c r="AF607" s="4">
        <f t="shared" si="97"/>
        <v>5325</v>
      </c>
      <c r="AG607" s="3"/>
      <c r="AH607" s="8"/>
      <c r="AI607" s="4">
        <f t="shared" si="111"/>
        <v>5325</v>
      </c>
      <c r="AJ607" s="4">
        <f t="shared" si="103"/>
        <v>452774.26949999994</v>
      </c>
      <c r="AK607" s="8"/>
      <c r="AL607" s="8"/>
      <c r="AM607" s="47"/>
      <c r="AN607" s="47"/>
      <c r="AO607" s="8"/>
      <c r="AP607" s="8"/>
      <c r="AQ607" s="47"/>
      <c r="AR607" s="47"/>
      <c r="AS607" s="8"/>
      <c r="AT607" s="8"/>
      <c r="AU607" s="47"/>
      <c r="AV607" s="47"/>
      <c r="AW607" s="8"/>
      <c r="AX607" s="8"/>
      <c r="AY607" s="47"/>
      <c r="AZ607" s="47"/>
      <c r="BA607" s="8"/>
      <c r="BB607" s="8"/>
      <c r="BC607" s="47"/>
      <c r="BD607" s="47"/>
      <c r="BE607" s="8"/>
      <c r="BF607" s="8"/>
      <c r="BG607" s="47"/>
      <c r="BH607" s="47"/>
      <c r="BI607" s="8"/>
      <c r="BJ607" s="3"/>
      <c r="BK607" s="47"/>
      <c r="BL607" s="47"/>
      <c r="BM607" s="24">
        <f t="shared" si="104"/>
        <v>0</v>
      </c>
      <c r="BN607" s="28">
        <f t="shared" si="98"/>
        <v>452774.26949999994</v>
      </c>
      <c r="BO607" s="2">
        <v>45640</v>
      </c>
    </row>
    <row r="608" spans="4:67" x14ac:dyDescent="0.25">
      <c r="D608" s="9" t="s">
        <v>28</v>
      </c>
      <c r="E608" s="80">
        <v>45641</v>
      </c>
      <c r="F608" s="38"/>
      <c r="G608" s="51"/>
      <c r="H608" s="4">
        <f t="shared" si="99"/>
        <v>1750</v>
      </c>
      <c r="I608" s="5"/>
      <c r="J608" s="4">
        <f t="shared" si="100"/>
        <v>1750</v>
      </c>
      <c r="K608" s="4">
        <f t="shared" si="105"/>
        <v>132999.96999999997</v>
      </c>
      <c r="L608" s="3"/>
      <c r="M608" s="3"/>
      <c r="N608" s="33">
        <f t="shared" si="101"/>
        <v>0</v>
      </c>
      <c r="O608" s="28">
        <f t="shared" si="106"/>
        <v>132999.96999999997</v>
      </c>
      <c r="P608" s="9" t="s">
        <v>28</v>
      </c>
      <c r="Q608" s="2">
        <v>45641</v>
      </c>
      <c r="R608" s="38"/>
      <c r="S608" s="52"/>
      <c r="T608" s="4">
        <f t="shared" si="102"/>
        <v>2925</v>
      </c>
      <c r="U608" s="5"/>
      <c r="V608" s="4">
        <f t="shared" si="110"/>
        <v>2925</v>
      </c>
      <c r="W608" s="4">
        <f t="shared" si="107"/>
        <v>152832.745</v>
      </c>
      <c r="X608" s="3"/>
      <c r="Y608" s="3"/>
      <c r="Z608" s="25">
        <f t="shared" si="108"/>
        <v>0</v>
      </c>
      <c r="AA608" s="72">
        <f t="shared" si="109"/>
        <v>152832.745</v>
      </c>
      <c r="AB608" s="9" t="s">
        <v>28</v>
      </c>
      <c r="AC608" s="19">
        <v>45641</v>
      </c>
      <c r="AD608" s="41"/>
      <c r="AE608" s="42"/>
      <c r="AF608" s="4">
        <f t="shared" si="97"/>
        <v>5325</v>
      </c>
      <c r="AG608" s="3"/>
      <c r="AH608" s="8"/>
      <c r="AI608" s="4">
        <f t="shared" si="111"/>
        <v>5325</v>
      </c>
      <c r="AJ608" s="4">
        <f t="shared" si="103"/>
        <v>458099.26949999994</v>
      </c>
      <c r="AK608" s="8"/>
      <c r="AL608" s="8"/>
      <c r="AM608" s="47"/>
      <c r="AN608" s="47"/>
      <c r="AO608" s="8"/>
      <c r="AP608" s="8"/>
      <c r="AQ608" s="47"/>
      <c r="AR608" s="47"/>
      <c r="AS608" s="8"/>
      <c r="AT608" s="8"/>
      <c r="AU608" s="47"/>
      <c r="AV608" s="47"/>
      <c r="AW608" s="8"/>
      <c r="AX608" s="8"/>
      <c r="AY608" s="47"/>
      <c r="AZ608" s="47"/>
      <c r="BA608" s="8"/>
      <c r="BB608" s="8"/>
      <c r="BC608" s="47"/>
      <c r="BD608" s="47"/>
      <c r="BE608" s="8"/>
      <c r="BF608" s="8"/>
      <c r="BG608" s="47"/>
      <c r="BH608" s="47"/>
      <c r="BI608" s="8"/>
      <c r="BJ608" s="3"/>
      <c r="BK608" s="47"/>
      <c r="BL608" s="47"/>
      <c r="BM608" s="24">
        <f t="shared" si="104"/>
        <v>0</v>
      </c>
      <c r="BN608" s="28">
        <f t="shared" si="98"/>
        <v>458099.26949999994</v>
      </c>
      <c r="BO608" s="2">
        <v>45641</v>
      </c>
    </row>
    <row r="609" spans="4:67" x14ac:dyDescent="0.25">
      <c r="D609" s="9" t="s">
        <v>29</v>
      </c>
      <c r="E609" s="80">
        <v>45642</v>
      </c>
      <c r="F609" s="38"/>
      <c r="G609" s="51"/>
      <c r="H609" s="4">
        <f t="shared" si="99"/>
        <v>1750</v>
      </c>
      <c r="I609" s="5"/>
      <c r="J609" s="4">
        <f t="shared" si="100"/>
        <v>1750</v>
      </c>
      <c r="K609" s="4">
        <f t="shared" si="105"/>
        <v>134749.96999999997</v>
      </c>
      <c r="L609" s="3"/>
      <c r="M609" s="3"/>
      <c r="N609" s="33">
        <f t="shared" si="101"/>
        <v>0</v>
      </c>
      <c r="O609" s="28">
        <f t="shared" si="106"/>
        <v>134749.96999999997</v>
      </c>
      <c r="P609" s="9" t="s">
        <v>29</v>
      </c>
      <c r="Q609" s="2">
        <v>45642</v>
      </c>
      <c r="R609" s="38"/>
      <c r="S609" s="52"/>
      <c r="T609" s="4">
        <f t="shared" si="102"/>
        <v>2925</v>
      </c>
      <c r="U609" s="5"/>
      <c r="V609" s="4">
        <f t="shared" si="110"/>
        <v>2925</v>
      </c>
      <c r="W609" s="4">
        <f t="shared" si="107"/>
        <v>155757.745</v>
      </c>
      <c r="X609" s="3"/>
      <c r="Y609" s="3"/>
      <c r="Z609" s="25">
        <f t="shared" si="108"/>
        <v>0</v>
      </c>
      <c r="AA609" s="72">
        <f t="shared" si="109"/>
        <v>155757.745</v>
      </c>
      <c r="AB609" s="9" t="s">
        <v>29</v>
      </c>
      <c r="AC609" s="19">
        <v>45642</v>
      </c>
      <c r="AD609" s="41"/>
      <c r="AE609" s="42"/>
      <c r="AF609" s="4">
        <f t="shared" si="97"/>
        <v>5325</v>
      </c>
      <c r="AG609" s="3"/>
      <c r="AH609" s="8"/>
      <c r="AI609" s="4">
        <f t="shared" si="111"/>
        <v>5325</v>
      </c>
      <c r="AJ609" s="4">
        <f t="shared" si="103"/>
        <v>463424.26949999994</v>
      </c>
      <c r="AK609" s="8"/>
      <c r="AL609" s="8"/>
      <c r="AM609" s="47"/>
      <c r="AN609" s="47"/>
      <c r="AO609" s="8"/>
      <c r="AP609" s="8"/>
      <c r="AQ609" s="47"/>
      <c r="AR609" s="47"/>
      <c r="AS609" s="8"/>
      <c r="AT609" s="8"/>
      <c r="AU609" s="47"/>
      <c r="AV609" s="47"/>
      <c r="AW609" s="8"/>
      <c r="AX609" s="8"/>
      <c r="AY609" s="47"/>
      <c r="AZ609" s="47"/>
      <c r="BA609" s="8"/>
      <c r="BB609" s="8"/>
      <c r="BC609" s="47"/>
      <c r="BD609" s="47"/>
      <c r="BE609" s="8"/>
      <c r="BF609" s="8"/>
      <c r="BG609" s="47"/>
      <c r="BH609" s="47"/>
      <c r="BI609" s="8"/>
      <c r="BJ609" s="3"/>
      <c r="BK609" s="47"/>
      <c r="BL609" s="47"/>
      <c r="BM609" s="24">
        <f t="shared" si="104"/>
        <v>0</v>
      </c>
      <c r="BN609" s="28">
        <f t="shared" si="98"/>
        <v>463424.26949999994</v>
      </c>
      <c r="BO609" s="2">
        <v>45642</v>
      </c>
    </row>
    <row r="610" spans="4:67" x14ac:dyDescent="0.25">
      <c r="D610" s="9" t="s">
        <v>30</v>
      </c>
      <c r="E610" s="80">
        <v>45643</v>
      </c>
      <c r="F610" s="38"/>
      <c r="G610" s="51"/>
      <c r="H610" s="4">
        <f t="shared" si="99"/>
        <v>1750</v>
      </c>
      <c r="I610" s="5"/>
      <c r="J610" s="4">
        <f t="shared" si="100"/>
        <v>1750</v>
      </c>
      <c r="K610" s="4">
        <f t="shared" si="105"/>
        <v>136499.96999999997</v>
      </c>
      <c r="L610" s="3"/>
      <c r="M610" s="3"/>
      <c r="N610" s="33">
        <f t="shared" si="101"/>
        <v>0</v>
      </c>
      <c r="O610" s="28">
        <f t="shared" si="106"/>
        <v>136499.96999999997</v>
      </c>
      <c r="P610" s="9" t="s">
        <v>30</v>
      </c>
      <c r="Q610" s="2">
        <v>45643</v>
      </c>
      <c r="R610" s="38"/>
      <c r="S610" s="52"/>
      <c r="T610" s="4">
        <f t="shared" si="102"/>
        <v>2925</v>
      </c>
      <c r="U610" s="5"/>
      <c r="V610" s="4">
        <f t="shared" si="110"/>
        <v>2925</v>
      </c>
      <c r="W610" s="4">
        <f t="shared" si="107"/>
        <v>158682.745</v>
      </c>
      <c r="X610" s="3"/>
      <c r="Y610" s="3"/>
      <c r="Z610" s="25">
        <f t="shared" si="108"/>
        <v>0</v>
      </c>
      <c r="AA610" s="72">
        <f t="shared" si="109"/>
        <v>158682.745</v>
      </c>
      <c r="AB610" s="9" t="s">
        <v>30</v>
      </c>
      <c r="AC610" s="19">
        <v>45643</v>
      </c>
      <c r="AD610" s="41"/>
      <c r="AE610" s="42"/>
      <c r="AF610" s="4">
        <f t="shared" si="97"/>
        <v>5325</v>
      </c>
      <c r="AG610" s="3"/>
      <c r="AH610" s="8"/>
      <c r="AI610" s="4">
        <f t="shared" si="111"/>
        <v>5325</v>
      </c>
      <c r="AJ610" s="4">
        <f t="shared" si="103"/>
        <v>468749.26949999994</v>
      </c>
      <c r="AK610" s="8"/>
      <c r="AL610" s="8"/>
      <c r="AM610" s="47"/>
      <c r="AN610" s="47"/>
      <c r="AO610" s="8"/>
      <c r="AP610" s="8"/>
      <c r="AQ610" s="47"/>
      <c r="AR610" s="47"/>
      <c r="AS610" s="8"/>
      <c r="AT610" s="8"/>
      <c r="AU610" s="47"/>
      <c r="AV610" s="47"/>
      <c r="AW610" s="8"/>
      <c r="AX610" s="8"/>
      <c r="AY610" s="47"/>
      <c r="AZ610" s="47"/>
      <c r="BA610" s="8"/>
      <c r="BB610" s="8"/>
      <c r="BC610" s="47"/>
      <c r="BD610" s="47"/>
      <c r="BE610" s="8"/>
      <c r="BF610" s="8"/>
      <c r="BG610" s="47"/>
      <c r="BH610" s="47"/>
      <c r="BI610" s="8"/>
      <c r="BJ610" s="3"/>
      <c r="BK610" s="47"/>
      <c r="BL610" s="47"/>
      <c r="BM610" s="24">
        <f t="shared" si="104"/>
        <v>0</v>
      </c>
      <c r="BN610" s="28">
        <f t="shared" si="98"/>
        <v>468749.26949999994</v>
      </c>
      <c r="BO610" s="2">
        <v>45643</v>
      </c>
    </row>
    <row r="611" spans="4:67" x14ac:dyDescent="0.25">
      <c r="D611" s="9" t="s">
        <v>31</v>
      </c>
      <c r="E611" s="80">
        <v>45644</v>
      </c>
      <c r="F611" s="38"/>
      <c r="G611" s="51"/>
      <c r="H611" s="4">
        <f t="shared" si="99"/>
        <v>1750</v>
      </c>
      <c r="I611" s="5"/>
      <c r="J611" s="4">
        <f t="shared" si="100"/>
        <v>1750</v>
      </c>
      <c r="K611" s="4">
        <f t="shared" si="105"/>
        <v>138249.96999999997</v>
      </c>
      <c r="L611" s="3"/>
      <c r="M611" s="3"/>
      <c r="N611" s="33">
        <f t="shared" si="101"/>
        <v>0</v>
      </c>
      <c r="O611" s="28">
        <f t="shared" si="106"/>
        <v>138249.96999999997</v>
      </c>
      <c r="P611" s="9" t="s">
        <v>31</v>
      </c>
      <c r="Q611" s="2">
        <v>45644</v>
      </c>
      <c r="R611" s="38"/>
      <c r="S611" s="52"/>
      <c r="T611" s="4">
        <f t="shared" si="102"/>
        <v>2925</v>
      </c>
      <c r="U611" s="5"/>
      <c r="V611" s="4">
        <f t="shared" si="110"/>
        <v>2925</v>
      </c>
      <c r="W611" s="4">
        <f t="shared" si="107"/>
        <v>161607.745</v>
      </c>
      <c r="X611" s="3"/>
      <c r="Y611" s="3"/>
      <c r="Z611" s="25">
        <f t="shared" si="108"/>
        <v>0</v>
      </c>
      <c r="AA611" s="72">
        <f t="shared" si="109"/>
        <v>161607.745</v>
      </c>
      <c r="AB611" s="9" t="s">
        <v>31</v>
      </c>
      <c r="AC611" s="19">
        <v>45644</v>
      </c>
      <c r="AD611" s="41"/>
      <c r="AE611" s="42"/>
      <c r="AF611" s="4">
        <f t="shared" si="97"/>
        <v>5325</v>
      </c>
      <c r="AG611" s="3"/>
      <c r="AH611" s="8"/>
      <c r="AI611" s="4">
        <f t="shared" si="111"/>
        <v>5325</v>
      </c>
      <c r="AJ611" s="4">
        <f t="shared" si="103"/>
        <v>474074.26949999994</v>
      </c>
      <c r="AK611" s="8"/>
      <c r="AL611" s="8"/>
      <c r="AM611" s="47"/>
      <c r="AN611" s="47"/>
      <c r="AO611" s="8"/>
      <c r="AP611" s="8"/>
      <c r="AQ611" s="47"/>
      <c r="AR611" s="47"/>
      <c r="AS611" s="8"/>
      <c r="AT611" s="8"/>
      <c r="AU611" s="47"/>
      <c r="AV611" s="47"/>
      <c r="AW611" s="8"/>
      <c r="AX611" s="8"/>
      <c r="AY611" s="47"/>
      <c r="AZ611" s="47"/>
      <c r="BA611" s="8"/>
      <c r="BB611" s="8"/>
      <c r="BC611" s="47"/>
      <c r="BD611" s="47"/>
      <c r="BE611" s="8"/>
      <c r="BF611" s="8"/>
      <c r="BG611" s="47"/>
      <c r="BH611" s="47"/>
      <c r="BI611" s="8"/>
      <c r="BJ611" s="3"/>
      <c r="BK611" s="47"/>
      <c r="BL611" s="47"/>
      <c r="BM611" s="24">
        <f t="shared" si="104"/>
        <v>0</v>
      </c>
      <c r="BN611" s="28">
        <f t="shared" si="98"/>
        <v>474074.26949999994</v>
      </c>
      <c r="BO611" s="2">
        <v>45644</v>
      </c>
    </row>
    <row r="612" spans="4:67" x14ac:dyDescent="0.25">
      <c r="D612" s="9" t="s">
        <v>32</v>
      </c>
      <c r="E612" s="80">
        <v>45645</v>
      </c>
      <c r="F612" s="38"/>
      <c r="G612" s="51"/>
      <c r="H612" s="4">
        <f t="shared" si="99"/>
        <v>1750</v>
      </c>
      <c r="I612" s="5"/>
      <c r="J612" s="4">
        <f t="shared" si="100"/>
        <v>1750</v>
      </c>
      <c r="K612" s="4">
        <f t="shared" si="105"/>
        <v>139999.96999999997</v>
      </c>
      <c r="L612" s="3"/>
      <c r="M612" s="3"/>
      <c r="N612" s="33">
        <f t="shared" si="101"/>
        <v>0</v>
      </c>
      <c r="O612" s="28">
        <f t="shared" si="106"/>
        <v>139999.96999999997</v>
      </c>
      <c r="P612" s="9" t="s">
        <v>32</v>
      </c>
      <c r="Q612" s="2">
        <v>45645</v>
      </c>
      <c r="R612" s="38"/>
      <c r="S612" s="52"/>
      <c r="T612" s="4">
        <f t="shared" si="102"/>
        <v>2925</v>
      </c>
      <c r="U612" s="5"/>
      <c r="V612" s="4">
        <f t="shared" si="110"/>
        <v>2925</v>
      </c>
      <c r="W612" s="4">
        <f t="shared" si="107"/>
        <v>164532.745</v>
      </c>
      <c r="X612" s="3"/>
      <c r="Y612" s="3"/>
      <c r="Z612" s="25">
        <f t="shared" si="108"/>
        <v>0</v>
      </c>
      <c r="AA612" s="72">
        <f t="shared" si="109"/>
        <v>164532.745</v>
      </c>
      <c r="AB612" s="9" t="s">
        <v>32</v>
      </c>
      <c r="AC612" s="19">
        <v>45645</v>
      </c>
      <c r="AD612" s="41"/>
      <c r="AE612" s="42"/>
      <c r="AF612" s="4">
        <f t="shared" si="97"/>
        <v>5325</v>
      </c>
      <c r="AG612" s="3"/>
      <c r="AH612" s="8"/>
      <c r="AI612" s="4">
        <f t="shared" si="111"/>
        <v>5325</v>
      </c>
      <c r="AJ612" s="4">
        <f t="shared" si="103"/>
        <v>479399.26949999994</v>
      </c>
      <c r="AK612" s="8"/>
      <c r="AL612" s="8"/>
      <c r="AM612" s="47"/>
      <c r="AN612" s="47"/>
      <c r="AO612" s="8"/>
      <c r="AP612" s="8"/>
      <c r="AQ612" s="47"/>
      <c r="AR612" s="47"/>
      <c r="AS612" s="8"/>
      <c r="AT612" s="8"/>
      <c r="AU612" s="47"/>
      <c r="AV612" s="47"/>
      <c r="AW612" s="8"/>
      <c r="AX612" s="8"/>
      <c r="AY612" s="47"/>
      <c r="AZ612" s="47"/>
      <c r="BA612" s="8"/>
      <c r="BB612" s="8"/>
      <c r="BC612" s="47"/>
      <c r="BD612" s="47"/>
      <c r="BE612" s="8"/>
      <c r="BF612" s="8"/>
      <c r="BG612" s="47"/>
      <c r="BH612" s="47"/>
      <c r="BI612" s="8"/>
      <c r="BJ612" s="3"/>
      <c r="BK612" s="47"/>
      <c r="BL612" s="47"/>
      <c r="BM612" s="24">
        <f t="shared" si="104"/>
        <v>0</v>
      </c>
      <c r="BN612" s="28">
        <f t="shared" si="98"/>
        <v>479399.26949999994</v>
      </c>
      <c r="BO612" s="2">
        <v>45645</v>
      </c>
    </row>
    <row r="613" spans="4:67" x14ac:dyDescent="0.25">
      <c r="D613" s="9" t="s">
        <v>26</v>
      </c>
      <c r="E613" s="80">
        <v>45646</v>
      </c>
      <c r="F613" s="38"/>
      <c r="G613" s="51"/>
      <c r="H613" s="4">
        <f t="shared" si="99"/>
        <v>1750</v>
      </c>
      <c r="I613" s="5"/>
      <c r="J613" s="4">
        <f t="shared" si="100"/>
        <v>1750</v>
      </c>
      <c r="K613" s="4">
        <f t="shared" si="105"/>
        <v>141749.96999999997</v>
      </c>
      <c r="L613" s="3"/>
      <c r="M613" s="3"/>
      <c r="N613" s="33">
        <f t="shared" si="101"/>
        <v>0</v>
      </c>
      <c r="O613" s="28">
        <f t="shared" si="106"/>
        <v>141749.96999999997</v>
      </c>
      <c r="P613" s="9" t="s">
        <v>26</v>
      </c>
      <c r="Q613" s="2">
        <v>45646</v>
      </c>
      <c r="R613" s="38"/>
      <c r="S613" s="52"/>
      <c r="T613" s="4">
        <f t="shared" si="102"/>
        <v>2925</v>
      </c>
      <c r="U613" s="5"/>
      <c r="V613" s="4">
        <f t="shared" si="110"/>
        <v>2925</v>
      </c>
      <c r="W613" s="4">
        <f t="shared" si="107"/>
        <v>167457.745</v>
      </c>
      <c r="X613" s="3"/>
      <c r="Y613" s="3"/>
      <c r="Z613" s="25">
        <f t="shared" si="108"/>
        <v>0</v>
      </c>
      <c r="AA613" s="72">
        <f t="shared" si="109"/>
        <v>167457.745</v>
      </c>
      <c r="AB613" s="9" t="s">
        <v>26</v>
      </c>
      <c r="AC613" s="19">
        <v>45646</v>
      </c>
      <c r="AD613" s="41"/>
      <c r="AE613" s="42"/>
      <c r="AF613" s="4">
        <f t="shared" si="97"/>
        <v>5325</v>
      </c>
      <c r="AG613" s="3"/>
      <c r="AH613" s="8"/>
      <c r="AI613" s="4">
        <f t="shared" si="111"/>
        <v>5325</v>
      </c>
      <c r="AJ613" s="4">
        <f t="shared" si="103"/>
        <v>484724.26949999994</v>
      </c>
      <c r="AK613" s="8"/>
      <c r="AL613" s="8"/>
      <c r="AM613" s="47"/>
      <c r="AN613" s="47"/>
      <c r="AO613" s="8"/>
      <c r="AP613" s="8"/>
      <c r="AQ613" s="47"/>
      <c r="AR613" s="47"/>
      <c r="AS613" s="8"/>
      <c r="AT613" s="8"/>
      <c r="AU613" s="47"/>
      <c r="AV613" s="47"/>
      <c r="AW613" s="8"/>
      <c r="AX613" s="8"/>
      <c r="AY613" s="47"/>
      <c r="AZ613" s="47"/>
      <c r="BA613" s="8"/>
      <c r="BB613" s="8"/>
      <c r="BC613" s="47"/>
      <c r="BD613" s="47"/>
      <c r="BE613" s="8"/>
      <c r="BF613" s="8"/>
      <c r="BG613" s="47"/>
      <c r="BH613" s="47"/>
      <c r="BI613" s="8"/>
      <c r="BJ613" s="3"/>
      <c r="BK613" s="47"/>
      <c r="BL613" s="47"/>
      <c r="BM613" s="24">
        <f t="shared" si="104"/>
        <v>0</v>
      </c>
      <c r="BN613" s="28">
        <f t="shared" si="98"/>
        <v>484724.26949999994</v>
      </c>
      <c r="BO613" s="2">
        <v>45646</v>
      </c>
    </row>
    <row r="614" spans="4:67" x14ac:dyDescent="0.25">
      <c r="D614" s="9" t="s">
        <v>27</v>
      </c>
      <c r="E614" s="80">
        <v>45647</v>
      </c>
      <c r="F614" s="38"/>
      <c r="G614" s="51"/>
      <c r="H614" s="4">
        <f t="shared" si="99"/>
        <v>1750</v>
      </c>
      <c r="I614" s="5"/>
      <c r="J614" s="4">
        <f t="shared" si="100"/>
        <v>1750</v>
      </c>
      <c r="K614" s="4">
        <f t="shared" si="105"/>
        <v>143499.96999999997</v>
      </c>
      <c r="L614" s="3"/>
      <c r="M614" s="3"/>
      <c r="N614" s="33">
        <f t="shared" si="101"/>
        <v>0</v>
      </c>
      <c r="O614" s="28">
        <f t="shared" si="106"/>
        <v>143499.96999999997</v>
      </c>
      <c r="P614" s="9" t="s">
        <v>27</v>
      </c>
      <c r="Q614" s="2">
        <v>45647</v>
      </c>
      <c r="R614" s="38"/>
      <c r="S614" s="52"/>
      <c r="T614" s="4">
        <f t="shared" si="102"/>
        <v>2925</v>
      </c>
      <c r="U614" s="5"/>
      <c r="V614" s="4">
        <f t="shared" si="110"/>
        <v>2925</v>
      </c>
      <c r="W614" s="4">
        <f t="shared" si="107"/>
        <v>170382.745</v>
      </c>
      <c r="X614" s="3"/>
      <c r="Y614" s="3"/>
      <c r="Z614" s="25">
        <f t="shared" si="108"/>
        <v>0</v>
      </c>
      <c r="AA614" s="72">
        <f t="shared" si="109"/>
        <v>170382.745</v>
      </c>
      <c r="AB614" s="9" t="s">
        <v>27</v>
      </c>
      <c r="AC614" s="19">
        <v>45647</v>
      </c>
      <c r="AD614" s="41"/>
      <c r="AE614" s="42"/>
      <c r="AF614" s="4">
        <f t="shared" si="97"/>
        <v>5325</v>
      </c>
      <c r="AG614" s="3"/>
      <c r="AH614" s="8"/>
      <c r="AI614" s="4">
        <f t="shared" si="111"/>
        <v>5325</v>
      </c>
      <c r="AJ614" s="4">
        <f t="shared" si="103"/>
        <v>490049.26949999994</v>
      </c>
      <c r="AK614" s="8"/>
      <c r="AL614" s="8"/>
      <c r="AM614" s="47"/>
      <c r="AN614" s="47"/>
      <c r="AO614" s="8"/>
      <c r="AP614" s="8"/>
      <c r="AQ614" s="47"/>
      <c r="AR614" s="47"/>
      <c r="AS614" s="8"/>
      <c r="AT614" s="8"/>
      <c r="AU614" s="47"/>
      <c r="AV614" s="47"/>
      <c r="AW614" s="8"/>
      <c r="AX614" s="8"/>
      <c r="AY614" s="47"/>
      <c r="AZ614" s="47"/>
      <c r="BA614" s="8"/>
      <c r="BB614" s="8"/>
      <c r="BC614" s="47"/>
      <c r="BD614" s="47"/>
      <c r="BE614" s="8"/>
      <c r="BF614" s="8"/>
      <c r="BG614" s="47"/>
      <c r="BH614" s="47"/>
      <c r="BI614" s="8"/>
      <c r="BJ614" s="3"/>
      <c r="BK614" s="47"/>
      <c r="BL614" s="47"/>
      <c r="BM614" s="24">
        <f t="shared" si="104"/>
        <v>0</v>
      </c>
      <c r="BN614" s="28">
        <f t="shared" si="98"/>
        <v>490049.26949999994</v>
      </c>
      <c r="BO614" s="2">
        <v>45647</v>
      </c>
    </row>
    <row r="615" spans="4:67" x14ac:dyDescent="0.25">
      <c r="D615" s="9" t="s">
        <v>28</v>
      </c>
      <c r="E615" s="80">
        <v>45648</v>
      </c>
      <c r="F615" s="38"/>
      <c r="G615" s="51"/>
      <c r="H615" s="4">
        <f t="shared" si="99"/>
        <v>1750</v>
      </c>
      <c r="I615" s="5"/>
      <c r="J615" s="4">
        <f t="shared" si="100"/>
        <v>1750</v>
      </c>
      <c r="K615" s="4">
        <f t="shared" si="105"/>
        <v>145249.96999999997</v>
      </c>
      <c r="L615" s="3"/>
      <c r="M615" s="3"/>
      <c r="N615" s="33">
        <f t="shared" si="101"/>
        <v>0</v>
      </c>
      <c r="O615" s="28">
        <f t="shared" si="106"/>
        <v>145249.96999999997</v>
      </c>
      <c r="P615" s="9" t="s">
        <v>28</v>
      </c>
      <c r="Q615" s="2">
        <v>45648</v>
      </c>
      <c r="R615" s="38"/>
      <c r="S615" s="52"/>
      <c r="T615" s="4">
        <f t="shared" si="102"/>
        <v>2925</v>
      </c>
      <c r="U615" s="5"/>
      <c r="V615" s="4">
        <f t="shared" si="110"/>
        <v>2925</v>
      </c>
      <c r="W615" s="4">
        <f t="shared" si="107"/>
        <v>173307.745</v>
      </c>
      <c r="X615" s="3"/>
      <c r="Y615" s="3"/>
      <c r="Z615" s="25">
        <f t="shared" si="108"/>
        <v>0</v>
      </c>
      <c r="AA615" s="72">
        <f t="shared" si="109"/>
        <v>173307.745</v>
      </c>
      <c r="AB615" s="9" t="s">
        <v>28</v>
      </c>
      <c r="AC615" s="19">
        <v>45648</v>
      </c>
      <c r="AD615" s="41"/>
      <c r="AE615" s="42"/>
      <c r="AF615" s="4">
        <f t="shared" si="97"/>
        <v>5325</v>
      </c>
      <c r="AG615" s="3"/>
      <c r="AH615" s="8"/>
      <c r="AI615" s="4">
        <f t="shared" si="111"/>
        <v>5325</v>
      </c>
      <c r="AJ615" s="4">
        <f t="shared" si="103"/>
        <v>495374.26949999994</v>
      </c>
      <c r="AK615" s="8"/>
      <c r="AL615" s="8"/>
      <c r="AM615" s="47"/>
      <c r="AN615" s="47"/>
      <c r="AO615" s="8"/>
      <c r="AP615" s="8"/>
      <c r="AQ615" s="47"/>
      <c r="AR615" s="47"/>
      <c r="AS615" s="8"/>
      <c r="AT615" s="8"/>
      <c r="AU615" s="47"/>
      <c r="AV615" s="47"/>
      <c r="AW615" s="8"/>
      <c r="AX615" s="8"/>
      <c r="AY615" s="47"/>
      <c r="AZ615" s="47"/>
      <c r="BA615" s="8"/>
      <c r="BB615" s="8"/>
      <c r="BC615" s="47"/>
      <c r="BD615" s="47"/>
      <c r="BE615" s="8"/>
      <c r="BF615" s="8"/>
      <c r="BG615" s="47"/>
      <c r="BH615" s="47"/>
      <c r="BI615" s="8"/>
      <c r="BJ615" s="3"/>
      <c r="BK615" s="47"/>
      <c r="BL615" s="47"/>
      <c r="BM615" s="24">
        <f t="shared" si="104"/>
        <v>0</v>
      </c>
      <c r="BN615" s="28">
        <f t="shared" si="98"/>
        <v>495374.26949999994</v>
      </c>
      <c r="BO615" s="2">
        <v>45648</v>
      </c>
    </row>
    <row r="616" spans="4:67" x14ac:dyDescent="0.25">
      <c r="D616" s="9" t="s">
        <v>29</v>
      </c>
      <c r="E616" s="80">
        <v>45649</v>
      </c>
      <c r="F616" s="38"/>
      <c r="G616" s="51"/>
      <c r="H616" s="4">
        <f t="shared" si="99"/>
        <v>1750</v>
      </c>
      <c r="I616" s="5"/>
      <c r="J616" s="4">
        <f t="shared" si="100"/>
        <v>1750</v>
      </c>
      <c r="K616" s="4">
        <f t="shared" si="105"/>
        <v>146999.96999999997</v>
      </c>
      <c r="L616" s="3"/>
      <c r="M616" s="3"/>
      <c r="N616" s="33">
        <f t="shared" si="101"/>
        <v>0</v>
      </c>
      <c r="O616" s="28">
        <f t="shared" si="106"/>
        <v>146999.96999999997</v>
      </c>
      <c r="P616" s="9" t="s">
        <v>29</v>
      </c>
      <c r="Q616" s="2">
        <v>45649</v>
      </c>
      <c r="R616" s="38"/>
      <c r="S616" s="52"/>
      <c r="T616" s="4">
        <f t="shared" si="102"/>
        <v>2925</v>
      </c>
      <c r="U616" s="5"/>
      <c r="V616" s="4">
        <f t="shared" si="110"/>
        <v>2925</v>
      </c>
      <c r="W616" s="4">
        <f t="shared" si="107"/>
        <v>176232.745</v>
      </c>
      <c r="X616" s="3"/>
      <c r="Y616" s="3"/>
      <c r="Z616" s="25">
        <f t="shared" si="108"/>
        <v>0</v>
      </c>
      <c r="AA616" s="72">
        <f t="shared" si="109"/>
        <v>176232.745</v>
      </c>
      <c r="AB616" s="9" t="s">
        <v>29</v>
      </c>
      <c r="AC616" s="19">
        <v>45649</v>
      </c>
      <c r="AD616" s="41"/>
      <c r="AE616" s="42"/>
      <c r="AF616" s="4">
        <f t="shared" si="97"/>
        <v>5325</v>
      </c>
      <c r="AG616" s="3"/>
      <c r="AH616" s="8"/>
      <c r="AI616" s="4">
        <f t="shared" si="111"/>
        <v>5325</v>
      </c>
      <c r="AJ616" s="4">
        <f t="shared" si="103"/>
        <v>500699.26949999994</v>
      </c>
      <c r="AK616" s="8"/>
      <c r="AL616" s="8"/>
      <c r="AM616" s="47"/>
      <c r="AN616" s="47"/>
      <c r="AO616" s="8"/>
      <c r="AP616" s="8"/>
      <c r="AQ616" s="47"/>
      <c r="AR616" s="47"/>
      <c r="AS616" s="8"/>
      <c r="AT616" s="8"/>
      <c r="AU616" s="47"/>
      <c r="AV616" s="47"/>
      <c r="AW616" s="8"/>
      <c r="AX616" s="8"/>
      <c r="AY616" s="47"/>
      <c r="AZ616" s="47"/>
      <c r="BA616" s="8"/>
      <c r="BB616" s="8"/>
      <c r="BC616" s="47"/>
      <c r="BD616" s="47"/>
      <c r="BE616" s="8"/>
      <c r="BF616" s="8"/>
      <c r="BG616" s="47"/>
      <c r="BH616" s="47"/>
      <c r="BI616" s="8"/>
      <c r="BJ616" s="3"/>
      <c r="BK616" s="47"/>
      <c r="BL616" s="47"/>
      <c r="BM616" s="24">
        <f t="shared" si="104"/>
        <v>0</v>
      </c>
      <c r="BN616" s="28">
        <f t="shared" si="98"/>
        <v>500699.26949999994</v>
      </c>
      <c r="BO616" s="2">
        <v>45649</v>
      </c>
    </row>
    <row r="617" spans="4:67" x14ac:dyDescent="0.25">
      <c r="D617" s="9" t="s">
        <v>30</v>
      </c>
      <c r="E617" s="80">
        <v>45650</v>
      </c>
      <c r="F617" s="38"/>
      <c r="G617" s="51"/>
      <c r="H617" s="4">
        <f t="shared" si="99"/>
        <v>1750</v>
      </c>
      <c r="I617" s="5"/>
      <c r="J617" s="4">
        <f t="shared" si="100"/>
        <v>1750</v>
      </c>
      <c r="K617" s="4">
        <f t="shared" si="105"/>
        <v>148749.96999999997</v>
      </c>
      <c r="L617" s="3"/>
      <c r="M617" s="3"/>
      <c r="N617" s="33">
        <f t="shared" si="101"/>
        <v>0</v>
      </c>
      <c r="O617" s="28">
        <f t="shared" si="106"/>
        <v>148749.96999999997</v>
      </c>
      <c r="P617" s="9" t="s">
        <v>30</v>
      </c>
      <c r="Q617" s="2">
        <v>45650</v>
      </c>
      <c r="R617" s="38"/>
      <c r="S617" s="52"/>
      <c r="T617" s="4">
        <f t="shared" si="102"/>
        <v>2925</v>
      </c>
      <c r="U617" s="5"/>
      <c r="V617" s="4">
        <f t="shared" si="110"/>
        <v>2925</v>
      </c>
      <c r="W617" s="4">
        <f t="shared" si="107"/>
        <v>179157.745</v>
      </c>
      <c r="X617" s="3"/>
      <c r="Y617" s="3"/>
      <c r="Z617" s="25">
        <f t="shared" si="108"/>
        <v>0</v>
      </c>
      <c r="AA617" s="72">
        <f t="shared" si="109"/>
        <v>179157.745</v>
      </c>
      <c r="AB617" s="9" t="s">
        <v>30</v>
      </c>
      <c r="AC617" s="19">
        <v>45650</v>
      </c>
      <c r="AD617" s="41"/>
      <c r="AE617" s="42"/>
      <c r="AF617" s="4">
        <f t="shared" si="97"/>
        <v>5325</v>
      </c>
      <c r="AG617" s="3"/>
      <c r="AH617" s="8"/>
      <c r="AI617" s="4">
        <f t="shared" si="111"/>
        <v>5325</v>
      </c>
      <c r="AJ617" s="4">
        <f t="shared" si="103"/>
        <v>506024.26949999994</v>
      </c>
      <c r="AK617" s="8"/>
      <c r="AL617" s="8"/>
      <c r="AM617" s="48"/>
      <c r="AN617" s="47"/>
      <c r="AO617" s="8"/>
      <c r="AP617" s="8"/>
      <c r="AQ617" s="47"/>
      <c r="AR617" s="47"/>
      <c r="AS617" s="8"/>
      <c r="AT617" s="8"/>
      <c r="AU617" s="47"/>
      <c r="AV617" s="47"/>
      <c r="AW617" s="8"/>
      <c r="AX617" s="8"/>
      <c r="AY617" s="47"/>
      <c r="AZ617" s="47"/>
      <c r="BA617" s="8"/>
      <c r="BB617" s="8"/>
      <c r="BC617" s="47"/>
      <c r="BD617" s="47"/>
      <c r="BE617" s="8"/>
      <c r="BF617" s="8"/>
      <c r="BG617" s="47"/>
      <c r="BH617" s="47"/>
      <c r="BI617" s="8"/>
      <c r="BJ617" s="3"/>
      <c r="BK617" s="47"/>
      <c r="BL617" s="47"/>
      <c r="BM617" s="24">
        <f t="shared" si="104"/>
        <v>0</v>
      </c>
      <c r="BN617" s="28">
        <f t="shared" si="98"/>
        <v>506024.26949999994</v>
      </c>
      <c r="BO617" s="2">
        <v>45650</v>
      </c>
    </row>
    <row r="618" spans="4:67" x14ac:dyDescent="0.25">
      <c r="D618" s="9" t="s">
        <v>31</v>
      </c>
      <c r="E618" s="80">
        <v>45651</v>
      </c>
      <c r="F618" s="38"/>
      <c r="G618" s="51"/>
      <c r="H618" s="4">
        <f t="shared" si="99"/>
        <v>1750</v>
      </c>
      <c r="I618" s="5"/>
      <c r="J618" s="4">
        <f t="shared" si="100"/>
        <v>1750</v>
      </c>
      <c r="K618" s="4">
        <f t="shared" si="105"/>
        <v>150499.96999999997</v>
      </c>
      <c r="L618" s="3"/>
      <c r="M618" s="3"/>
      <c r="N618" s="33">
        <f t="shared" si="101"/>
        <v>0</v>
      </c>
      <c r="O618" s="28">
        <f t="shared" si="106"/>
        <v>150499.96999999997</v>
      </c>
      <c r="P618" s="9" t="s">
        <v>31</v>
      </c>
      <c r="Q618" s="2">
        <v>45651</v>
      </c>
      <c r="R618" s="38"/>
      <c r="S618" s="52"/>
      <c r="T618" s="4">
        <f t="shared" si="102"/>
        <v>2925</v>
      </c>
      <c r="U618" s="5"/>
      <c r="V618" s="4">
        <f t="shared" si="110"/>
        <v>2925</v>
      </c>
      <c r="W618" s="4">
        <f t="shared" si="107"/>
        <v>182082.745</v>
      </c>
      <c r="X618" s="3"/>
      <c r="Y618" s="3"/>
      <c r="Z618" s="25">
        <f t="shared" si="108"/>
        <v>0</v>
      </c>
      <c r="AA618" s="72">
        <f t="shared" si="109"/>
        <v>182082.745</v>
      </c>
      <c r="AB618" s="9" t="s">
        <v>31</v>
      </c>
      <c r="AC618" s="19">
        <v>45651</v>
      </c>
      <c r="AD618" s="41"/>
      <c r="AE618" s="42"/>
      <c r="AF618" s="4">
        <f t="shared" si="97"/>
        <v>5325</v>
      </c>
      <c r="AG618" s="3"/>
      <c r="AH618" s="8"/>
      <c r="AI618" s="4">
        <f t="shared" si="111"/>
        <v>5325</v>
      </c>
      <c r="AJ618" s="4">
        <f t="shared" si="103"/>
        <v>511349.26949999994</v>
      </c>
      <c r="AK618" s="8"/>
      <c r="AL618" s="8"/>
      <c r="AM618" s="47"/>
      <c r="AN618" s="47"/>
      <c r="AO618" s="8"/>
      <c r="AP618" s="8"/>
      <c r="AQ618" s="47"/>
      <c r="AR618" s="47"/>
      <c r="AS618" s="8"/>
      <c r="AT618" s="8"/>
      <c r="AU618" s="47"/>
      <c r="AV618" s="47"/>
      <c r="AW618" s="8"/>
      <c r="AX618" s="8"/>
      <c r="AY618" s="47"/>
      <c r="AZ618" s="47"/>
      <c r="BA618" s="8"/>
      <c r="BB618" s="8"/>
      <c r="BC618" s="47"/>
      <c r="BD618" s="47"/>
      <c r="BE618" s="8"/>
      <c r="BF618" s="8"/>
      <c r="BG618" s="47"/>
      <c r="BH618" s="47"/>
      <c r="BI618" s="8"/>
      <c r="BJ618" s="3"/>
      <c r="BK618" s="47"/>
      <c r="BL618" s="47"/>
      <c r="BM618" s="24">
        <f t="shared" si="104"/>
        <v>0</v>
      </c>
      <c r="BN618" s="28">
        <f t="shared" si="98"/>
        <v>511349.26949999994</v>
      </c>
      <c r="BO618" s="2">
        <v>45651</v>
      </c>
    </row>
    <row r="619" spans="4:67" x14ac:dyDescent="0.25">
      <c r="D619" s="9" t="s">
        <v>32</v>
      </c>
      <c r="E619" s="80">
        <v>45652</v>
      </c>
      <c r="F619" s="38"/>
      <c r="G619" s="51"/>
      <c r="H619" s="4">
        <f t="shared" si="99"/>
        <v>1750</v>
      </c>
      <c r="I619" s="5"/>
      <c r="J619" s="4">
        <f t="shared" si="100"/>
        <v>1750</v>
      </c>
      <c r="K619" s="4">
        <f t="shared" si="105"/>
        <v>152249.96999999997</v>
      </c>
      <c r="L619" s="3"/>
      <c r="M619" s="3"/>
      <c r="N619" s="33">
        <f t="shared" si="101"/>
        <v>0</v>
      </c>
      <c r="O619" s="28">
        <f t="shared" si="106"/>
        <v>152249.96999999997</v>
      </c>
      <c r="P619" s="9" t="s">
        <v>32</v>
      </c>
      <c r="Q619" s="2">
        <v>45652</v>
      </c>
      <c r="R619" s="38"/>
      <c r="S619" s="52"/>
      <c r="T619" s="4">
        <f t="shared" si="102"/>
        <v>2925</v>
      </c>
      <c r="U619" s="5"/>
      <c r="V619" s="4">
        <f t="shared" si="110"/>
        <v>2925</v>
      </c>
      <c r="W619" s="4">
        <f t="shared" si="107"/>
        <v>185007.745</v>
      </c>
      <c r="X619" s="3"/>
      <c r="Y619" s="3"/>
      <c r="Z619" s="25">
        <f t="shared" si="108"/>
        <v>0</v>
      </c>
      <c r="AA619" s="72">
        <f t="shared" si="109"/>
        <v>185007.745</v>
      </c>
      <c r="AB619" s="9" t="s">
        <v>32</v>
      </c>
      <c r="AC619" s="19">
        <v>45652</v>
      </c>
      <c r="AD619" s="41"/>
      <c r="AE619" s="42"/>
      <c r="AF619" s="4">
        <f t="shared" si="97"/>
        <v>5325</v>
      </c>
      <c r="AG619" s="3"/>
      <c r="AH619" s="8"/>
      <c r="AI619" s="4">
        <f t="shared" si="111"/>
        <v>5325</v>
      </c>
      <c r="AJ619" s="4">
        <f t="shared" si="103"/>
        <v>516674.26949999994</v>
      </c>
      <c r="AK619" s="8"/>
      <c r="AL619" s="8"/>
      <c r="AM619" s="47"/>
      <c r="AN619" s="47"/>
      <c r="AO619" s="8"/>
      <c r="AP619" s="8"/>
      <c r="AQ619" s="47"/>
      <c r="AR619" s="47"/>
      <c r="AS619" s="8"/>
      <c r="AT619" s="8"/>
      <c r="AU619" s="47"/>
      <c r="AV619" s="47"/>
      <c r="AW619" s="8"/>
      <c r="AX619" s="8"/>
      <c r="AY619" s="47"/>
      <c r="AZ619" s="47"/>
      <c r="BA619" s="8"/>
      <c r="BB619" s="8"/>
      <c r="BC619" s="47"/>
      <c r="BD619" s="47"/>
      <c r="BE619" s="8"/>
      <c r="BF619" s="8"/>
      <c r="BG619" s="47"/>
      <c r="BH619" s="47"/>
      <c r="BI619" s="8"/>
      <c r="BJ619" s="3"/>
      <c r="BK619" s="47"/>
      <c r="BL619" s="47"/>
      <c r="BM619" s="24">
        <f t="shared" si="104"/>
        <v>0</v>
      </c>
      <c r="BN619" s="28">
        <f t="shared" si="98"/>
        <v>516674.26949999994</v>
      </c>
      <c r="BO619" s="2">
        <v>45652</v>
      </c>
    </row>
    <row r="620" spans="4:67" x14ac:dyDescent="0.25">
      <c r="D620" s="9" t="s">
        <v>26</v>
      </c>
      <c r="E620" s="80">
        <v>45653</v>
      </c>
      <c r="F620" s="38"/>
      <c r="G620" s="51"/>
      <c r="H620" s="4">
        <f t="shared" si="99"/>
        <v>1750</v>
      </c>
      <c r="I620" s="5"/>
      <c r="J620" s="4">
        <f>(G620+H620)-I620</f>
        <v>1750</v>
      </c>
      <c r="K620" s="4">
        <f t="shared" si="105"/>
        <v>153999.96999999997</v>
      </c>
      <c r="L620" s="3"/>
      <c r="M620" s="3"/>
      <c r="N620" s="33">
        <f t="shared" si="101"/>
        <v>0</v>
      </c>
      <c r="O620" s="28">
        <f t="shared" si="106"/>
        <v>153999.96999999997</v>
      </c>
      <c r="P620" s="9" t="s">
        <v>26</v>
      </c>
      <c r="Q620" s="2">
        <v>45653</v>
      </c>
      <c r="R620" s="38"/>
      <c r="S620" s="52"/>
      <c r="T620" s="4">
        <f t="shared" si="102"/>
        <v>2925</v>
      </c>
      <c r="U620" s="5"/>
      <c r="V620" s="4">
        <f t="shared" si="110"/>
        <v>2925</v>
      </c>
      <c r="W620" s="4">
        <f t="shared" si="107"/>
        <v>187932.745</v>
      </c>
      <c r="X620" s="3"/>
      <c r="Y620" s="3"/>
      <c r="Z620" s="25">
        <f t="shared" si="108"/>
        <v>0</v>
      </c>
      <c r="AA620" s="72">
        <f t="shared" si="109"/>
        <v>187932.745</v>
      </c>
      <c r="AB620" s="9" t="s">
        <v>26</v>
      </c>
      <c r="AC620" s="19">
        <v>45653</v>
      </c>
      <c r="AD620" s="41"/>
      <c r="AE620" s="42"/>
      <c r="AF620" s="4">
        <f t="shared" si="97"/>
        <v>5325</v>
      </c>
      <c r="AG620" s="3"/>
      <c r="AH620" s="8"/>
      <c r="AI620" s="4">
        <f t="shared" si="111"/>
        <v>5325</v>
      </c>
      <c r="AJ620" s="4">
        <f t="shared" si="103"/>
        <v>521999.26949999994</v>
      </c>
      <c r="AK620" s="8"/>
      <c r="AL620" s="8"/>
      <c r="AM620" s="47"/>
      <c r="AN620" s="47"/>
      <c r="AO620" s="8"/>
      <c r="AP620" s="8"/>
      <c r="AQ620" s="47"/>
      <c r="AR620" s="47"/>
      <c r="AS620" s="8"/>
      <c r="AT620" s="8"/>
      <c r="AU620" s="47"/>
      <c r="AV620" s="47"/>
      <c r="AW620" s="8"/>
      <c r="AX620" s="8"/>
      <c r="AY620" s="47"/>
      <c r="AZ620" s="47"/>
      <c r="BA620" s="8"/>
      <c r="BB620" s="8"/>
      <c r="BC620" s="47"/>
      <c r="BD620" s="47"/>
      <c r="BE620" s="8"/>
      <c r="BF620" s="8"/>
      <c r="BG620" s="47"/>
      <c r="BH620" s="47"/>
      <c r="BI620" s="8"/>
      <c r="BJ620" s="3"/>
      <c r="BK620" s="47"/>
      <c r="BL620" s="47"/>
      <c r="BM620" s="24">
        <f t="shared" si="104"/>
        <v>0</v>
      </c>
      <c r="BN620" s="28">
        <f t="shared" si="98"/>
        <v>521999.26949999994</v>
      </c>
      <c r="BO620" s="2">
        <v>45653</v>
      </c>
    </row>
    <row r="621" spans="4:67" x14ac:dyDescent="0.25">
      <c r="D621" s="9" t="s">
        <v>27</v>
      </c>
      <c r="E621" s="80">
        <v>45654</v>
      </c>
      <c r="F621" s="38"/>
      <c r="G621" s="51"/>
      <c r="H621" s="4">
        <f t="shared" si="99"/>
        <v>1750</v>
      </c>
      <c r="I621" s="5"/>
      <c r="J621" s="4">
        <f t="shared" si="100"/>
        <v>1750</v>
      </c>
      <c r="K621" s="4">
        <f t="shared" si="105"/>
        <v>155749.96999999997</v>
      </c>
      <c r="L621" s="3"/>
      <c r="M621" s="3"/>
      <c r="N621" s="33">
        <f t="shared" si="101"/>
        <v>0</v>
      </c>
      <c r="O621" s="28">
        <f t="shared" si="106"/>
        <v>155749.96999999997</v>
      </c>
      <c r="P621" s="9" t="s">
        <v>27</v>
      </c>
      <c r="Q621" s="2">
        <v>45654</v>
      </c>
      <c r="R621" s="38"/>
      <c r="S621" s="52"/>
      <c r="T621" s="4">
        <f t="shared" si="102"/>
        <v>2925</v>
      </c>
      <c r="U621" s="5"/>
      <c r="V621" s="4">
        <f t="shared" si="110"/>
        <v>2925</v>
      </c>
      <c r="W621" s="4">
        <f t="shared" si="107"/>
        <v>190857.745</v>
      </c>
      <c r="X621" s="3"/>
      <c r="Y621" s="3"/>
      <c r="Z621" s="25">
        <f t="shared" si="108"/>
        <v>0</v>
      </c>
      <c r="AA621" s="72">
        <f t="shared" si="109"/>
        <v>190857.745</v>
      </c>
      <c r="AB621" s="9" t="s">
        <v>27</v>
      </c>
      <c r="AC621" s="19">
        <v>45654</v>
      </c>
      <c r="AD621" s="41"/>
      <c r="AE621" s="42"/>
      <c r="AF621" s="4">
        <f t="shared" si="97"/>
        <v>5325</v>
      </c>
      <c r="AG621" s="3"/>
      <c r="AH621" s="8"/>
      <c r="AI621" s="4">
        <f t="shared" si="111"/>
        <v>5325</v>
      </c>
      <c r="AJ621" s="4">
        <f t="shared" si="103"/>
        <v>527324.26949999994</v>
      </c>
      <c r="AK621" s="8"/>
      <c r="AL621" s="8"/>
      <c r="AM621" s="47"/>
      <c r="AN621" s="47"/>
      <c r="AO621" s="8"/>
      <c r="AP621" s="8"/>
      <c r="AQ621" s="47"/>
      <c r="AR621" s="47"/>
      <c r="AS621" s="8"/>
      <c r="AT621" s="8"/>
      <c r="AU621" s="47"/>
      <c r="AV621" s="47"/>
      <c r="AW621" s="8"/>
      <c r="AX621" s="8"/>
      <c r="AY621" s="47"/>
      <c r="AZ621" s="47"/>
      <c r="BA621" s="8"/>
      <c r="BB621" s="8"/>
      <c r="BC621" s="47"/>
      <c r="BD621" s="47"/>
      <c r="BE621" s="8"/>
      <c r="BF621" s="8"/>
      <c r="BG621" s="47"/>
      <c r="BH621" s="47"/>
      <c r="BI621" s="8"/>
      <c r="BJ621" s="3"/>
      <c r="BK621" s="47"/>
      <c r="BL621" s="47"/>
      <c r="BM621" s="24">
        <f t="shared" si="104"/>
        <v>0</v>
      </c>
      <c r="BN621" s="28">
        <f t="shared" si="98"/>
        <v>527324.26949999994</v>
      </c>
      <c r="BO621" s="2">
        <v>45654</v>
      </c>
    </row>
    <row r="622" spans="4:67" x14ac:dyDescent="0.25">
      <c r="D622" s="9" t="s">
        <v>28</v>
      </c>
      <c r="E622" s="80">
        <v>45655</v>
      </c>
      <c r="F622" s="38"/>
      <c r="G622" s="51"/>
      <c r="H622" s="4">
        <f t="shared" si="99"/>
        <v>1750</v>
      </c>
      <c r="I622" s="5"/>
      <c r="J622" s="4">
        <f t="shared" si="100"/>
        <v>1750</v>
      </c>
      <c r="K622" s="4">
        <f t="shared" si="105"/>
        <v>157499.96999999997</v>
      </c>
      <c r="L622" s="3"/>
      <c r="M622" s="3"/>
      <c r="N622" s="33">
        <f t="shared" si="101"/>
        <v>0</v>
      </c>
      <c r="O622" s="28">
        <f t="shared" si="106"/>
        <v>157499.96999999997</v>
      </c>
      <c r="P622" s="9" t="s">
        <v>28</v>
      </c>
      <c r="Q622" s="2">
        <v>45655</v>
      </c>
      <c r="R622" s="38"/>
      <c r="S622" s="52"/>
      <c r="T622" s="4">
        <f t="shared" si="102"/>
        <v>2925</v>
      </c>
      <c r="U622" s="5"/>
      <c r="V622" s="4">
        <f t="shared" si="110"/>
        <v>2925</v>
      </c>
      <c r="W622" s="4">
        <f t="shared" si="107"/>
        <v>193782.745</v>
      </c>
      <c r="X622" s="3"/>
      <c r="Y622" s="3"/>
      <c r="Z622" s="25">
        <f t="shared" si="108"/>
        <v>0</v>
      </c>
      <c r="AA622" s="72">
        <f t="shared" si="109"/>
        <v>193782.745</v>
      </c>
      <c r="AB622" s="9" t="s">
        <v>28</v>
      </c>
      <c r="AC622" s="19">
        <v>45655</v>
      </c>
      <c r="AD622" s="41"/>
      <c r="AE622" s="42"/>
      <c r="AF622" s="4">
        <f t="shared" si="97"/>
        <v>5325</v>
      </c>
      <c r="AG622" s="3"/>
      <c r="AH622" s="8"/>
      <c r="AI622" s="4">
        <f t="shared" si="111"/>
        <v>5325</v>
      </c>
      <c r="AJ622" s="4">
        <f t="shared" si="103"/>
        <v>532649.26949999994</v>
      </c>
      <c r="AK622" s="8"/>
      <c r="AL622" s="8"/>
      <c r="AM622" s="47"/>
      <c r="AN622" s="47"/>
      <c r="AO622" s="8"/>
      <c r="AP622" s="8"/>
      <c r="AQ622" s="47"/>
      <c r="AR622" s="47"/>
      <c r="AS622" s="8"/>
      <c r="AT622" s="8"/>
      <c r="AU622" s="47"/>
      <c r="AV622" s="47"/>
      <c r="AW622" s="8"/>
      <c r="AX622" s="8"/>
      <c r="AY622" s="47"/>
      <c r="AZ622" s="47"/>
      <c r="BA622" s="8"/>
      <c r="BB622" s="8"/>
      <c r="BC622" s="47"/>
      <c r="BD622" s="47"/>
      <c r="BE622" s="8"/>
      <c r="BF622" s="8"/>
      <c r="BG622" s="47"/>
      <c r="BH622" s="47"/>
      <c r="BI622" s="8"/>
      <c r="BJ622" s="3"/>
      <c r="BK622" s="47"/>
      <c r="BL622" s="47"/>
      <c r="BM622" s="24">
        <f t="shared" si="104"/>
        <v>0</v>
      </c>
      <c r="BN622" s="28">
        <f t="shared" si="98"/>
        <v>532649.26949999994</v>
      </c>
      <c r="BO622" s="2">
        <v>45655</v>
      </c>
    </row>
    <row r="623" spans="4:67" x14ac:dyDescent="0.25">
      <c r="D623" s="9" t="s">
        <v>29</v>
      </c>
      <c r="E623" s="80">
        <v>45656</v>
      </c>
      <c r="F623" s="38"/>
      <c r="G623" s="51"/>
      <c r="H623" s="4">
        <f t="shared" si="99"/>
        <v>1750</v>
      </c>
      <c r="I623" s="5"/>
      <c r="J623" s="4">
        <f t="shared" si="100"/>
        <v>1750</v>
      </c>
      <c r="K623" s="4">
        <f t="shared" si="105"/>
        <v>159249.96999999997</v>
      </c>
      <c r="L623" s="3"/>
      <c r="M623" s="3"/>
      <c r="N623" s="33">
        <f t="shared" si="101"/>
        <v>0</v>
      </c>
      <c r="O623" s="28">
        <f t="shared" si="106"/>
        <v>159249.96999999997</v>
      </c>
      <c r="P623" s="9" t="s">
        <v>29</v>
      </c>
      <c r="Q623" s="2">
        <v>45656</v>
      </c>
      <c r="R623" s="38"/>
      <c r="S623" s="52"/>
      <c r="T623" s="4">
        <f t="shared" si="102"/>
        <v>2925</v>
      </c>
      <c r="U623" s="5"/>
      <c r="V623" s="4">
        <f t="shared" si="110"/>
        <v>2925</v>
      </c>
      <c r="W623" s="4">
        <f t="shared" si="107"/>
        <v>196707.745</v>
      </c>
      <c r="X623" s="3"/>
      <c r="Y623" s="3"/>
      <c r="Z623" s="25">
        <f t="shared" si="108"/>
        <v>0</v>
      </c>
      <c r="AA623" s="72">
        <f t="shared" si="109"/>
        <v>196707.745</v>
      </c>
      <c r="AB623" s="9" t="s">
        <v>29</v>
      </c>
      <c r="AC623" s="19">
        <v>45656</v>
      </c>
      <c r="AD623" s="41"/>
      <c r="AE623" s="42"/>
      <c r="AF623" s="4">
        <f t="shared" si="97"/>
        <v>5325</v>
      </c>
      <c r="AG623" s="3"/>
      <c r="AH623" s="8"/>
      <c r="AI623" s="4">
        <f t="shared" si="111"/>
        <v>5325</v>
      </c>
      <c r="AJ623" s="4">
        <f t="shared" si="103"/>
        <v>537974.26949999994</v>
      </c>
      <c r="AK623" s="8"/>
      <c r="AL623" s="8"/>
      <c r="AM623" s="47"/>
      <c r="AN623" s="47"/>
      <c r="AO623" s="8"/>
      <c r="AP623" s="8"/>
      <c r="AQ623" s="47"/>
      <c r="AR623" s="47"/>
      <c r="AS623" s="8"/>
      <c r="AT623" s="8"/>
      <c r="AU623" s="47"/>
      <c r="AV623" s="47"/>
      <c r="AW623" s="8"/>
      <c r="AX623" s="8"/>
      <c r="AY623" s="47"/>
      <c r="AZ623" s="47"/>
      <c r="BA623" s="8"/>
      <c r="BB623" s="8"/>
      <c r="BC623" s="47"/>
      <c r="BD623" s="47"/>
      <c r="BE623" s="8"/>
      <c r="BF623" s="8"/>
      <c r="BG623" s="47"/>
      <c r="BH623" s="47"/>
      <c r="BI623" s="8"/>
      <c r="BJ623" s="3"/>
      <c r="BK623" s="47"/>
      <c r="BL623" s="47"/>
      <c r="BM623" s="24">
        <f t="shared" si="104"/>
        <v>0</v>
      </c>
      <c r="BN623" s="28">
        <f t="shared" si="98"/>
        <v>537974.26949999994</v>
      </c>
      <c r="BO623" s="2">
        <v>45656</v>
      </c>
    </row>
    <row r="624" spans="4:67" s="13" customFormat="1" x14ac:dyDescent="0.25">
      <c r="D624" s="13" t="s">
        <v>30</v>
      </c>
      <c r="E624" s="81">
        <v>45657</v>
      </c>
      <c r="F624" s="10"/>
      <c r="G624" s="54"/>
      <c r="H624" s="11">
        <f t="shared" si="99"/>
        <v>1750</v>
      </c>
      <c r="I624" s="12"/>
      <c r="J624" s="11">
        <f t="shared" si="100"/>
        <v>1750</v>
      </c>
      <c r="K624" s="11">
        <f t="shared" si="105"/>
        <v>160999.96999999997</v>
      </c>
      <c r="L624" s="11"/>
      <c r="M624" s="11"/>
      <c r="N624" s="26">
        <f t="shared" si="101"/>
        <v>0</v>
      </c>
      <c r="O624" s="11">
        <f t="shared" si="106"/>
        <v>160999.96999999997</v>
      </c>
      <c r="P624" s="13" t="s">
        <v>30</v>
      </c>
      <c r="Q624" s="10">
        <v>45657</v>
      </c>
      <c r="R624" s="10"/>
      <c r="S624" s="53"/>
      <c r="T624" s="11">
        <f t="shared" si="102"/>
        <v>2925</v>
      </c>
      <c r="U624" s="12"/>
      <c r="V624" s="11">
        <f t="shared" si="110"/>
        <v>2925</v>
      </c>
      <c r="W624" s="11">
        <f t="shared" si="107"/>
        <v>199632.745</v>
      </c>
      <c r="X624" s="11"/>
      <c r="Y624" s="11"/>
      <c r="Z624" s="26">
        <f t="shared" si="108"/>
        <v>0</v>
      </c>
      <c r="AA624" s="53">
        <f t="shared" si="109"/>
        <v>199632.745</v>
      </c>
      <c r="AB624" s="13" t="s">
        <v>30</v>
      </c>
      <c r="AC624" s="20">
        <v>45657</v>
      </c>
      <c r="AD624" s="14"/>
      <c r="AE624" s="27"/>
      <c r="AF624" s="11">
        <f t="shared" si="97"/>
        <v>5325</v>
      </c>
      <c r="AG624" s="11"/>
      <c r="AH624" s="15"/>
      <c r="AI624" s="11">
        <f t="shared" si="111"/>
        <v>5325</v>
      </c>
      <c r="AJ624" s="11">
        <f t="shared" si="103"/>
        <v>543299.26949999994</v>
      </c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1"/>
      <c r="BK624" s="15"/>
      <c r="BL624" s="15"/>
      <c r="BM624" s="23">
        <f t="shared" si="104"/>
        <v>0</v>
      </c>
      <c r="BN624" s="11">
        <f t="shared" si="98"/>
        <v>543299.26949999994</v>
      </c>
      <c r="BO624" s="10">
        <v>45657</v>
      </c>
    </row>
    <row r="625" spans="19:31" x14ac:dyDescent="0.25">
      <c r="S625" s="65"/>
      <c r="AE625" s="1"/>
    </row>
    <row r="626" spans="19:31" x14ac:dyDescent="0.25">
      <c r="S626" s="65"/>
      <c r="AE626" s="1"/>
    </row>
    <row r="627" spans="19:31" x14ac:dyDescent="0.25">
      <c r="S627" s="65"/>
      <c r="AE627" s="1"/>
    </row>
    <row r="628" spans="19:31" x14ac:dyDescent="0.25">
      <c r="S628" s="65"/>
      <c r="AE628" s="1"/>
    </row>
    <row r="629" spans="19:31" x14ac:dyDescent="0.25">
      <c r="S629" s="65"/>
      <c r="AE629" s="1"/>
    </row>
    <row r="630" spans="19:31" x14ac:dyDescent="0.25">
      <c r="S630" s="65"/>
      <c r="AE630" s="1"/>
    </row>
    <row r="631" spans="19:31" x14ac:dyDescent="0.25">
      <c r="S631" s="65"/>
      <c r="AE631" s="1"/>
    </row>
    <row r="632" spans="19:31" x14ac:dyDescent="0.25">
      <c r="S632" s="65"/>
      <c r="AE632" s="1"/>
    </row>
    <row r="633" spans="19:31" x14ac:dyDescent="0.25">
      <c r="S633" s="65"/>
      <c r="AE633" s="1"/>
    </row>
    <row r="634" spans="19:31" x14ac:dyDescent="0.25">
      <c r="S634" s="65"/>
      <c r="AE634" s="1"/>
    </row>
    <row r="635" spans="19:31" x14ac:dyDescent="0.25">
      <c r="S635" s="65"/>
      <c r="AE635" s="1"/>
    </row>
    <row r="636" spans="19:31" x14ac:dyDescent="0.25">
      <c r="S636" s="65"/>
      <c r="AE636" s="1"/>
    </row>
    <row r="637" spans="19:31" x14ac:dyDescent="0.25">
      <c r="S637" s="65"/>
      <c r="AE637" s="1"/>
    </row>
    <row r="638" spans="19:31" x14ac:dyDescent="0.25">
      <c r="S638" s="65"/>
      <c r="AE638" s="1"/>
    </row>
    <row r="639" spans="19:31" x14ac:dyDescent="0.25">
      <c r="S639" s="65"/>
      <c r="AE639" s="1"/>
    </row>
    <row r="640" spans="19:31" x14ac:dyDescent="0.25">
      <c r="S640" s="65"/>
      <c r="AE640" s="1"/>
    </row>
    <row r="641" spans="19:31" x14ac:dyDescent="0.25">
      <c r="S641" s="65"/>
      <c r="AE641" s="1"/>
    </row>
    <row r="642" spans="19:31" x14ac:dyDescent="0.25">
      <c r="S642" s="65"/>
      <c r="AE642" s="1"/>
    </row>
    <row r="643" spans="19:31" x14ac:dyDescent="0.25">
      <c r="S643" s="65"/>
      <c r="AE643" s="1"/>
    </row>
    <row r="644" spans="19:31" x14ac:dyDescent="0.25">
      <c r="S644" s="65"/>
      <c r="AE644" s="1"/>
    </row>
    <row r="645" spans="19:31" x14ac:dyDescent="0.25">
      <c r="S645" s="65"/>
      <c r="AE645" s="1"/>
    </row>
    <row r="646" spans="19:31" x14ac:dyDescent="0.25">
      <c r="S646" s="65"/>
      <c r="AE646" s="1"/>
    </row>
    <row r="647" spans="19:31" x14ac:dyDescent="0.25">
      <c r="S647" s="65"/>
      <c r="AE647" s="1"/>
    </row>
    <row r="648" spans="19:31" x14ac:dyDescent="0.25">
      <c r="S648" s="65"/>
      <c r="AE648" s="1"/>
    </row>
    <row r="649" spans="19:31" x14ac:dyDescent="0.25">
      <c r="S649" s="65"/>
      <c r="AE649" s="1"/>
    </row>
    <row r="650" spans="19:31" x14ac:dyDescent="0.25">
      <c r="S650" s="65"/>
      <c r="AE650" s="1"/>
    </row>
    <row r="651" spans="19:31" x14ac:dyDescent="0.25">
      <c r="S651" s="65"/>
      <c r="AE651" s="1"/>
    </row>
    <row r="652" spans="19:31" x14ac:dyDescent="0.25">
      <c r="S652" s="65"/>
      <c r="AE652" s="1"/>
    </row>
    <row r="653" spans="19:31" x14ac:dyDescent="0.25">
      <c r="S653" s="65"/>
      <c r="AE653" s="1"/>
    </row>
    <row r="654" spans="19:31" x14ac:dyDescent="0.25">
      <c r="S654" s="65"/>
      <c r="AE654" s="1"/>
    </row>
    <row r="655" spans="19:31" x14ac:dyDescent="0.25">
      <c r="S655" s="65"/>
      <c r="AE655" s="1"/>
    </row>
    <row r="656" spans="19:31" x14ac:dyDescent="0.25">
      <c r="S656" s="65"/>
      <c r="AE656" s="1"/>
    </row>
    <row r="657" spans="19:31" x14ac:dyDescent="0.25">
      <c r="S657" s="65"/>
      <c r="AE657" s="1"/>
    </row>
    <row r="658" spans="19:31" x14ac:dyDescent="0.25">
      <c r="S658" s="65"/>
      <c r="AE658" s="1"/>
    </row>
    <row r="659" spans="19:31" x14ac:dyDescent="0.25">
      <c r="S659" s="65"/>
      <c r="AE659" s="1"/>
    </row>
    <row r="660" spans="19:31" x14ac:dyDescent="0.25">
      <c r="S660" s="65"/>
      <c r="AE660" s="1"/>
    </row>
    <row r="661" spans="19:31" x14ac:dyDescent="0.25">
      <c r="S661" s="65"/>
      <c r="AE661" s="1"/>
    </row>
    <row r="662" spans="19:31" x14ac:dyDescent="0.25">
      <c r="S662" s="65"/>
      <c r="AE662" s="1"/>
    </row>
    <row r="663" spans="19:31" x14ac:dyDescent="0.25">
      <c r="S663" s="65"/>
      <c r="AE663" s="1"/>
    </row>
    <row r="664" spans="19:31" x14ac:dyDescent="0.25">
      <c r="S664" s="65"/>
      <c r="AE664" s="1"/>
    </row>
    <row r="665" spans="19:31" x14ac:dyDescent="0.25">
      <c r="S665" s="65"/>
      <c r="AE665" s="1"/>
    </row>
    <row r="666" spans="19:31" x14ac:dyDescent="0.25">
      <c r="S666" s="65"/>
      <c r="AE666" s="1"/>
    </row>
    <row r="667" spans="19:31" x14ac:dyDescent="0.25">
      <c r="S667" s="65"/>
      <c r="AE667" s="1"/>
    </row>
    <row r="668" spans="19:31" x14ac:dyDescent="0.25">
      <c r="S668" s="65"/>
      <c r="AE668" s="1"/>
    </row>
    <row r="669" spans="19:31" x14ac:dyDescent="0.25">
      <c r="S669" s="65"/>
      <c r="AE669" s="1"/>
    </row>
    <row r="670" spans="19:31" x14ac:dyDescent="0.25">
      <c r="S670" s="65"/>
      <c r="AE670" s="1"/>
    </row>
    <row r="671" spans="19:31" x14ac:dyDescent="0.25">
      <c r="S671" s="65"/>
      <c r="AE671" s="1"/>
    </row>
    <row r="672" spans="19:31" x14ac:dyDescent="0.25">
      <c r="S672" s="65"/>
      <c r="AE672" s="1"/>
    </row>
    <row r="673" spans="19:31" x14ac:dyDescent="0.25">
      <c r="S673" s="65"/>
      <c r="AE673" s="1"/>
    </row>
    <row r="674" spans="19:31" x14ac:dyDescent="0.25">
      <c r="S674" s="65"/>
      <c r="AE674" s="1"/>
    </row>
    <row r="675" spans="19:31" x14ac:dyDescent="0.25">
      <c r="S675" s="65"/>
      <c r="AE675" s="1"/>
    </row>
    <row r="676" spans="19:31" x14ac:dyDescent="0.25">
      <c r="S676" s="65"/>
      <c r="AE676" s="1"/>
    </row>
    <row r="677" spans="19:31" x14ac:dyDescent="0.25">
      <c r="S677" s="65"/>
      <c r="AE677" s="1"/>
    </row>
    <row r="678" spans="19:31" x14ac:dyDescent="0.25">
      <c r="S678" s="65"/>
      <c r="AE678" s="1"/>
    </row>
    <row r="679" spans="19:31" x14ac:dyDescent="0.25">
      <c r="S679" s="65"/>
      <c r="AE679" s="1"/>
    </row>
    <row r="680" spans="19:31" x14ac:dyDescent="0.25">
      <c r="S680" s="65"/>
      <c r="AE680" s="1"/>
    </row>
    <row r="681" spans="19:31" x14ac:dyDescent="0.25">
      <c r="S681" s="65"/>
      <c r="AE681" s="1"/>
    </row>
    <row r="682" spans="19:31" x14ac:dyDescent="0.25">
      <c r="S682" s="65"/>
      <c r="AE682" s="1"/>
    </row>
    <row r="683" spans="19:31" x14ac:dyDescent="0.25">
      <c r="S683" s="65"/>
      <c r="AE683" s="1"/>
    </row>
    <row r="684" spans="19:31" x14ac:dyDescent="0.25">
      <c r="S684" s="65"/>
      <c r="AE684" s="1"/>
    </row>
    <row r="685" spans="19:31" x14ac:dyDescent="0.25">
      <c r="S685" s="65"/>
      <c r="AE685" s="1"/>
    </row>
    <row r="686" spans="19:31" x14ac:dyDescent="0.25">
      <c r="S686" s="65"/>
      <c r="AE686" s="1"/>
    </row>
    <row r="687" spans="19:31" x14ac:dyDescent="0.25">
      <c r="S687" s="65"/>
      <c r="AE687" s="1"/>
    </row>
    <row r="688" spans="19:31" x14ac:dyDescent="0.25">
      <c r="S688" s="65"/>
      <c r="AE688" s="1"/>
    </row>
    <row r="689" spans="19:31" x14ac:dyDescent="0.25">
      <c r="S689" s="65"/>
      <c r="AE689" s="1"/>
    </row>
    <row r="690" spans="19:31" x14ac:dyDescent="0.25">
      <c r="S690" s="65"/>
      <c r="AE690" s="1"/>
    </row>
    <row r="691" spans="19:31" x14ac:dyDescent="0.25">
      <c r="S691" s="65"/>
      <c r="AE691" s="1"/>
    </row>
    <row r="692" spans="19:31" x14ac:dyDescent="0.25">
      <c r="S692" s="65"/>
      <c r="AE692" s="1"/>
    </row>
    <row r="693" spans="19:31" x14ac:dyDescent="0.25">
      <c r="S693" s="65"/>
      <c r="AE693" s="1"/>
    </row>
    <row r="694" spans="19:31" x14ac:dyDescent="0.25">
      <c r="S694" s="65"/>
      <c r="AE694" s="1"/>
    </row>
    <row r="695" spans="19:31" x14ac:dyDescent="0.25">
      <c r="S695" s="65"/>
      <c r="AE695" s="1"/>
    </row>
    <row r="696" spans="19:31" x14ac:dyDescent="0.25">
      <c r="S696" s="65"/>
      <c r="AE696" s="1"/>
    </row>
    <row r="697" spans="19:31" x14ac:dyDescent="0.25">
      <c r="S697" s="65"/>
      <c r="AE697" s="1"/>
    </row>
    <row r="698" spans="19:31" x14ac:dyDescent="0.25">
      <c r="S698" s="65"/>
      <c r="AE698" s="1"/>
    </row>
    <row r="699" spans="19:31" x14ac:dyDescent="0.25">
      <c r="S699" s="65"/>
      <c r="AE699" s="1"/>
    </row>
    <row r="700" spans="19:31" x14ac:dyDescent="0.25">
      <c r="S700" s="65"/>
      <c r="AE700" s="1"/>
    </row>
    <row r="701" spans="19:31" x14ac:dyDescent="0.25">
      <c r="S701" s="65"/>
      <c r="AE701" s="1"/>
    </row>
    <row r="702" spans="19:31" x14ac:dyDescent="0.25">
      <c r="S702" s="65"/>
      <c r="AE702" s="1"/>
    </row>
    <row r="703" spans="19:31" x14ac:dyDescent="0.25">
      <c r="S703" s="65"/>
      <c r="AE703" s="1"/>
    </row>
    <row r="704" spans="19:31" x14ac:dyDescent="0.25">
      <c r="S704" s="65"/>
      <c r="AE704" s="1"/>
    </row>
    <row r="705" spans="19:31" x14ac:dyDescent="0.25">
      <c r="S705" s="65"/>
      <c r="AE705" s="1"/>
    </row>
    <row r="706" spans="19:31" x14ac:dyDescent="0.25">
      <c r="S706" s="65"/>
      <c r="AE706" s="1"/>
    </row>
    <row r="707" spans="19:31" x14ac:dyDescent="0.25">
      <c r="S707" s="65"/>
      <c r="AE707" s="1"/>
    </row>
    <row r="708" spans="19:31" x14ac:dyDescent="0.25">
      <c r="S708" s="65"/>
      <c r="AE708" s="1"/>
    </row>
    <row r="709" spans="19:31" x14ac:dyDescent="0.25">
      <c r="S709" s="65"/>
      <c r="AE709" s="1"/>
    </row>
    <row r="710" spans="19:31" x14ac:dyDescent="0.25">
      <c r="S710" s="65"/>
      <c r="AE710" s="1"/>
    </row>
    <row r="711" spans="19:31" x14ac:dyDescent="0.25">
      <c r="S711" s="65"/>
      <c r="AE711" s="1"/>
    </row>
    <row r="712" spans="19:31" x14ac:dyDescent="0.25">
      <c r="S712" s="65"/>
      <c r="AE712" s="1"/>
    </row>
    <row r="713" spans="19:31" x14ac:dyDescent="0.25">
      <c r="S713" s="65"/>
      <c r="AE713" s="1"/>
    </row>
    <row r="714" spans="19:31" x14ac:dyDescent="0.25">
      <c r="S714" s="65"/>
      <c r="AE714" s="1"/>
    </row>
    <row r="715" spans="19:31" x14ac:dyDescent="0.25">
      <c r="S715" s="65"/>
      <c r="AE715" s="1"/>
    </row>
    <row r="716" spans="19:31" x14ac:dyDescent="0.25">
      <c r="S716" s="65"/>
      <c r="AE716" s="1"/>
    </row>
    <row r="717" spans="19:31" x14ac:dyDescent="0.25">
      <c r="S717" s="65"/>
      <c r="AE717" s="1"/>
    </row>
    <row r="718" spans="19:31" x14ac:dyDescent="0.25">
      <c r="S718" s="65"/>
      <c r="AE718" s="1"/>
    </row>
    <row r="719" spans="19:31" x14ac:dyDescent="0.25">
      <c r="S719" s="65"/>
      <c r="AE719" s="1"/>
    </row>
    <row r="720" spans="19:31" x14ac:dyDescent="0.25">
      <c r="S720" s="65"/>
      <c r="AE720" s="1"/>
    </row>
    <row r="721" spans="19:31" x14ac:dyDescent="0.25">
      <c r="S721" s="65"/>
      <c r="AE721" s="1"/>
    </row>
    <row r="722" spans="19:31" x14ac:dyDescent="0.25">
      <c r="S722" s="65"/>
      <c r="AE722" s="1"/>
    </row>
    <row r="723" spans="19:31" x14ac:dyDescent="0.25">
      <c r="S723" s="65"/>
      <c r="AE723" s="1"/>
    </row>
    <row r="724" spans="19:31" x14ac:dyDescent="0.25">
      <c r="S724" s="65"/>
      <c r="AE724" s="1"/>
    </row>
    <row r="725" spans="19:31" x14ac:dyDescent="0.25">
      <c r="S725" s="65"/>
      <c r="AE725" s="1"/>
    </row>
    <row r="726" spans="19:31" x14ac:dyDescent="0.25">
      <c r="S726" s="65"/>
      <c r="AE726" s="1"/>
    </row>
    <row r="727" spans="19:31" x14ac:dyDescent="0.25">
      <c r="S727" s="65"/>
      <c r="AE727" s="1"/>
    </row>
    <row r="728" spans="19:31" x14ac:dyDescent="0.25">
      <c r="S728" s="65"/>
      <c r="AE728" s="1"/>
    </row>
    <row r="729" spans="19:31" x14ac:dyDescent="0.25">
      <c r="S729" s="65"/>
      <c r="AE729" s="1"/>
    </row>
    <row r="730" spans="19:31" x14ac:dyDescent="0.25">
      <c r="S730" s="65"/>
      <c r="AE730" s="1"/>
    </row>
    <row r="731" spans="19:31" x14ac:dyDescent="0.25">
      <c r="S731" s="65"/>
      <c r="AE731" s="1"/>
    </row>
    <row r="732" spans="19:31" x14ac:dyDescent="0.25">
      <c r="S732" s="65"/>
      <c r="AE732" s="1"/>
    </row>
    <row r="733" spans="19:31" x14ac:dyDescent="0.25">
      <c r="S733" s="65"/>
      <c r="AE733" s="1"/>
    </row>
    <row r="734" spans="19:31" x14ac:dyDescent="0.25">
      <c r="S734" s="65"/>
      <c r="AE734" s="1"/>
    </row>
    <row r="735" spans="19:31" x14ac:dyDescent="0.25">
      <c r="S735" s="65"/>
      <c r="AE735" s="1"/>
    </row>
    <row r="736" spans="19:31" x14ac:dyDescent="0.25">
      <c r="S736" s="65"/>
      <c r="AE736" s="1"/>
    </row>
    <row r="737" spans="19:31" x14ac:dyDescent="0.25">
      <c r="S737" s="65"/>
      <c r="AE737" s="1"/>
    </row>
    <row r="738" spans="19:31" x14ac:dyDescent="0.25">
      <c r="S738" s="65"/>
      <c r="AE738" s="1"/>
    </row>
    <row r="739" spans="19:31" x14ac:dyDescent="0.25">
      <c r="S739" s="65"/>
      <c r="AE739" s="1"/>
    </row>
    <row r="740" spans="19:31" x14ac:dyDescent="0.25">
      <c r="S740" s="65"/>
      <c r="AE740" s="1"/>
    </row>
    <row r="741" spans="19:31" x14ac:dyDescent="0.25">
      <c r="S741" s="65"/>
      <c r="AE741" s="1"/>
    </row>
    <row r="742" spans="19:31" x14ac:dyDescent="0.25">
      <c r="S742" s="65"/>
      <c r="AE742" s="1"/>
    </row>
    <row r="743" spans="19:31" x14ac:dyDescent="0.25">
      <c r="S743" s="65"/>
      <c r="AE743" s="1"/>
    </row>
    <row r="744" spans="19:31" x14ac:dyDescent="0.25">
      <c r="S744" s="65"/>
      <c r="AE744" s="1"/>
    </row>
    <row r="745" spans="19:31" x14ac:dyDescent="0.25">
      <c r="S745" s="65"/>
      <c r="AE745" s="1"/>
    </row>
    <row r="746" spans="19:31" x14ac:dyDescent="0.25">
      <c r="S746" s="65"/>
      <c r="AE746" s="1"/>
    </row>
    <row r="747" spans="19:31" x14ac:dyDescent="0.25">
      <c r="S747" s="65"/>
      <c r="AE747" s="1"/>
    </row>
    <row r="748" spans="19:31" x14ac:dyDescent="0.25">
      <c r="S748" s="65"/>
      <c r="AE748" s="1"/>
    </row>
    <row r="749" spans="19:31" x14ac:dyDescent="0.25">
      <c r="S749" s="65"/>
      <c r="AE749" s="1"/>
    </row>
    <row r="750" spans="19:31" x14ac:dyDescent="0.25">
      <c r="S750" s="65"/>
      <c r="AE750" s="1"/>
    </row>
    <row r="751" spans="19:31" x14ac:dyDescent="0.25">
      <c r="S751" s="65"/>
      <c r="AE751" s="1"/>
    </row>
    <row r="752" spans="19:31" x14ac:dyDescent="0.25">
      <c r="S752" s="65"/>
      <c r="AE752" s="1"/>
    </row>
    <row r="753" spans="19:31" x14ac:dyDescent="0.25">
      <c r="S753" s="65"/>
      <c r="AE753" s="1"/>
    </row>
    <row r="754" spans="19:31" x14ac:dyDescent="0.25">
      <c r="S754" s="65"/>
      <c r="AE754" s="1"/>
    </row>
    <row r="755" spans="19:31" x14ac:dyDescent="0.25">
      <c r="S755" s="65"/>
      <c r="AE755" s="1"/>
    </row>
    <row r="756" spans="19:31" x14ac:dyDescent="0.25">
      <c r="S756" s="65"/>
      <c r="AE756" s="1"/>
    </row>
    <row r="757" spans="19:31" x14ac:dyDescent="0.25">
      <c r="S757" s="65"/>
      <c r="AE757" s="1"/>
    </row>
    <row r="758" spans="19:31" x14ac:dyDescent="0.25">
      <c r="S758" s="65"/>
      <c r="AE758" s="1"/>
    </row>
    <row r="759" spans="19:31" x14ac:dyDescent="0.25">
      <c r="S759" s="65"/>
      <c r="AE759" s="1"/>
    </row>
    <row r="760" spans="19:31" x14ac:dyDescent="0.25">
      <c r="S760" s="65"/>
      <c r="AE760" s="1"/>
    </row>
    <row r="761" spans="19:31" x14ac:dyDescent="0.25">
      <c r="S761" s="65"/>
      <c r="AE761" s="1"/>
    </row>
    <row r="762" spans="19:31" x14ac:dyDescent="0.25">
      <c r="S762" s="65"/>
      <c r="AE762" s="1"/>
    </row>
    <row r="763" spans="19:31" x14ac:dyDescent="0.25">
      <c r="S763" s="65"/>
      <c r="AE763" s="1"/>
    </row>
    <row r="764" spans="19:31" x14ac:dyDescent="0.25">
      <c r="S764" s="65"/>
      <c r="AE764" s="1"/>
    </row>
    <row r="765" spans="19:31" x14ac:dyDescent="0.25">
      <c r="S765" s="65"/>
      <c r="AE765" s="1"/>
    </row>
    <row r="766" spans="19:31" x14ac:dyDescent="0.25">
      <c r="S766" s="65"/>
      <c r="AE766" s="1"/>
    </row>
    <row r="767" spans="19:31" x14ac:dyDescent="0.25">
      <c r="S767" s="65"/>
      <c r="AE767" s="1"/>
    </row>
    <row r="768" spans="19:31" x14ac:dyDescent="0.25">
      <c r="S768" s="65"/>
      <c r="AE768" s="1"/>
    </row>
    <row r="769" spans="19:31" x14ac:dyDescent="0.25">
      <c r="S769" s="65"/>
      <c r="AE769" s="1"/>
    </row>
    <row r="770" spans="19:31" x14ac:dyDescent="0.25">
      <c r="S770" s="65"/>
      <c r="AE770" s="1"/>
    </row>
    <row r="771" spans="19:31" x14ac:dyDescent="0.25">
      <c r="S771" s="65"/>
      <c r="AE771" s="1"/>
    </row>
    <row r="772" spans="19:31" x14ac:dyDescent="0.25">
      <c r="S772" s="65"/>
      <c r="AE772" s="1"/>
    </row>
    <row r="773" spans="19:31" x14ac:dyDescent="0.25">
      <c r="S773" s="65"/>
      <c r="AE773" s="1"/>
    </row>
    <row r="774" spans="19:31" x14ac:dyDescent="0.25">
      <c r="S774" s="65"/>
      <c r="AE774" s="1"/>
    </row>
    <row r="775" spans="19:31" x14ac:dyDescent="0.25">
      <c r="S775" s="65"/>
      <c r="AE775" s="1"/>
    </row>
    <row r="776" spans="19:31" x14ac:dyDescent="0.25">
      <c r="S776" s="65"/>
      <c r="AE776" s="1"/>
    </row>
    <row r="777" spans="19:31" x14ac:dyDescent="0.25">
      <c r="S777" s="65"/>
      <c r="AE777" s="1"/>
    </row>
    <row r="778" spans="19:31" x14ac:dyDescent="0.25">
      <c r="S778" s="65"/>
      <c r="AE778" s="1"/>
    </row>
    <row r="779" spans="19:31" x14ac:dyDescent="0.25">
      <c r="S779" s="65"/>
      <c r="AE779" s="1"/>
    </row>
    <row r="780" spans="19:31" x14ac:dyDescent="0.25">
      <c r="S780" s="65"/>
      <c r="AE780" s="1"/>
    </row>
    <row r="781" spans="19:31" x14ac:dyDescent="0.25">
      <c r="S781" s="65"/>
      <c r="AE781" s="1"/>
    </row>
    <row r="782" spans="19:31" x14ac:dyDescent="0.25">
      <c r="S782" s="65"/>
      <c r="AE782" s="1"/>
    </row>
    <row r="783" spans="19:31" x14ac:dyDescent="0.25">
      <c r="S783" s="65"/>
      <c r="AE783" s="1"/>
    </row>
    <row r="784" spans="19:31" x14ac:dyDescent="0.25">
      <c r="S784" s="65"/>
      <c r="AE784" s="1"/>
    </row>
    <row r="785" spans="19:31" x14ac:dyDescent="0.25">
      <c r="S785" s="65"/>
      <c r="AE785" s="1"/>
    </row>
    <row r="786" spans="19:31" x14ac:dyDescent="0.25">
      <c r="S786" s="65"/>
      <c r="AE786" s="1"/>
    </row>
    <row r="787" spans="19:31" x14ac:dyDescent="0.25">
      <c r="S787" s="65"/>
      <c r="AE787" s="1"/>
    </row>
    <row r="788" spans="19:31" x14ac:dyDescent="0.25">
      <c r="S788" s="65"/>
      <c r="AE788" s="1"/>
    </row>
    <row r="789" spans="19:31" x14ac:dyDescent="0.25">
      <c r="S789" s="65"/>
      <c r="AE789" s="1"/>
    </row>
    <row r="790" spans="19:31" x14ac:dyDescent="0.25">
      <c r="S790" s="65"/>
      <c r="AE790" s="1"/>
    </row>
    <row r="791" spans="19:31" x14ac:dyDescent="0.25">
      <c r="S791" s="65"/>
      <c r="AE791" s="1"/>
    </row>
    <row r="792" spans="19:31" x14ac:dyDescent="0.25">
      <c r="S792" s="65"/>
      <c r="AE792" s="1"/>
    </row>
    <row r="793" spans="19:31" x14ac:dyDescent="0.25">
      <c r="S793" s="65"/>
      <c r="AE793" s="1"/>
    </row>
    <row r="794" spans="19:31" x14ac:dyDescent="0.25">
      <c r="S794" s="65"/>
      <c r="AE794" s="1"/>
    </row>
    <row r="795" spans="19:31" x14ac:dyDescent="0.25">
      <c r="S795" s="65"/>
      <c r="AE795" s="1"/>
    </row>
    <row r="796" spans="19:31" x14ac:dyDescent="0.25">
      <c r="S796" s="65"/>
      <c r="AE796" s="1"/>
    </row>
    <row r="797" spans="19:31" x14ac:dyDescent="0.25">
      <c r="S797" s="65"/>
      <c r="AE797" s="1"/>
    </row>
    <row r="798" spans="19:31" x14ac:dyDescent="0.25">
      <c r="S798" s="65"/>
      <c r="AE798" s="1"/>
    </row>
    <row r="799" spans="19:31" x14ac:dyDescent="0.25">
      <c r="S799" s="65"/>
      <c r="AE799" s="1"/>
    </row>
    <row r="800" spans="19:31" x14ac:dyDescent="0.25">
      <c r="S800" s="65"/>
      <c r="AE800" s="1"/>
    </row>
    <row r="801" spans="19:31" x14ac:dyDescent="0.25">
      <c r="S801" s="65"/>
      <c r="AE801" s="1"/>
    </row>
    <row r="802" spans="19:31" x14ac:dyDescent="0.25">
      <c r="S802" s="65"/>
      <c r="AE802" s="1"/>
    </row>
    <row r="803" spans="19:31" x14ac:dyDescent="0.25">
      <c r="S803" s="65"/>
      <c r="AE803" s="1"/>
    </row>
    <row r="804" spans="19:31" x14ac:dyDescent="0.25">
      <c r="S804" s="65"/>
      <c r="AE804" s="1"/>
    </row>
    <row r="805" spans="19:31" x14ac:dyDescent="0.25">
      <c r="S805" s="65"/>
      <c r="AE805" s="1"/>
    </row>
    <row r="806" spans="19:31" x14ac:dyDescent="0.25">
      <c r="S806" s="65"/>
      <c r="AE806" s="1"/>
    </row>
    <row r="807" spans="19:31" x14ac:dyDescent="0.25">
      <c r="S807" s="65"/>
      <c r="AE807" s="1"/>
    </row>
    <row r="808" spans="19:31" x14ac:dyDescent="0.25">
      <c r="S808" s="65"/>
      <c r="AE808" s="1"/>
    </row>
    <row r="809" spans="19:31" x14ac:dyDescent="0.25">
      <c r="S809" s="65"/>
      <c r="AE809" s="1"/>
    </row>
    <row r="810" spans="19:31" x14ac:dyDescent="0.25">
      <c r="S810" s="65"/>
      <c r="AE810" s="1"/>
    </row>
    <row r="811" spans="19:31" x14ac:dyDescent="0.25">
      <c r="S811" s="65"/>
      <c r="AE811" s="1"/>
    </row>
    <row r="812" spans="19:31" x14ac:dyDescent="0.25">
      <c r="S812" s="65"/>
      <c r="AE812" s="1"/>
    </row>
    <row r="813" spans="19:31" x14ac:dyDescent="0.25">
      <c r="S813" s="65"/>
      <c r="AE813" s="1"/>
    </row>
    <row r="814" spans="19:31" x14ac:dyDescent="0.25">
      <c r="S814" s="65"/>
      <c r="AE814" s="1"/>
    </row>
    <row r="815" spans="19:31" x14ac:dyDescent="0.25">
      <c r="S815" s="65"/>
      <c r="AE815" s="1"/>
    </row>
    <row r="816" spans="19:31" x14ac:dyDescent="0.25">
      <c r="S816" s="65"/>
      <c r="AE816" s="1"/>
    </row>
    <row r="817" spans="19:31" x14ac:dyDescent="0.25">
      <c r="S817" s="65"/>
      <c r="AE817" s="1"/>
    </row>
    <row r="818" spans="19:31" x14ac:dyDescent="0.25">
      <c r="S818" s="65"/>
      <c r="AE818" s="1"/>
    </row>
    <row r="819" spans="19:31" x14ac:dyDescent="0.25">
      <c r="S819" s="65"/>
      <c r="AE819" s="1"/>
    </row>
    <row r="820" spans="19:31" x14ac:dyDescent="0.25">
      <c r="S820" s="65"/>
      <c r="AE820" s="1"/>
    </row>
    <row r="821" spans="19:31" x14ac:dyDescent="0.25">
      <c r="S821" s="65"/>
      <c r="AE821" s="1"/>
    </row>
    <row r="822" spans="19:31" x14ac:dyDescent="0.25">
      <c r="S822" s="65"/>
      <c r="AE822" s="1"/>
    </row>
    <row r="823" spans="19:31" x14ac:dyDescent="0.25">
      <c r="S823" s="65"/>
      <c r="AE823" s="1"/>
    </row>
    <row r="824" spans="19:31" x14ac:dyDescent="0.25">
      <c r="S824" s="65"/>
      <c r="AE824" s="1"/>
    </row>
    <row r="825" spans="19:31" x14ac:dyDescent="0.25">
      <c r="S825" s="65"/>
      <c r="AE825" s="1"/>
    </row>
    <row r="826" spans="19:31" x14ac:dyDescent="0.25">
      <c r="S826" s="65"/>
      <c r="AE826" s="1"/>
    </row>
    <row r="827" spans="19:31" x14ac:dyDescent="0.25">
      <c r="S827" s="65"/>
      <c r="AE827" s="1"/>
    </row>
    <row r="828" spans="19:31" x14ac:dyDescent="0.25">
      <c r="S828" s="65"/>
      <c r="AE828" s="1"/>
    </row>
    <row r="829" spans="19:31" x14ac:dyDescent="0.25">
      <c r="S829" s="65"/>
      <c r="AE829" s="1"/>
    </row>
    <row r="830" spans="19:31" x14ac:dyDescent="0.25">
      <c r="S830" s="65"/>
      <c r="AE830" s="1"/>
    </row>
    <row r="831" spans="19:31" x14ac:dyDescent="0.25">
      <c r="S831" s="65"/>
      <c r="AE831" s="1"/>
    </row>
    <row r="832" spans="19:31" x14ac:dyDescent="0.25">
      <c r="S832" s="65"/>
      <c r="AE832" s="1"/>
    </row>
    <row r="833" spans="19:31" x14ac:dyDescent="0.25">
      <c r="S833" s="65"/>
      <c r="AE833" s="1"/>
    </row>
    <row r="834" spans="19:31" x14ac:dyDescent="0.25">
      <c r="S834" s="65"/>
      <c r="AE834" s="1"/>
    </row>
    <row r="835" spans="19:31" x14ac:dyDescent="0.25">
      <c r="S835" s="65"/>
      <c r="AE835" s="1"/>
    </row>
    <row r="836" spans="19:31" x14ac:dyDescent="0.25">
      <c r="S836" s="65"/>
      <c r="AE836" s="1"/>
    </row>
    <row r="837" spans="19:31" x14ac:dyDescent="0.25">
      <c r="S837" s="65"/>
      <c r="AE837" s="1"/>
    </row>
    <row r="838" spans="19:31" x14ac:dyDescent="0.25">
      <c r="S838" s="65"/>
      <c r="AE838" s="1"/>
    </row>
    <row r="839" spans="19:31" x14ac:dyDescent="0.25">
      <c r="S839" s="65"/>
      <c r="AE839" s="1"/>
    </row>
    <row r="840" spans="19:31" x14ac:dyDescent="0.25">
      <c r="S840" s="65"/>
      <c r="AE840" s="1"/>
    </row>
    <row r="841" spans="19:31" x14ac:dyDescent="0.25">
      <c r="S841" s="65"/>
      <c r="AE841" s="1"/>
    </row>
    <row r="842" spans="19:31" x14ac:dyDescent="0.25">
      <c r="S842" s="65"/>
      <c r="AE842" s="1"/>
    </row>
    <row r="843" spans="19:31" x14ac:dyDescent="0.25">
      <c r="S843" s="65"/>
      <c r="AE843" s="1"/>
    </row>
    <row r="844" spans="19:31" x14ac:dyDescent="0.25">
      <c r="S844" s="65"/>
      <c r="AE844" s="1"/>
    </row>
    <row r="845" spans="19:31" x14ac:dyDescent="0.25">
      <c r="S845" s="65"/>
      <c r="AE845" s="1"/>
    </row>
    <row r="846" spans="19:31" x14ac:dyDescent="0.25">
      <c r="S846" s="65"/>
      <c r="AE846" s="1"/>
    </row>
    <row r="847" spans="19:31" x14ac:dyDescent="0.25">
      <c r="S847" s="65"/>
      <c r="AE847" s="1"/>
    </row>
    <row r="848" spans="19:31" x14ac:dyDescent="0.25">
      <c r="S848" s="65"/>
      <c r="AE848" s="1"/>
    </row>
    <row r="849" spans="19:31" x14ac:dyDescent="0.25">
      <c r="S849" s="65"/>
      <c r="AE849" s="1"/>
    </row>
    <row r="850" spans="19:31" x14ac:dyDescent="0.25">
      <c r="S850" s="65"/>
      <c r="AE850" s="1"/>
    </row>
    <row r="851" spans="19:31" x14ac:dyDescent="0.25">
      <c r="S851" s="65"/>
      <c r="AE851" s="1"/>
    </row>
    <row r="852" spans="19:31" x14ac:dyDescent="0.25">
      <c r="S852" s="65"/>
      <c r="AE852" s="1"/>
    </row>
    <row r="853" spans="19:31" x14ac:dyDescent="0.25">
      <c r="S853" s="65"/>
      <c r="AE853" s="1"/>
    </row>
    <row r="854" spans="19:31" x14ac:dyDescent="0.25">
      <c r="S854" s="65"/>
      <c r="AE854" s="1"/>
    </row>
    <row r="855" spans="19:31" x14ac:dyDescent="0.25">
      <c r="S855" s="65"/>
      <c r="AE855" s="1"/>
    </row>
    <row r="856" spans="19:31" x14ac:dyDescent="0.25">
      <c r="S856" s="65"/>
      <c r="AE856" s="1"/>
    </row>
    <row r="857" spans="19:31" x14ac:dyDescent="0.25">
      <c r="S857" s="65"/>
      <c r="AE857" s="1"/>
    </row>
    <row r="858" spans="19:31" x14ac:dyDescent="0.25">
      <c r="S858" s="65"/>
      <c r="AE858" s="1"/>
    </row>
    <row r="859" spans="19:31" x14ac:dyDescent="0.25">
      <c r="S859" s="65"/>
      <c r="AE859" s="1"/>
    </row>
    <row r="860" spans="19:31" x14ac:dyDescent="0.25">
      <c r="S860" s="65"/>
      <c r="AE860" s="1"/>
    </row>
    <row r="861" spans="19:31" x14ac:dyDescent="0.25">
      <c r="S861" s="65"/>
      <c r="AE861" s="1"/>
    </row>
    <row r="862" spans="19:31" x14ac:dyDescent="0.25">
      <c r="S862" s="65"/>
      <c r="AE862" s="1"/>
    </row>
    <row r="863" spans="19:31" x14ac:dyDescent="0.25">
      <c r="S863" s="65"/>
      <c r="AE863" s="1"/>
    </row>
    <row r="864" spans="19:31" x14ac:dyDescent="0.25">
      <c r="S864" s="65"/>
      <c r="AE864" s="1"/>
    </row>
    <row r="865" spans="19:31" x14ac:dyDescent="0.25">
      <c r="S865" s="65"/>
      <c r="AE865" s="1"/>
    </row>
    <row r="866" spans="19:31" x14ac:dyDescent="0.25">
      <c r="S866" s="65"/>
      <c r="AE866" s="1"/>
    </row>
    <row r="867" spans="19:31" x14ac:dyDescent="0.25">
      <c r="S867" s="65"/>
      <c r="AE867" s="1"/>
    </row>
    <row r="868" spans="19:31" x14ac:dyDescent="0.25">
      <c r="S868" s="65"/>
      <c r="AE868" s="1"/>
    </row>
    <row r="869" spans="19:31" x14ac:dyDescent="0.25">
      <c r="S869" s="65"/>
      <c r="AE869" s="1"/>
    </row>
    <row r="870" spans="19:31" x14ac:dyDescent="0.25">
      <c r="S870" s="65"/>
      <c r="AE870" s="1"/>
    </row>
    <row r="871" spans="19:31" x14ac:dyDescent="0.25">
      <c r="S871" s="65"/>
      <c r="AE871" s="1"/>
    </row>
    <row r="872" spans="19:31" x14ac:dyDescent="0.25">
      <c r="S872" s="65"/>
      <c r="AE872" s="1"/>
    </row>
    <row r="873" spans="19:31" x14ac:dyDescent="0.25">
      <c r="S873" s="65"/>
      <c r="AE873" s="1"/>
    </row>
    <row r="874" spans="19:31" x14ac:dyDescent="0.25">
      <c r="S874" s="65"/>
      <c r="AE874" s="1"/>
    </row>
    <row r="875" spans="19:31" x14ac:dyDescent="0.25">
      <c r="S875" s="65"/>
      <c r="AE875" s="1"/>
    </row>
    <row r="876" spans="19:31" x14ac:dyDescent="0.25">
      <c r="S876" s="65"/>
      <c r="AE876" s="1"/>
    </row>
    <row r="877" spans="19:31" x14ac:dyDescent="0.25">
      <c r="S877" s="65"/>
      <c r="AE877" s="1"/>
    </row>
    <row r="878" spans="19:31" x14ac:dyDescent="0.25">
      <c r="S878" s="65"/>
      <c r="AE878" s="1"/>
    </row>
    <row r="879" spans="19:31" x14ac:dyDescent="0.25">
      <c r="S879" s="65"/>
      <c r="AE879" s="1"/>
    </row>
    <row r="880" spans="19:31" x14ac:dyDescent="0.25">
      <c r="S880" s="65"/>
      <c r="AE880" s="1"/>
    </row>
    <row r="881" spans="19:31" x14ac:dyDescent="0.25">
      <c r="S881" s="65"/>
      <c r="AE881" s="1"/>
    </row>
    <row r="882" spans="19:31" x14ac:dyDescent="0.25">
      <c r="S882" s="65"/>
      <c r="AE882" s="1"/>
    </row>
    <row r="883" spans="19:31" x14ac:dyDescent="0.25">
      <c r="S883" s="65"/>
      <c r="AE883" s="1"/>
    </row>
    <row r="884" spans="19:31" x14ac:dyDescent="0.25">
      <c r="S884" s="65"/>
      <c r="AE884" s="1"/>
    </row>
    <row r="885" spans="19:31" x14ac:dyDescent="0.25">
      <c r="S885" s="65"/>
      <c r="AE885" s="1"/>
    </row>
    <row r="886" spans="19:31" x14ac:dyDescent="0.25">
      <c r="S886" s="65"/>
      <c r="AE886" s="1"/>
    </row>
    <row r="887" spans="19:31" x14ac:dyDescent="0.25">
      <c r="S887" s="65"/>
      <c r="AE887" s="1"/>
    </row>
    <row r="888" spans="19:31" x14ac:dyDescent="0.25">
      <c r="S888" s="65"/>
      <c r="AE888" s="1"/>
    </row>
    <row r="889" spans="19:31" x14ac:dyDescent="0.25">
      <c r="S889" s="65"/>
      <c r="AE889" s="1"/>
    </row>
    <row r="890" spans="19:31" x14ac:dyDescent="0.25">
      <c r="S890" s="65"/>
      <c r="AE890" s="1"/>
    </row>
    <row r="891" spans="19:31" x14ac:dyDescent="0.25">
      <c r="S891" s="65"/>
      <c r="AE891" s="1"/>
    </row>
    <row r="892" spans="19:31" x14ac:dyDescent="0.25">
      <c r="S892" s="65"/>
      <c r="AE892" s="1"/>
    </row>
    <row r="893" spans="19:31" x14ac:dyDescent="0.25">
      <c r="S893" s="65"/>
      <c r="AE893" s="1"/>
    </row>
    <row r="894" spans="19:31" x14ac:dyDescent="0.25">
      <c r="S894" s="65"/>
      <c r="AE894" s="1"/>
    </row>
    <row r="895" spans="19:31" x14ac:dyDescent="0.25">
      <c r="S895" s="65"/>
      <c r="AE895" s="1"/>
    </row>
    <row r="896" spans="19:31" x14ac:dyDescent="0.25">
      <c r="S896" s="65"/>
      <c r="AE896" s="1"/>
    </row>
    <row r="897" spans="19:31" x14ac:dyDescent="0.25">
      <c r="S897" s="65"/>
      <c r="AE897" s="1"/>
    </row>
    <row r="898" spans="19:31" x14ac:dyDescent="0.25">
      <c r="S898" s="65"/>
      <c r="AE898" s="1"/>
    </row>
    <row r="899" spans="19:31" x14ac:dyDescent="0.25">
      <c r="S899" s="65"/>
      <c r="AE899" s="1"/>
    </row>
    <row r="900" spans="19:31" x14ac:dyDescent="0.25">
      <c r="S900" s="65"/>
      <c r="AE900" s="1"/>
    </row>
    <row r="901" spans="19:31" x14ac:dyDescent="0.25">
      <c r="S901" s="65"/>
      <c r="AE901" s="1"/>
    </row>
    <row r="902" spans="19:31" x14ac:dyDescent="0.25">
      <c r="S902" s="65"/>
      <c r="AE902" s="1"/>
    </row>
    <row r="903" spans="19:31" x14ac:dyDescent="0.25">
      <c r="S903" s="65"/>
      <c r="AE903" s="1"/>
    </row>
    <row r="904" spans="19:31" x14ac:dyDescent="0.25">
      <c r="S904" s="65"/>
      <c r="AE904" s="1"/>
    </row>
    <row r="905" spans="19:31" x14ac:dyDescent="0.25">
      <c r="S905" s="65"/>
      <c r="AE905" s="1"/>
    </row>
    <row r="906" spans="19:31" x14ac:dyDescent="0.25">
      <c r="S906" s="65"/>
      <c r="AE906" s="1"/>
    </row>
    <row r="907" spans="19:31" x14ac:dyDescent="0.25">
      <c r="S907" s="65"/>
      <c r="AE907" s="1"/>
    </row>
    <row r="908" spans="19:31" x14ac:dyDescent="0.25">
      <c r="S908" s="65"/>
      <c r="AE908" s="1"/>
    </row>
    <row r="909" spans="19:31" x14ac:dyDescent="0.25">
      <c r="S909" s="65"/>
      <c r="AE909" s="1"/>
    </row>
    <row r="910" spans="19:31" x14ac:dyDescent="0.25">
      <c r="S910" s="65"/>
      <c r="AE910" s="1"/>
    </row>
    <row r="911" spans="19:31" x14ac:dyDescent="0.25">
      <c r="S911" s="65"/>
      <c r="AE911" s="1"/>
    </row>
    <row r="912" spans="19:31" x14ac:dyDescent="0.25">
      <c r="S912" s="65"/>
      <c r="AE912" s="1"/>
    </row>
    <row r="913" spans="19:31" x14ac:dyDescent="0.25">
      <c r="S913" s="65"/>
      <c r="AE913" s="1"/>
    </row>
    <row r="914" spans="19:31" x14ac:dyDescent="0.25">
      <c r="S914" s="65"/>
      <c r="AE914" s="1"/>
    </row>
    <row r="915" spans="19:31" x14ac:dyDescent="0.25">
      <c r="S915" s="65"/>
      <c r="AE915" s="1"/>
    </row>
    <row r="916" spans="19:31" x14ac:dyDescent="0.25">
      <c r="S916" s="65"/>
      <c r="AE916" s="1"/>
    </row>
    <row r="917" spans="19:31" x14ac:dyDescent="0.25">
      <c r="S917" s="65"/>
      <c r="AE917" s="1"/>
    </row>
    <row r="918" spans="19:31" x14ac:dyDescent="0.25">
      <c r="S918" s="65"/>
      <c r="AE918" s="1"/>
    </row>
    <row r="919" spans="19:31" x14ac:dyDescent="0.25">
      <c r="S919" s="65"/>
      <c r="AE919" s="1"/>
    </row>
    <row r="920" spans="19:31" x14ac:dyDescent="0.25">
      <c r="S920" s="65"/>
      <c r="AE920" s="1"/>
    </row>
    <row r="921" spans="19:31" x14ac:dyDescent="0.25">
      <c r="S921" s="65"/>
      <c r="AE921" s="1"/>
    </row>
    <row r="922" spans="19:31" x14ac:dyDescent="0.25">
      <c r="S922" s="65"/>
      <c r="AE922" s="1"/>
    </row>
    <row r="923" spans="19:31" x14ac:dyDescent="0.25">
      <c r="S923" s="65"/>
      <c r="AE923" s="1"/>
    </row>
    <row r="924" spans="19:31" x14ac:dyDescent="0.25">
      <c r="S924" s="65"/>
      <c r="AE924" s="1"/>
    </row>
    <row r="925" spans="19:31" x14ac:dyDescent="0.25">
      <c r="S925" s="65"/>
      <c r="AE925" s="1"/>
    </row>
    <row r="926" spans="19:31" x14ac:dyDescent="0.25">
      <c r="S926" s="65"/>
      <c r="AE926" s="1"/>
    </row>
    <row r="927" spans="19:31" x14ac:dyDescent="0.25">
      <c r="S927" s="65"/>
      <c r="AE927" s="1"/>
    </row>
    <row r="928" spans="19:31" x14ac:dyDescent="0.25">
      <c r="S928" s="65"/>
      <c r="AE928" s="1"/>
    </row>
    <row r="929" spans="19:31" x14ac:dyDescent="0.25">
      <c r="S929" s="65"/>
      <c r="AE929" s="1"/>
    </row>
    <row r="930" spans="19:31" x14ac:dyDescent="0.25">
      <c r="S930" s="65"/>
      <c r="AE930" s="1"/>
    </row>
    <row r="931" spans="19:31" x14ac:dyDescent="0.25">
      <c r="S931" s="65"/>
      <c r="AE931" s="1"/>
    </row>
    <row r="932" spans="19:31" x14ac:dyDescent="0.25">
      <c r="S932" s="65"/>
      <c r="AE932" s="1"/>
    </row>
    <row r="933" spans="19:31" x14ac:dyDescent="0.25">
      <c r="S933" s="65"/>
      <c r="AE933" s="1"/>
    </row>
    <row r="934" spans="19:31" x14ac:dyDescent="0.25">
      <c r="S934" s="65"/>
      <c r="AE934" s="1"/>
    </row>
    <row r="935" spans="19:31" x14ac:dyDescent="0.25">
      <c r="S935" s="65"/>
      <c r="AE935" s="1"/>
    </row>
    <row r="936" spans="19:31" x14ac:dyDescent="0.25">
      <c r="S936" s="65"/>
      <c r="AE936" s="1"/>
    </row>
    <row r="937" spans="19:31" x14ac:dyDescent="0.25">
      <c r="S937" s="65"/>
      <c r="AE937" s="1"/>
    </row>
    <row r="938" spans="19:31" x14ac:dyDescent="0.25">
      <c r="S938" s="65"/>
      <c r="AE938" s="1"/>
    </row>
    <row r="939" spans="19:31" x14ac:dyDescent="0.25">
      <c r="S939" s="65"/>
      <c r="AE939" s="1"/>
    </row>
    <row r="940" spans="19:31" x14ac:dyDescent="0.25">
      <c r="S940" s="65"/>
      <c r="AE940" s="1"/>
    </row>
    <row r="941" spans="19:31" x14ac:dyDescent="0.25">
      <c r="S941" s="65"/>
      <c r="AE941" s="1"/>
    </row>
    <row r="942" spans="19:31" x14ac:dyDescent="0.25">
      <c r="S942" s="65"/>
      <c r="AE942" s="1"/>
    </row>
    <row r="943" spans="19:31" x14ac:dyDescent="0.25">
      <c r="S943" s="65"/>
      <c r="AE943" s="1"/>
    </row>
    <row r="944" spans="19:31" x14ac:dyDescent="0.25">
      <c r="S944" s="65"/>
      <c r="AE944" s="1"/>
    </row>
    <row r="945" spans="19:31" x14ac:dyDescent="0.25">
      <c r="S945" s="65"/>
      <c r="AE945" s="1"/>
    </row>
    <row r="946" spans="19:31" x14ac:dyDescent="0.25">
      <c r="S946" s="65"/>
      <c r="AE946" s="1"/>
    </row>
    <row r="947" spans="19:31" x14ac:dyDescent="0.25">
      <c r="S947" s="65"/>
      <c r="AE947" s="1"/>
    </row>
    <row r="948" spans="19:31" x14ac:dyDescent="0.25">
      <c r="S948" s="65"/>
      <c r="AE948" s="1"/>
    </row>
    <row r="949" spans="19:31" x14ac:dyDescent="0.25">
      <c r="S949" s="65"/>
      <c r="AE949" s="1"/>
    </row>
    <row r="950" spans="19:31" x14ac:dyDescent="0.25">
      <c r="S950" s="65"/>
      <c r="AE950" s="1"/>
    </row>
    <row r="951" spans="19:31" x14ac:dyDescent="0.25">
      <c r="S951" s="65"/>
      <c r="AE951" s="1"/>
    </row>
    <row r="952" spans="19:31" x14ac:dyDescent="0.25">
      <c r="S952" s="65"/>
      <c r="AE952" s="1"/>
    </row>
    <row r="953" spans="19:31" x14ac:dyDescent="0.25">
      <c r="S953" s="65"/>
      <c r="AE953" s="1"/>
    </row>
    <row r="954" spans="19:31" x14ac:dyDescent="0.25">
      <c r="S954" s="65"/>
      <c r="AE954" s="1"/>
    </row>
    <row r="955" spans="19:31" x14ac:dyDescent="0.25">
      <c r="S955" s="65"/>
      <c r="AE955" s="1"/>
    </row>
    <row r="956" spans="19:31" x14ac:dyDescent="0.25">
      <c r="S956" s="65"/>
      <c r="AE956" s="1"/>
    </row>
    <row r="957" spans="19:31" x14ac:dyDescent="0.25">
      <c r="S957" s="65"/>
      <c r="AE957" s="1"/>
    </row>
    <row r="958" spans="19:31" x14ac:dyDescent="0.25">
      <c r="S958" s="65"/>
      <c r="AE958" s="1"/>
    </row>
    <row r="959" spans="19:31" x14ac:dyDescent="0.25">
      <c r="S959" s="65"/>
      <c r="AE959" s="1"/>
    </row>
    <row r="960" spans="19:31" x14ac:dyDescent="0.25">
      <c r="S960" s="65"/>
      <c r="AE960" s="1"/>
    </row>
    <row r="961" spans="19:31" x14ac:dyDescent="0.25">
      <c r="S961" s="65"/>
      <c r="AE961" s="1"/>
    </row>
    <row r="962" spans="19:31" x14ac:dyDescent="0.25">
      <c r="S962" s="65"/>
      <c r="AE962" s="1"/>
    </row>
    <row r="963" spans="19:31" x14ac:dyDescent="0.25">
      <c r="S963" s="65"/>
      <c r="AE963" s="1"/>
    </row>
    <row r="964" spans="19:31" x14ac:dyDescent="0.25">
      <c r="S964" s="65"/>
      <c r="AE964" s="1"/>
    </row>
    <row r="965" spans="19:31" x14ac:dyDescent="0.25">
      <c r="S965" s="65"/>
      <c r="AE965" s="1"/>
    </row>
    <row r="966" spans="19:31" x14ac:dyDescent="0.25">
      <c r="S966" s="65"/>
      <c r="AE966" s="1"/>
    </row>
    <row r="967" spans="19:31" x14ac:dyDescent="0.25">
      <c r="S967" s="65"/>
      <c r="AE967" s="1"/>
    </row>
    <row r="968" spans="19:31" x14ac:dyDescent="0.25">
      <c r="S968" s="65"/>
      <c r="AE968" s="1"/>
    </row>
    <row r="969" spans="19:31" x14ac:dyDescent="0.25">
      <c r="S969" s="65"/>
      <c r="AE969" s="1"/>
    </row>
    <row r="970" spans="19:31" x14ac:dyDescent="0.25">
      <c r="S970" s="65"/>
      <c r="AE970" s="1"/>
    </row>
    <row r="971" spans="19:31" x14ac:dyDescent="0.25">
      <c r="S971" s="65"/>
      <c r="AE971" s="1"/>
    </row>
    <row r="972" spans="19:31" x14ac:dyDescent="0.25">
      <c r="S972" s="65"/>
      <c r="AE972" s="1"/>
    </row>
    <row r="973" spans="19:31" x14ac:dyDescent="0.25">
      <c r="S973" s="65"/>
      <c r="AE973" s="1"/>
    </row>
    <row r="974" spans="19:31" x14ac:dyDescent="0.25">
      <c r="S974" s="65"/>
      <c r="AE974" s="1"/>
    </row>
    <row r="975" spans="19:31" x14ac:dyDescent="0.25">
      <c r="S975" s="65"/>
      <c r="AE975" s="1"/>
    </row>
    <row r="976" spans="19:31" x14ac:dyDescent="0.25">
      <c r="S976" s="65"/>
      <c r="AE976" s="1"/>
    </row>
    <row r="977" spans="19:31" x14ac:dyDescent="0.25">
      <c r="S977" s="65"/>
      <c r="AE977" s="1"/>
    </row>
    <row r="978" spans="19:31" x14ac:dyDescent="0.25">
      <c r="S978" s="65"/>
      <c r="AE978" s="1"/>
    </row>
    <row r="979" spans="19:31" x14ac:dyDescent="0.25">
      <c r="S979" s="65"/>
      <c r="AE979" s="1"/>
    </row>
    <row r="980" spans="19:31" x14ac:dyDescent="0.25">
      <c r="S980" s="65"/>
      <c r="AE980" s="1"/>
    </row>
    <row r="981" spans="19:31" x14ac:dyDescent="0.25">
      <c r="S981" s="65"/>
      <c r="AE981" s="1"/>
    </row>
    <row r="982" spans="19:31" x14ac:dyDescent="0.25">
      <c r="S982" s="65"/>
      <c r="AE982" s="1"/>
    </row>
    <row r="983" spans="19:31" x14ac:dyDescent="0.25">
      <c r="S983" s="65"/>
      <c r="AE983" s="1"/>
    </row>
    <row r="984" spans="19:31" x14ac:dyDescent="0.25">
      <c r="S984" s="65"/>
      <c r="AE984" s="1"/>
    </row>
    <row r="985" spans="19:31" x14ac:dyDescent="0.25">
      <c r="S985" s="65"/>
      <c r="AE985" s="1"/>
    </row>
    <row r="986" spans="19:31" x14ac:dyDescent="0.25">
      <c r="S986" s="65"/>
      <c r="AE986" s="1"/>
    </row>
    <row r="987" spans="19:31" x14ac:dyDescent="0.25">
      <c r="S987" s="65"/>
      <c r="AE987" s="1"/>
    </row>
    <row r="988" spans="19:31" x14ac:dyDescent="0.25">
      <c r="S988" s="65"/>
      <c r="AE988" s="1"/>
    </row>
    <row r="989" spans="19:31" x14ac:dyDescent="0.25">
      <c r="S989" s="65"/>
      <c r="AE989" s="1"/>
    </row>
    <row r="990" spans="19:31" x14ac:dyDescent="0.25">
      <c r="S990" s="65"/>
      <c r="AE990" s="1"/>
    </row>
    <row r="991" spans="19:31" x14ac:dyDescent="0.25">
      <c r="S991" s="65"/>
      <c r="AE991" s="1"/>
    </row>
    <row r="992" spans="19:31" x14ac:dyDescent="0.25">
      <c r="S992" s="65"/>
      <c r="AE992" s="1"/>
    </row>
    <row r="993" spans="19:31" x14ac:dyDescent="0.25">
      <c r="S993" s="65"/>
      <c r="AE993" s="1"/>
    </row>
    <row r="994" spans="19:31" x14ac:dyDescent="0.25">
      <c r="S994" s="65"/>
      <c r="AE994" s="1"/>
    </row>
    <row r="995" spans="19:31" x14ac:dyDescent="0.25">
      <c r="S995" s="65"/>
      <c r="AE995" s="1"/>
    </row>
    <row r="996" spans="19:31" x14ac:dyDescent="0.25">
      <c r="S996" s="65"/>
      <c r="AE996" s="1"/>
    </row>
    <row r="997" spans="19:31" x14ac:dyDescent="0.25">
      <c r="S997" s="65"/>
      <c r="AE997" s="1"/>
    </row>
    <row r="998" spans="19:31" x14ac:dyDescent="0.25">
      <c r="S998" s="65"/>
      <c r="AE998" s="1"/>
    </row>
    <row r="999" spans="19:31" x14ac:dyDescent="0.25">
      <c r="S999" s="65"/>
      <c r="AE999" s="1"/>
    </row>
    <row r="1000" spans="19:31" x14ac:dyDescent="0.25">
      <c r="S1000" s="65"/>
      <c r="AE1000" s="1"/>
    </row>
    <row r="1001" spans="19:31" x14ac:dyDescent="0.25">
      <c r="S1001" s="65"/>
      <c r="AE1001" s="1"/>
    </row>
    <row r="1002" spans="19:31" x14ac:dyDescent="0.25">
      <c r="S1002" s="65"/>
      <c r="AE1002" s="1"/>
    </row>
    <row r="1003" spans="19:31" x14ac:dyDescent="0.25">
      <c r="S1003" s="65"/>
      <c r="AE1003" s="1"/>
    </row>
    <row r="1004" spans="19:31" x14ac:dyDescent="0.25">
      <c r="S1004" s="65"/>
      <c r="AE1004" s="1"/>
    </row>
    <row r="1005" spans="19:31" x14ac:dyDescent="0.25">
      <c r="S1005" s="65"/>
      <c r="AE1005" s="1"/>
    </row>
    <row r="1006" spans="19:31" x14ac:dyDescent="0.25">
      <c r="S1006" s="65"/>
      <c r="AE1006" s="1"/>
    </row>
    <row r="1007" spans="19:31" x14ac:dyDescent="0.25">
      <c r="S1007" s="65"/>
      <c r="AE1007" s="1"/>
    </row>
    <row r="1008" spans="19:31" x14ac:dyDescent="0.25">
      <c r="S1008" s="65"/>
      <c r="AE1008" s="1"/>
    </row>
    <row r="1009" spans="19:31" x14ac:dyDescent="0.25">
      <c r="S1009" s="65"/>
      <c r="AE1009" s="1"/>
    </row>
    <row r="1010" spans="19:31" x14ac:dyDescent="0.25">
      <c r="S1010" s="65"/>
      <c r="AE1010" s="1"/>
    </row>
    <row r="1011" spans="19:31" x14ac:dyDescent="0.25">
      <c r="S1011" s="65"/>
      <c r="AE1011" s="1"/>
    </row>
    <row r="1012" spans="19:31" x14ac:dyDescent="0.25">
      <c r="S1012" s="65"/>
      <c r="AE1012" s="1"/>
    </row>
    <row r="1013" spans="19:31" x14ac:dyDescent="0.25">
      <c r="S1013" s="65"/>
      <c r="AE1013" s="1"/>
    </row>
    <row r="1014" spans="19:31" x14ac:dyDescent="0.25">
      <c r="S1014" s="65"/>
      <c r="AE1014" s="1"/>
    </row>
    <row r="1015" spans="19:31" x14ac:dyDescent="0.25">
      <c r="S1015" s="65"/>
      <c r="AE1015" s="1"/>
    </row>
    <row r="1016" spans="19:31" x14ac:dyDescent="0.25">
      <c r="S1016" s="65"/>
      <c r="AE1016" s="1"/>
    </row>
    <row r="1017" spans="19:31" x14ac:dyDescent="0.25">
      <c r="S1017" s="65"/>
      <c r="AE1017" s="1"/>
    </row>
    <row r="1018" spans="19:31" x14ac:dyDescent="0.25">
      <c r="S1018" s="65"/>
      <c r="AE1018" s="1"/>
    </row>
    <row r="1019" spans="19:31" x14ac:dyDescent="0.25">
      <c r="S1019" s="65"/>
      <c r="AE1019" s="1"/>
    </row>
    <row r="1020" spans="19:31" x14ac:dyDescent="0.25">
      <c r="S1020" s="65"/>
      <c r="AE1020" s="1"/>
    </row>
    <row r="1021" spans="19:31" x14ac:dyDescent="0.25">
      <c r="S1021" s="65"/>
      <c r="AE1021" s="1"/>
    </row>
    <row r="1022" spans="19:31" x14ac:dyDescent="0.25">
      <c r="S1022" s="65"/>
      <c r="AE1022" s="1"/>
    </row>
    <row r="1023" spans="19:31" x14ac:dyDescent="0.25">
      <c r="S1023" s="65"/>
      <c r="AE1023" s="1"/>
    </row>
    <row r="1024" spans="19:31" x14ac:dyDescent="0.25">
      <c r="S1024" s="65"/>
      <c r="AE1024" s="1"/>
    </row>
    <row r="1025" spans="19:31" x14ac:dyDescent="0.25">
      <c r="S1025" s="65"/>
      <c r="AE1025" s="1"/>
    </row>
    <row r="1026" spans="19:31" x14ac:dyDescent="0.25">
      <c r="S1026" s="65"/>
      <c r="AE1026" s="1"/>
    </row>
    <row r="1027" spans="19:31" x14ac:dyDescent="0.25">
      <c r="S1027" s="65"/>
      <c r="AE1027" s="1"/>
    </row>
    <row r="1028" spans="19:31" x14ac:dyDescent="0.25">
      <c r="S1028" s="65"/>
      <c r="AE1028" s="1"/>
    </row>
    <row r="1029" spans="19:31" x14ac:dyDescent="0.25">
      <c r="S1029" s="65"/>
      <c r="AE1029" s="1"/>
    </row>
    <row r="1030" spans="19:31" x14ac:dyDescent="0.25">
      <c r="S1030" s="65"/>
      <c r="AE1030" s="1"/>
    </row>
    <row r="1031" spans="19:31" x14ac:dyDescent="0.25">
      <c r="S1031" s="65"/>
      <c r="AE1031" s="1"/>
    </row>
    <row r="1032" spans="19:31" x14ac:dyDescent="0.25">
      <c r="S1032" s="65"/>
      <c r="AE1032" s="1"/>
    </row>
    <row r="1033" spans="19:31" x14ac:dyDescent="0.25">
      <c r="S1033" s="65"/>
      <c r="AE1033" s="1"/>
    </row>
    <row r="1034" spans="19:31" x14ac:dyDescent="0.25">
      <c r="S1034" s="65"/>
      <c r="AE1034" s="1"/>
    </row>
    <row r="1035" spans="19:31" x14ac:dyDescent="0.25">
      <c r="S1035" s="65"/>
      <c r="AE1035" s="1"/>
    </row>
    <row r="1036" spans="19:31" x14ac:dyDescent="0.25">
      <c r="S1036" s="65"/>
      <c r="AE1036" s="1"/>
    </row>
    <row r="1037" spans="19:31" x14ac:dyDescent="0.25">
      <c r="S1037" s="65"/>
      <c r="AE1037" s="1"/>
    </row>
    <row r="1038" spans="19:31" x14ac:dyDescent="0.25">
      <c r="S1038" s="65"/>
      <c r="AE1038" s="1"/>
    </row>
    <row r="1039" spans="19:31" x14ac:dyDescent="0.25">
      <c r="S1039" s="65"/>
      <c r="AE1039" s="1"/>
    </row>
    <row r="1040" spans="19:31" x14ac:dyDescent="0.25">
      <c r="S1040" s="65"/>
      <c r="AE1040" s="1"/>
    </row>
    <row r="1041" spans="19:31" x14ac:dyDescent="0.25">
      <c r="S1041" s="65"/>
      <c r="AE1041" s="1"/>
    </row>
    <row r="1042" spans="19:31" x14ac:dyDescent="0.25">
      <c r="S1042" s="65"/>
      <c r="AE1042" s="1"/>
    </row>
    <row r="1043" spans="19:31" x14ac:dyDescent="0.25">
      <c r="S1043" s="65"/>
      <c r="AE1043" s="1"/>
    </row>
    <row r="1044" spans="19:31" x14ac:dyDescent="0.25">
      <c r="S1044" s="65"/>
      <c r="AE1044" s="1"/>
    </row>
    <row r="1045" spans="19:31" x14ac:dyDescent="0.25">
      <c r="S1045" s="65"/>
      <c r="AE1045" s="1"/>
    </row>
    <row r="1046" spans="19:31" x14ac:dyDescent="0.25">
      <c r="S1046" s="65"/>
      <c r="AE1046" s="1"/>
    </row>
    <row r="1047" spans="19:31" x14ac:dyDescent="0.25">
      <c r="S1047" s="65"/>
      <c r="AE1047" s="1"/>
    </row>
    <row r="1048" spans="19:31" x14ac:dyDescent="0.25">
      <c r="S1048" s="65"/>
      <c r="AE1048" s="1"/>
    </row>
    <row r="1049" spans="19:31" x14ac:dyDescent="0.25">
      <c r="S1049" s="65"/>
      <c r="AE1049" s="1"/>
    </row>
    <row r="1050" spans="19:31" x14ac:dyDescent="0.25">
      <c r="S1050" s="65"/>
      <c r="AE1050" s="1"/>
    </row>
    <row r="1051" spans="19:31" x14ac:dyDescent="0.25">
      <c r="S1051" s="65"/>
      <c r="AE1051" s="1"/>
    </row>
    <row r="1052" spans="19:31" x14ac:dyDescent="0.25">
      <c r="S1052" s="65"/>
      <c r="AE1052" s="1"/>
    </row>
    <row r="1053" spans="19:31" x14ac:dyDescent="0.25">
      <c r="S1053" s="65"/>
      <c r="AE1053" s="1"/>
    </row>
    <row r="1054" spans="19:31" x14ac:dyDescent="0.25">
      <c r="S1054" s="65"/>
      <c r="AE1054" s="1"/>
    </row>
    <row r="1055" spans="19:31" x14ac:dyDescent="0.25">
      <c r="S1055" s="65"/>
      <c r="AE1055" s="1"/>
    </row>
    <row r="1056" spans="19:31" x14ac:dyDescent="0.25">
      <c r="S1056" s="65"/>
      <c r="AE1056" s="1"/>
    </row>
    <row r="1057" spans="19:31" x14ac:dyDescent="0.25">
      <c r="S1057" s="65"/>
      <c r="AE1057" s="1"/>
    </row>
    <row r="1058" spans="19:31" x14ac:dyDescent="0.25">
      <c r="S1058" s="65"/>
      <c r="AE1058" s="1"/>
    </row>
    <row r="1059" spans="19:31" x14ac:dyDescent="0.25">
      <c r="S1059" s="65"/>
      <c r="AE1059" s="1"/>
    </row>
    <row r="1060" spans="19:31" x14ac:dyDescent="0.25">
      <c r="S1060" s="65"/>
      <c r="AE1060" s="1"/>
    </row>
    <row r="1061" spans="19:31" x14ac:dyDescent="0.25">
      <c r="S1061" s="65"/>
      <c r="AE1061" s="1"/>
    </row>
    <row r="1062" spans="19:31" x14ac:dyDescent="0.25">
      <c r="S1062" s="65"/>
      <c r="AE1062" s="1"/>
    </row>
    <row r="1063" spans="19:31" x14ac:dyDescent="0.25">
      <c r="S1063" s="65"/>
      <c r="AE1063" s="1"/>
    </row>
    <row r="1064" spans="19:31" x14ac:dyDescent="0.25">
      <c r="S1064" s="65"/>
      <c r="AE1064" s="1"/>
    </row>
    <row r="1065" spans="19:31" x14ac:dyDescent="0.25">
      <c r="S1065" s="65"/>
      <c r="AE1065" s="1"/>
    </row>
    <row r="1066" spans="19:31" x14ac:dyDescent="0.25">
      <c r="S1066" s="65"/>
      <c r="AE1066" s="1"/>
    </row>
    <row r="1067" spans="19:31" x14ac:dyDescent="0.25">
      <c r="S1067" s="65"/>
      <c r="AE1067" s="1"/>
    </row>
    <row r="1068" spans="19:31" x14ac:dyDescent="0.25">
      <c r="S1068" s="65"/>
      <c r="AE1068" s="1"/>
    </row>
    <row r="1069" spans="19:31" x14ac:dyDescent="0.25">
      <c r="S1069" s="65"/>
      <c r="AE1069" s="1"/>
    </row>
    <row r="1070" spans="19:31" x14ac:dyDescent="0.25">
      <c r="S1070" s="65"/>
      <c r="AE1070" s="1"/>
    </row>
    <row r="1071" spans="19:31" x14ac:dyDescent="0.25">
      <c r="S1071" s="65"/>
      <c r="AE1071" s="1"/>
    </row>
    <row r="1072" spans="19:31" x14ac:dyDescent="0.25">
      <c r="S1072" s="65"/>
      <c r="AE1072" s="1"/>
    </row>
    <row r="1073" spans="19:31" x14ac:dyDescent="0.25">
      <c r="S1073" s="65"/>
      <c r="AE1073" s="1"/>
    </row>
    <row r="1074" spans="19:31" x14ac:dyDescent="0.25">
      <c r="S1074" s="65"/>
      <c r="AE1074" s="1"/>
    </row>
    <row r="1075" spans="19:31" x14ac:dyDescent="0.25">
      <c r="S1075" s="65"/>
      <c r="AE1075" s="1"/>
    </row>
    <row r="1076" spans="19:31" x14ac:dyDescent="0.25">
      <c r="S1076" s="65"/>
      <c r="AE1076" s="1"/>
    </row>
    <row r="1077" spans="19:31" x14ac:dyDescent="0.25">
      <c r="S1077" s="65"/>
      <c r="AE1077" s="1"/>
    </row>
    <row r="1078" spans="19:31" x14ac:dyDescent="0.25">
      <c r="S1078" s="65"/>
      <c r="AE1078" s="1"/>
    </row>
    <row r="1079" spans="19:31" x14ac:dyDescent="0.25">
      <c r="S1079" s="65"/>
      <c r="AE1079" s="1"/>
    </row>
    <row r="1080" spans="19:31" x14ac:dyDescent="0.25">
      <c r="S1080" s="65"/>
      <c r="AE1080" s="1"/>
    </row>
    <row r="1081" spans="19:31" x14ac:dyDescent="0.25">
      <c r="S1081" s="65"/>
      <c r="AE1081" s="1"/>
    </row>
    <row r="1082" spans="19:31" x14ac:dyDescent="0.25">
      <c r="S1082" s="65"/>
      <c r="AE1082" s="1"/>
    </row>
    <row r="1083" spans="19:31" x14ac:dyDescent="0.25">
      <c r="S1083" s="65"/>
      <c r="AE1083" s="1"/>
    </row>
    <row r="1084" spans="19:31" x14ac:dyDescent="0.25">
      <c r="S1084" s="65"/>
      <c r="AE1084" s="1"/>
    </row>
    <row r="1085" spans="19:31" x14ac:dyDescent="0.25">
      <c r="S1085" s="65"/>
      <c r="AE1085" s="1"/>
    </row>
    <row r="1086" spans="19:31" x14ac:dyDescent="0.25">
      <c r="S1086" s="65"/>
      <c r="AE1086" s="1"/>
    </row>
    <row r="1087" spans="19:31" x14ac:dyDescent="0.25">
      <c r="S1087" s="65"/>
      <c r="AE1087" s="1"/>
    </row>
    <row r="1088" spans="19:31" x14ac:dyDescent="0.25">
      <c r="S1088" s="65"/>
      <c r="AE1088" s="1"/>
    </row>
    <row r="1089" spans="19:31" x14ac:dyDescent="0.25">
      <c r="S1089" s="65"/>
      <c r="AE1089" s="1"/>
    </row>
    <row r="1090" spans="19:31" x14ac:dyDescent="0.25">
      <c r="S1090" s="65"/>
      <c r="AE1090" s="1"/>
    </row>
    <row r="1091" spans="19:31" x14ac:dyDescent="0.25">
      <c r="S1091" s="65"/>
      <c r="AE1091" s="1"/>
    </row>
    <row r="1092" spans="19:31" x14ac:dyDescent="0.25">
      <c r="S1092" s="65"/>
      <c r="AE1092" s="1"/>
    </row>
    <row r="1093" spans="19:31" x14ac:dyDescent="0.25">
      <c r="S1093" s="65"/>
      <c r="AE1093" s="1"/>
    </row>
    <row r="1094" spans="19:31" x14ac:dyDescent="0.25">
      <c r="S1094" s="65"/>
      <c r="AE1094" s="1"/>
    </row>
    <row r="1095" spans="19:31" x14ac:dyDescent="0.25">
      <c r="S1095" s="65"/>
      <c r="AE1095" s="1"/>
    </row>
    <row r="1096" spans="19:31" x14ac:dyDescent="0.25">
      <c r="S1096" s="65"/>
      <c r="AE1096" s="1"/>
    </row>
    <row r="1097" spans="19:31" x14ac:dyDescent="0.25">
      <c r="S1097" s="65"/>
      <c r="AE1097" s="1"/>
    </row>
    <row r="1098" spans="19:31" x14ac:dyDescent="0.25">
      <c r="S1098" s="65"/>
      <c r="AE1098" s="1"/>
    </row>
    <row r="1099" spans="19:31" x14ac:dyDescent="0.25">
      <c r="S1099" s="65"/>
      <c r="AE1099" s="1"/>
    </row>
    <row r="1100" spans="19:31" x14ac:dyDescent="0.25">
      <c r="S1100" s="65"/>
      <c r="AE1100" s="1"/>
    </row>
    <row r="1101" spans="19:31" x14ac:dyDescent="0.25">
      <c r="S1101" s="65"/>
      <c r="AE1101" s="1"/>
    </row>
    <row r="1102" spans="19:31" x14ac:dyDescent="0.25">
      <c r="S1102" s="65"/>
      <c r="AE1102" s="1"/>
    </row>
    <row r="1103" spans="19:31" x14ac:dyDescent="0.25">
      <c r="S1103" s="65"/>
      <c r="AE1103" s="1"/>
    </row>
    <row r="1104" spans="19:31" x14ac:dyDescent="0.25">
      <c r="S1104" s="65"/>
      <c r="AE1104" s="1"/>
    </row>
    <row r="1105" spans="19:31" x14ac:dyDescent="0.25">
      <c r="S1105" s="65"/>
      <c r="AE1105" s="1"/>
    </row>
    <row r="1106" spans="19:31" x14ac:dyDescent="0.25">
      <c r="S1106" s="65"/>
      <c r="AE1106" s="1"/>
    </row>
    <row r="1107" spans="19:31" x14ac:dyDescent="0.25">
      <c r="S1107" s="65"/>
      <c r="AE1107" s="1"/>
    </row>
    <row r="1108" spans="19:31" x14ac:dyDescent="0.25">
      <c r="S1108" s="65"/>
      <c r="AE1108" s="1"/>
    </row>
    <row r="1109" spans="19:31" x14ac:dyDescent="0.25">
      <c r="S1109" s="65"/>
      <c r="AE1109" s="1"/>
    </row>
    <row r="1110" spans="19:31" x14ac:dyDescent="0.25">
      <c r="S1110" s="65"/>
      <c r="AE1110" s="1"/>
    </row>
    <row r="1111" spans="19:31" x14ac:dyDescent="0.25">
      <c r="S1111" s="65"/>
      <c r="AE1111" s="1"/>
    </row>
    <row r="1112" spans="19:31" x14ac:dyDescent="0.25">
      <c r="S1112" s="65"/>
      <c r="AE1112" s="1"/>
    </row>
    <row r="1113" spans="19:31" x14ac:dyDescent="0.25">
      <c r="S1113" s="65"/>
      <c r="AE1113" s="1"/>
    </row>
    <row r="1114" spans="19:31" x14ac:dyDescent="0.25">
      <c r="S1114" s="65"/>
      <c r="AE1114" s="1"/>
    </row>
    <row r="1115" spans="19:31" x14ac:dyDescent="0.25">
      <c r="S1115" s="65"/>
      <c r="AE1115" s="1"/>
    </row>
    <row r="1116" spans="19:31" x14ac:dyDescent="0.25">
      <c r="S1116" s="65"/>
      <c r="AE1116" s="1"/>
    </row>
    <row r="1117" spans="19:31" x14ac:dyDescent="0.25">
      <c r="S1117" s="65"/>
      <c r="AE1117" s="1"/>
    </row>
    <row r="1118" spans="19:31" x14ac:dyDescent="0.25">
      <c r="S1118" s="65"/>
      <c r="AE1118" s="1"/>
    </row>
    <row r="1119" spans="19:31" x14ac:dyDescent="0.25">
      <c r="S1119" s="65"/>
      <c r="AE1119" s="1"/>
    </row>
    <row r="1120" spans="19:31" x14ac:dyDescent="0.25">
      <c r="S1120" s="65"/>
      <c r="AE1120" s="1"/>
    </row>
    <row r="1121" spans="19:31" x14ac:dyDescent="0.25">
      <c r="S1121" s="65"/>
      <c r="AE1121" s="1"/>
    </row>
    <row r="1122" spans="19:31" x14ac:dyDescent="0.25">
      <c r="S1122" s="65"/>
      <c r="AE1122" s="1"/>
    </row>
    <row r="1123" spans="19:31" x14ac:dyDescent="0.25">
      <c r="S1123" s="65"/>
      <c r="AE1123" s="1"/>
    </row>
    <row r="1124" spans="19:31" x14ac:dyDescent="0.25">
      <c r="S1124" s="65"/>
      <c r="AE1124" s="1"/>
    </row>
    <row r="1125" spans="19:31" x14ac:dyDescent="0.25">
      <c r="S1125" s="65"/>
      <c r="AE1125" s="1"/>
    </row>
    <row r="1126" spans="19:31" x14ac:dyDescent="0.25">
      <c r="S1126" s="65"/>
      <c r="AE1126" s="1"/>
    </row>
    <row r="1127" spans="19:31" x14ac:dyDescent="0.25">
      <c r="S1127" s="65"/>
      <c r="AE1127" s="1"/>
    </row>
    <row r="1128" spans="19:31" x14ac:dyDescent="0.25">
      <c r="S1128" s="65"/>
      <c r="AE1128" s="1"/>
    </row>
    <row r="1129" spans="19:31" x14ac:dyDescent="0.25">
      <c r="S1129" s="65"/>
      <c r="AE1129" s="1"/>
    </row>
    <row r="1130" spans="19:31" x14ac:dyDescent="0.25">
      <c r="S1130" s="65"/>
      <c r="AE1130" s="1"/>
    </row>
    <row r="1131" spans="19:31" x14ac:dyDescent="0.25">
      <c r="S1131" s="65"/>
      <c r="AE1131" s="1"/>
    </row>
    <row r="1132" spans="19:31" x14ac:dyDescent="0.25">
      <c r="S1132" s="65"/>
      <c r="AE1132" s="1"/>
    </row>
    <row r="1133" spans="19:31" x14ac:dyDescent="0.25">
      <c r="S1133" s="65"/>
      <c r="AE1133" s="1"/>
    </row>
    <row r="1134" spans="19:31" x14ac:dyDescent="0.25">
      <c r="S1134" s="65"/>
      <c r="AE1134" s="1"/>
    </row>
    <row r="1135" spans="19:31" x14ac:dyDescent="0.25">
      <c r="S1135" s="65"/>
      <c r="AE1135" s="1"/>
    </row>
    <row r="1136" spans="19:31" x14ac:dyDescent="0.25">
      <c r="S1136" s="65"/>
      <c r="AE1136" s="1"/>
    </row>
    <row r="1137" spans="19:31" x14ac:dyDescent="0.25">
      <c r="S1137" s="65"/>
      <c r="AE1137" s="1"/>
    </row>
    <row r="1138" spans="19:31" x14ac:dyDescent="0.25">
      <c r="S1138" s="65"/>
      <c r="AE1138" s="1"/>
    </row>
    <row r="1139" spans="19:31" x14ac:dyDescent="0.25">
      <c r="S1139" s="65"/>
      <c r="AE1139" s="1"/>
    </row>
    <row r="1140" spans="19:31" x14ac:dyDescent="0.25">
      <c r="S1140" s="65"/>
      <c r="AE1140" s="1"/>
    </row>
    <row r="1141" spans="19:31" x14ac:dyDescent="0.25">
      <c r="S1141" s="65"/>
      <c r="AE1141" s="1"/>
    </row>
    <row r="1142" spans="19:31" x14ac:dyDescent="0.25">
      <c r="S1142" s="65"/>
      <c r="AE1142" s="1"/>
    </row>
    <row r="1143" spans="19:31" x14ac:dyDescent="0.25">
      <c r="S1143" s="65"/>
      <c r="AE1143" s="1"/>
    </row>
    <row r="1144" spans="19:31" x14ac:dyDescent="0.25">
      <c r="S1144" s="65"/>
      <c r="AE1144" s="1"/>
    </row>
    <row r="1145" spans="19:31" x14ac:dyDescent="0.25">
      <c r="S1145" s="65"/>
      <c r="AE1145" s="1"/>
    </row>
    <row r="1146" spans="19:31" x14ac:dyDescent="0.25">
      <c r="S1146" s="65"/>
      <c r="AE1146" s="1"/>
    </row>
    <row r="1147" spans="19:31" x14ac:dyDescent="0.25">
      <c r="S1147" s="65"/>
      <c r="AE1147" s="1"/>
    </row>
    <row r="1148" spans="19:31" x14ac:dyDescent="0.25">
      <c r="S1148" s="65"/>
      <c r="AE1148" s="1"/>
    </row>
    <row r="1149" spans="19:31" x14ac:dyDescent="0.25">
      <c r="S1149" s="65"/>
      <c r="AE1149" s="1"/>
    </row>
    <row r="1150" spans="19:31" x14ac:dyDescent="0.25">
      <c r="S1150" s="65"/>
      <c r="AE1150" s="1"/>
    </row>
    <row r="1151" spans="19:31" x14ac:dyDescent="0.25">
      <c r="S1151" s="65"/>
      <c r="AE1151" s="1"/>
    </row>
    <row r="1152" spans="19:31" x14ac:dyDescent="0.25">
      <c r="S1152" s="65"/>
      <c r="AE1152" s="1"/>
    </row>
    <row r="1153" spans="19:31" x14ac:dyDescent="0.25">
      <c r="S1153" s="65"/>
      <c r="AE1153" s="1"/>
    </row>
    <row r="1154" spans="19:31" x14ac:dyDescent="0.25">
      <c r="S1154" s="65"/>
      <c r="AE1154" s="1"/>
    </row>
    <row r="1155" spans="19:31" x14ac:dyDescent="0.25">
      <c r="S1155" s="65"/>
      <c r="AE1155" s="1"/>
    </row>
    <row r="1156" spans="19:31" x14ac:dyDescent="0.25">
      <c r="S1156" s="65"/>
      <c r="AE1156" s="1"/>
    </row>
    <row r="1157" spans="19:31" x14ac:dyDescent="0.25">
      <c r="S1157" s="65"/>
      <c r="AE1157" s="1"/>
    </row>
    <row r="1158" spans="19:31" x14ac:dyDescent="0.25">
      <c r="S1158" s="65"/>
      <c r="AE1158" s="1"/>
    </row>
    <row r="1159" spans="19:31" x14ac:dyDescent="0.25">
      <c r="S1159" s="65"/>
      <c r="AE1159" s="1"/>
    </row>
    <row r="1160" spans="19:31" x14ac:dyDescent="0.25">
      <c r="S1160" s="65"/>
      <c r="AE1160" s="1"/>
    </row>
    <row r="1161" spans="19:31" x14ac:dyDescent="0.25">
      <c r="S1161" s="65"/>
      <c r="AE1161" s="1"/>
    </row>
    <row r="1162" spans="19:31" x14ac:dyDescent="0.25">
      <c r="S1162" s="65"/>
      <c r="AE1162" s="1"/>
    </row>
    <row r="1163" spans="19:31" x14ac:dyDescent="0.25">
      <c r="S1163" s="65"/>
      <c r="AE1163" s="1"/>
    </row>
    <row r="1164" spans="19:31" x14ac:dyDescent="0.25">
      <c r="S1164" s="65"/>
      <c r="AE1164" s="1"/>
    </row>
    <row r="1165" spans="19:31" x14ac:dyDescent="0.25">
      <c r="S1165" s="65"/>
      <c r="AE1165" s="1"/>
    </row>
    <row r="1166" spans="19:31" x14ac:dyDescent="0.25">
      <c r="S1166" s="65"/>
      <c r="AE1166" s="1"/>
    </row>
    <row r="1167" spans="19:31" x14ac:dyDescent="0.25">
      <c r="S1167" s="65"/>
      <c r="AE1167" s="1"/>
    </row>
    <row r="1168" spans="19:31" x14ac:dyDescent="0.25">
      <c r="S1168" s="65"/>
      <c r="AE1168" s="1"/>
    </row>
    <row r="1169" spans="19:31" x14ac:dyDescent="0.25">
      <c r="S1169" s="65"/>
      <c r="AE1169" s="1"/>
    </row>
    <row r="1170" spans="19:31" x14ac:dyDescent="0.25">
      <c r="S1170" s="65"/>
      <c r="AE1170" s="1"/>
    </row>
    <row r="1171" spans="19:31" x14ac:dyDescent="0.25">
      <c r="S1171" s="65"/>
      <c r="AE1171" s="1"/>
    </row>
    <row r="1172" spans="19:31" x14ac:dyDescent="0.25">
      <c r="S1172" s="65"/>
      <c r="AE1172" s="1"/>
    </row>
    <row r="1173" spans="19:31" x14ac:dyDescent="0.25">
      <c r="S1173" s="65"/>
      <c r="AE1173" s="1"/>
    </row>
    <row r="1174" spans="19:31" x14ac:dyDescent="0.25">
      <c r="S1174" s="65"/>
      <c r="AE1174" s="1"/>
    </row>
    <row r="1175" spans="19:31" x14ac:dyDescent="0.25">
      <c r="S1175" s="65"/>
      <c r="AE1175" s="1"/>
    </row>
    <row r="1176" spans="19:31" x14ac:dyDescent="0.25">
      <c r="S1176" s="65"/>
      <c r="AE1176" s="1"/>
    </row>
    <row r="1177" spans="19:31" x14ac:dyDescent="0.25">
      <c r="S1177" s="65"/>
      <c r="AE1177" s="1"/>
    </row>
    <row r="1178" spans="19:31" x14ac:dyDescent="0.25">
      <c r="S1178" s="65"/>
      <c r="AE1178" s="1"/>
    </row>
    <row r="1179" spans="19:31" x14ac:dyDescent="0.25">
      <c r="S1179" s="65"/>
      <c r="AE1179" s="1"/>
    </row>
    <row r="1180" spans="19:31" x14ac:dyDescent="0.25">
      <c r="S1180" s="65"/>
      <c r="AE1180" s="1"/>
    </row>
    <row r="1181" spans="19:31" x14ac:dyDescent="0.25">
      <c r="S1181" s="65"/>
      <c r="AE1181" s="1"/>
    </row>
    <row r="1182" spans="19:31" x14ac:dyDescent="0.25">
      <c r="S1182" s="65"/>
      <c r="AE1182" s="1"/>
    </row>
    <row r="1183" spans="19:31" x14ac:dyDescent="0.25">
      <c r="S1183" s="65"/>
      <c r="AE1183" s="1"/>
    </row>
    <row r="1184" spans="19:31" x14ac:dyDescent="0.25">
      <c r="S1184" s="65"/>
      <c r="AE1184" s="1"/>
    </row>
    <row r="1185" spans="19:31" x14ac:dyDescent="0.25">
      <c r="S1185" s="65"/>
      <c r="AE1185" s="1"/>
    </row>
    <row r="1186" spans="19:31" x14ac:dyDescent="0.25">
      <c r="S1186" s="65"/>
      <c r="AE1186" s="1"/>
    </row>
    <row r="1187" spans="19:31" x14ac:dyDescent="0.25">
      <c r="S1187" s="65"/>
      <c r="AE1187" s="1"/>
    </row>
    <row r="1188" spans="19:31" x14ac:dyDescent="0.25">
      <c r="S1188" s="65"/>
      <c r="AE1188" s="1"/>
    </row>
    <row r="1189" spans="19:31" x14ac:dyDescent="0.25">
      <c r="S1189" s="65"/>
      <c r="AE1189" s="1"/>
    </row>
    <row r="1190" spans="19:31" x14ac:dyDescent="0.25">
      <c r="S1190" s="65"/>
      <c r="AE1190" s="1"/>
    </row>
    <row r="1191" spans="19:31" x14ac:dyDescent="0.25">
      <c r="S1191" s="65"/>
      <c r="AE1191" s="1"/>
    </row>
    <row r="1192" spans="19:31" x14ac:dyDescent="0.25">
      <c r="S1192" s="65"/>
      <c r="AE1192" s="1"/>
    </row>
    <row r="1193" spans="19:31" x14ac:dyDescent="0.25">
      <c r="S1193" s="65"/>
      <c r="AE1193" s="1"/>
    </row>
    <row r="1194" spans="19:31" x14ac:dyDescent="0.25">
      <c r="S1194" s="65"/>
      <c r="AE1194" s="1"/>
    </row>
    <row r="1195" spans="19:31" x14ac:dyDescent="0.25">
      <c r="S1195" s="65"/>
      <c r="AE1195" s="1"/>
    </row>
    <row r="1196" spans="19:31" x14ac:dyDescent="0.25">
      <c r="S1196" s="65"/>
      <c r="AE1196" s="1"/>
    </row>
    <row r="1197" spans="19:31" x14ac:dyDescent="0.25">
      <c r="S1197" s="65"/>
      <c r="AE1197" s="1"/>
    </row>
    <row r="1198" spans="19:31" x14ac:dyDescent="0.25">
      <c r="S1198" s="65"/>
      <c r="AE1198" s="1"/>
    </row>
    <row r="1199" spans="19:31" x14ac:dyDescent="0.25">
      <c r="S1199" s="65"/>
      <c r="AE1199" s="1"/>
    </row>
    <row r="1200" spans="19:31" x14ac:dyDescent="0.25">
      <c r="S1200" s="65"/>
      <c r="AE1200" s="1"/>
    </row>
    <row r="1201" spans="19:31" x14ac:dyDescent="0.25">
      <c r="S1201" s="65"/>
      <c r="AE1201" s="1"/>
    </row>
    <row r="1202" spans="19:31" x14ac:dyDescent="0.25">
      <c r="S1202" s="65"/>
      <c r="AE1202" s="1"/>
    </row>
    <row r="1203" spans="19:31" x14ac:dyDescent="0.25">
      <c r="S1203" s="65"/>
      <c r="AE1203" s="1"/>
    </row>
    <row r="1204" spans="19:31" x14ac:dyDescent="0.25">
      <c r="S1204" s="65"/>
      <c r="AE1204" s="1"/>
    </row>
    <row r="1205" spans="19:31" x14ac:dyDescent="0.25">
      <c r="S1205" s="65"/>
      <c r="AE1205" s="1"/>
    </row>
    <row r="1206" spans="19:31" x14ac:dyDescent="0.25">
      <c r="S1206" s="65"/>
      <c r="AE1206" s="1"/>
    </row>
    <row r="1207" spans="19:31" x14ac:dyDescent="0.25">
      <c r="S1207" s="65"/>
      <c r="AE1207" s="1"/>
    </row>
    <row r="1208" spans="19:31" x14ac:dyDescent="0.25">
      <c r="S1208" s="65"/>
      <c r="AE1208" s="1"/>
    </row>
    <row r="1209" spans="19:31" x14ac:dyDescent="0.25">
      <c r="S1209" s="65"/>
      <c r="AE1209" s="1"/>
    </row>
    <row r="1210" spans="19:31" x14ac:dyDescent="0.25">
      <c r="S1210" s="65"/>
      <c r="AE1210" s="1"/>
    </row>
    <row r="1211" spans="19:31" x14ac:dyDescent="0.25">
      <c r="S1211" s="65"/>
      <c r="AE1211" s="1"/>
    </row>
    <row r="1212" spans="19:31" x14ac:dyDescent="0.25">
      <c r="S1212" s="65"/>
      <c r="AE1212" s="1"/>
    </row>
    <row r="1213" spans="19:31" x14ac:dyDescent="0.25">
      <c r="S1213" s="65"/>
      <c r="AE1213" s="1"/>
    </row>
    <row r="1214" spans="19:31" x14ac:dyDescent="0.25">
      <c r="S1214" s="65"/>
      <c r="AE1214" s="1"/>
    </row>
    <row r="1215" spans="19:31" x14ac:dyDescent="0.25">
      <c r="S1215" s="65"/>
      <c r="AE1215" s="1"/>
    </row>
    <row r="1216" spans="19:31" x14ac:dyDescent="0.25">
      <c r="S1216" s="65"/>
      <c r="AE1216" s="1"/>
    </row>
    <row r="1217" spans="19:31" x14ac:dyDescent="0.25">
      <c r="S1217" s="65"/>
      <c r="AE1217" s="1"/>
    </row>
    <row r="1218" spans="19:31" x14ac:dyDescent="0.25">
      <c r="S1218" s="65"/>
      <c r="AE1218" s="1"/>
    </row>
    <row r="1219" spans="19:31" x14ac:dyDescent="0.25">
      <c r="S1219" s="65"/>
      <c r="AE1219" s="1"/>
    </row>
    <row r="1220" spans="19:31" x14ac:dyDescent="0.25">
      <c r="S1220" s="65"/>
      <c r="AE1220" s="1"/>
    </row>
    <row r="1221" spans="19:31" x14ac:dyDescent="0.25">
      <c r="S1221" s="65"/>
      <c r="AE1221" s="1"/>
    </row>
    <row r="1222" spans="19:31" x14ac:dyDescent="0.25">
      <c r="S1222" s="65"/>
      <c r="AE1222" s="1"/>
    </row>
    <row r="1223" spans="19:31" x14ac:dyDescent="0.25">
      <c r="S1223" s="65"/>
      <c r="AE1223" s="1"/>
    </row>
    <row r="1224" spans="19:31" x14ac:dyDescent="0.25">
      <c r="S1224" s="65"/>
      <c r="AE1224" s="1"/>
    </row>
    <row r="1225" spans="19:31" x14ac:dyDescent="0.25">
      <c r="S1225" s="65"/>
      <c r="AE1225" s="1"/>
    </row>
    <row r="1226" spans="19:31" x14ac:dyDescent="0.25">
      <c r="S1226" s="65"/>
      <c r="AE1226" s="1"/>
    </row>
    <row r="1227" spans="19:31" x14ac:dyDescent="0.25">
      <c r="S1227" s="65"/>
      <c r="AE1227" s="1"/>
    </row>
    <row r="1228" spans="19:31" x14ac:dyDescent="0.25">
      <c r="S1228" s="65"/>
      <c r="AE1228" s="1"/>
    </row>
    <row r="1229" spans="19:31" x14ac:dyDescent="0.25">
      <c r="S1229" s="65"/>
      <c r="AE1229" s="1"/>
    </row>
    <row r="1230" spans="19:31" x14ac:dyDescent="0.25">
      <c r="S1230" s="65"/>
      <c r="AE1230" s="1"/>
    </row>
    <row r="1231" spans="19:31" x14ac:dyDescent="0.25">
      <c r="S1231" s="65"/>
      <c r="AE1231" s="1"/>
    </row>
    <row r="1232" spans="19:31" x14ac:dyDescent="0.25">
      <c r="S1232" s="65"/>
      <c r="AE1232" s="1"/>
    </row>
    <row r="1233" spans="19:31" x14ac:dyDescent="0.25">
      <c r="S1233" s="65"/>
      <c r="AE1233" s="1"/>
    </row>
    <row r="1234" spans="19:31" x14ac:dyDescent="0.25">
      <c r="S1234" s="65"/>
      <c r="AE1234" s="1"/>
    </row>
    <row r="1235" spans="19:31" x14ac:dyDescent="0.25">
      <c r="S1235" s="65"/>
      <c r="AE1235" s="1"/>
    </row>
    <row r="1236" spans="19:31" x14ac:dyDescent="0.25">
      <c r="S1236" s="65"/>
      <c r="AE1236" s="1"/>
    </row>
    <row r="1237" spans="19:31" x14ac:dyDescent="0.25">
      <c r="S1237" s="65"/>
      <c r="AE1237" s="1"/>
    </row>
    <row r="1238" spans="19:31" x14ac:dyDescent="0.25">
      <c r="S1238" s="65"/>
      <c r="AE1238" s="1"/>
    </row>
    <row r="1239" spans="19:31" x14ac:dyDescent="0.25">
      <c r="S1239" s="65"/>
      <c r="AE1239" s="1"/>
    </row>
    <row r="1240" spans="19:31" x14ac:dyDescent="0.25">
      <c r="S1240" s="65"/>
      <c r="AE1240" s="1"/>
    </row>
    <row r="1241" spans="19:31" x14ac:dyDescent="0.25">
      <c r="S1241" s="65"/>
      <c r="AE1241" s="1"/>
    </row>
    <row r="1242" spans="19:31" x14ac:dyDescent="0.25">
      <c r="S1242" s="65"/>
      <c r="AE1242" s="1"/>
    </row>
    <row r="1243" spans="19:31" x14ac:dyDescent="0.25">
      <c r="S1243" s="65"/>
      <c r="AE1243" s="1"/>
    </row>
    <row r="1244" spans="19:31" x14ac:dyDescent="0.25">
      <c r="S1244" s="65"/>
      <c r="AE1244" s="1"/>
    </row>
    <row r="1245" spans="19:31" x14ac:dyDescent="0.25">
      <c r="S1245" s="65"/>
      <c r="AE1245" s="1"/>
    </row>
    <row r="1246" spans="19:31" x14ac:dyDescent="0.25">
      <c r="S1246" s="65"/>
      <c r="AE1246" s="1"/>
    </row>
    <row r="1247" spans="19:31" x14ac:dyDescent="0.25">
      <c r="S1247" s="65"/>
      <c r="AE1247" s="1"/>
    </row>
    <row r="1248" spans="19:31" x14ac:dyDescent="0.25">
      <c r="S1248" s="65"/>
      <c r="AE1248" s="1"/>
    </row>
    <row r="1249" spans="19:31" x14ac:dyDescent="0.25">
      <c r="S1249" s="65"/>
      <c r="AE1249" s="1"/>
    </row>
    <row r="1250" spans="19:31" x14ac:dyDescent="0.25">
      <c r="S1250" s="65"/>
      <c r="AE1250" s="1"/>
    </row>
    <row r="1251" spans="19:31" x14ac:dyDescent="0.25">
      <c r="S1251" s="65"/>
      <c r="AE1251" s="1"/>
    </row>
    <row r="1252" spans="19:31" x14ac:dyDescent="0.25">
      <c r="S1252" s="65"/>
      <c r="AE1252" s="1"/>
    </row>
    <row r="1253" spans="19:31" x14ac:dyDescent="0.25">
      <c r="S1253" s="65"/>
      <c r="AE1253" s="1"/>
    </row>
    <row r="1254" spans="19:31" x14ac:dyDescent="0.25">
      <c r="S1254" s="65"/>
      <c r="AE1254" s="1"/>
    </row>
    <row r="1255" spans="19:31" x14ac:dyDescent="0.25">
      <c r="S1255" s="65"/>
      <c r="AE1255" s="1"/>
    </row>
    <row r="1256" spans="19:31" x14ac:dyDescent="0.25">
      <c r="S1256" s="65"/>
      <c r="AE1256" s="1"/>
    </row>
    <row r="1257" spans="19:31" x14ac:dyDescent="0.25">
      <c r="S1257" s="65"/>
      <c r="AE1257" s="1"/>
    </row>
    <row r="1258" spans="19:31" x14ac:dyDescent="0.25">
      <c r="S1258" s="65"/>
      <c r="AE1258" s="1"/>
    </row>
    <row r="1259" spans="19:31" x14ac:dyDescent="0.25">
      <c r="S1259" s="65"/>
      <c r="AE1259" s="1"/>
    </row>
    <row r="1260" spans="19:31" x14ac:dyDescent="0.25">
      <c r="S1260" s="65"/>
      <c r="AE1260" s="1"/>
    </row>
    <row r="1261" spans="19:31" x14ac:dyDescent="0.25">
      <c r="S1261" s="65"/>
      <c r="AE1261" s="1"/>
    </row>
    <row r="1262" spans="19:31" x14ac:dyDescent="0.25">
      <c r="S1262" s="65"/>
      <c r="AE1262" s="1"/>
    </row>
    <row r="1263" spans="19:31" x14ac:dyDescent="0.25">
      <c r="S1263" s="65"/>
      <c r="AE1263" s="1"/>
    </row>
    <row r="1264" spans="19:31" x14ac:dyDescent="0.25">
      <c r="S1264" s="65"/>
      <c r="AE1264" s="1"/>
    </row>
    <row r="1265" spans="19:31" x14ac:dyDescent="0.25">
      <c r="S1265" s="65"/>
      <c r="AE1265" s="1"/>
    </row>
    <row r="1266" spans="19:31" x14ac:dyDescent="0.25">
      <c r="S1266" s="65"/>
      <c r="AE1266" s="1"/>
    </row>
    <row r="1267" spans="19:31" x14ac:dyDescent="0.25">
      <c r="S1267" s="65"/>
      <c r="AE1267" s="1"/>
    </row>
    <row r="1268" spans="19:31" x14ac:dyDescent="0.25">
      <c r="S1268" s="65"/>
      <c r="AE1268" s="1"/>
    </row>
    <row r="1269" spans="19:31" x14ac:dyDescent="0.25">
      <c r="S1269" s="65"/>
      <c r="AE1269" s="1"/>
    </row>
    <row r="1270" spans="19:31" x14ac:dyDescent="0.25">
      <c r="S1270" s="65"/>
      <c r="AE1270" s="1"/>
    </row>
    <row r="1271" spans="19:31" x14ac:dyDescent="0.25">
      <c r="S1271" s="65"/>
      <c r="AE1271" s="1"/>
    </row>
    <row r="1272" spans="19:31" x14ac:dyDescent="0.25">
      <c r="S1272" s="65"/>
      <c r="AE1272" s="1"/>
    </row>
    <row r="1273" spans="19:31" x14ac:dyDescent="0.25">
      <c r="S1273" s="65"/>
      <c r="AE1273" s="1"/>
    </row>
    <row r="1274" spans="19:31" x14ac:dyDescent="0.25">
      <c r="S1274" s="65"/>
      <c r="AE1274" s="1"/>
    </row>
    <row r="1275" spans="19:31" x14ac:dyDescent="0.25">
      <c r="S1275" s="65"/>
      <c r="AE1275" s="1"/>
    </row>
    <row r="1276" spans="19:31" x14ac:dyDescent="0.25">
      <c r="S1276" s="65"/>
      <c r="AE1276" s="1"/>
    </row>
    <row r="1277" spans="19:31" x14ac:dyDescent="0.25">
      <c r="S1277" s="65"/>
      <c r="AE1277" s="1"/>
    </row>
    <row r="1278" spans="19:31" x14ac:dyDescent="0.25">
      <c r="S1278" s="65"/>
      <c r="AE1278" s="1"/>
    </row>
    <row r="1279" spans="19:31" x14ac:dyDescent="0.25">
      <c r="S1279" s="65"/>
      <c r="AE1279" s="1"/>
    </row>
    <row r="1280" spans="19:31" x14ac:dyDescent="0.25">
      <c r="S1280" s="65"/>
      <c r="AE1280" s="1"/>
    </row>
    <row r="1281" spans="19:31" x14ac:dyDescent="0.25">
      <c r="S1281" s="65"/>
      <c r="AE1281" s="1"/>
    </row>
    <row r="1282" spans="19:31" x14ac:dyDescent="0.25">
      <c r="S1282" s="65"/>
      <c r="AE1282" s="1"/>
    </row>
    <row r="1283" spans="19:31" x14ac:dyDescent="0.25">
      <c r="S1283" s="65"/>
      <c r="AE1283" s="1"/>
    </row>
    <row r="1284" spans="19:31" x14ac:dyDescent="0.25">
      <c r="S1284" s="65"/>
      <c r="AE1284" s="1"/>
    </row>
    <row r="1285" spans="19:31" x14ac:dyDescent="0.25">
      <c r="S1285" s="65"/>
      <c r="AE1285" s="1"/>
    </row>
    <row r="1286" spans="19:31" x14ac:dyDescent="0.25">
      <c r="S1286" s="65"/>
      <c r="AE1286" s="1"/>
    </row>
    <row r="1287" spans="19:31" x14ac:dyDescent="0.25">
      <c r="S1287" s="65"/>
      <c r="AE1287" s="1"/>
    </row>
    <row r="1288" spans="19:31" x14ac:dyDescent="0.25">
      <c r="S1288" s="65"/>
      <c r="AE1288" s="1"/>
    </row>
    <row r="1289" spans="19:31" x14ac:dyDescent="0.25">
      <c r="S1289" s="65"/>
      <c r="AE1289" s="1"/>
    </row>
    <row r="1290" spans="19:31" x14ac:dyDescent="0.25">
      <c r="S1290" s="65"/>
      <c r="AE1290" s="1"/>
    </row>
    <row r="1291" spans="19:31" x14ac:dyDescent="0.25">
      <c r="S1291" s="65"/>
      <c r="AE1291" s="1"/>
    </row>
    <row r="1292" spans="19:31" x14ac:dyDescent="0.25">
      <c r="S1292" s="65"/>
      <c r="AE1292" s="1"/>
    </row>
    <row r="1293" spans="19:31" x14ac:dyDescent="0.25">
      <c r="S1293" s="65"/>
      <c r="AE1293" s="1"/>
    </row>
    <row r="1294" spans="19:31" x14ac:dyDescent="0.25">
      <c r="S1294" s="65"/>
      <c r="AE1294" s="1"/>
    </row>
    <row r="1295" spans="19:31" x14ac:dyDescent="0.25">
      <c r="S1295" s="65"/>
      <c r="AE1295" s="1"/>
    </row>
    <row r="1296" spans="19:31" x14ac:dyDescent="0.25">
      <c r="S1296" s="65"/>
      <c r="AE1296" s="1"/>
    </row>
    <row r="1297" spans="19:31" x14ac:dyDescent="0.25">
      <c r="S1297" s="65"/>
      <c r="AE1297" s="1"/>
    </row>
    <row r="1298" spans="19:31" x14ac:dyDescent="0.25">
      <c r="S1298" s="65"/>
      <c r="AE1298" s="1"/>
    </row>
    <row r="1299" spans="19:31" x14ac:dyDescent="0.25">
      <c r="S1299" s="65"/>
      <c r="AE1299" s="1"/>
    </row>
    <row r="1300" spans="19:31" x14ac:dyDescent="0.25">
      <c r="S1300" s="65"/>
      <c r="AE1300" s="1"/>
    </row>
    <row r="1301" spans="19:31" x14ac:dyDescent="0.25">
      <c r="S1301" s="65"/>
      <c r="AE1301" s="1"/>
    </row>
    <row r="1302" spans="19:31" x14ac:dyDescent="0.25">
      <c r="S1302" s="65"/>
      <c r="AE1302" s="1"/>
    </row>
    <row r="1303" spans="19:31" x14ac:dyDescent="0.25">
      <c r="S1303" s="65"/>
      <c r="AE1303" s="1"/>
    </row>
    <row r="1304" spans="19:31" x14ac:dyDescent="0.25">
      <c r="S1304" s="65"/>
      <c r="AE1304" s="1"/>
    </row>
    <row r="1305" spans="19:31" x14ac:dyDescent="0.25">
      <c r="S1305" s="65"/>
      <c r="AE1305" s="1"/>
    </row>
    <row r="1306" spans="19:31" x14ac:dyDescent="0.25">
      <c r="S1306" s="65"/>
      <c r="AE1306" s="1"/>
    </row>
    <row r="1307" spans="19:31" x14ac:dyDescent="0.25">
      <c r="S1307" s="65"/>
      <c r="AE1307" s="1"/>
    </row>
    <row r="1308" spans="19:31" x14ac:dyDescent="0.25">
      <c r="S1308" s="65"/>
      <c r="AE1308" s="1"/>
    </row>
    <row r="1309" spans="19:31" x14ac:dyDescent="0.25">
      <c r="S1309" s="65"/>
      <c r="AE1309" s="1"/>
    </row>
    <row r="1310" spans="19:31" x14ac:dyDescent="0.25">
      <c r="S1310" s="65"/>
      <c r="AE1310" s="1"/>
    </row>
    <row r="1311" spans="19:31" x14ac:dyDescent="0.25">
      <c r="S1311" s="65"/>
      <c r="AE1311" s="1"/>
    </row>
    <row r="1312" spans="19:31" x14ac:dyDescent="0.25">
      <c r="S1312" s="65"/>
      <c r="AE1312" s="1"/>
    </row>
    <row r="1313" spans="19:31" x14ac:dyDescent="0.25">
      <c r="S1313" s="65"/>
      <c r="AE1313" s="1"/>
    </row>
    <row r="1314" spans="19:31" x14ac:dyDescent="0.25">
      <c r="S1314" s="65"/>
      <c r="AE1314" s="1"/>
    </row>
    <row r="1315" spans="19:31" x14ac:dyDescent="0.25">
      <c r="S1315" s="65"/>
      <c r="AE1315" s="1"/>
    </row>
    <row r="1316" spans="19:31" x14ac:dyDescent="0.25">
      <c r="S1316" s="65"/>
      <c r="AE1316" s="1"/>
    </row>
    <row r="1317" spans="19:31" x14ac:dyDescent="0.25">
      <c r="S1317" s="65"/>
      <c r="AE1317" s="1"/>
    </row>
    <row r="1318" spans="19:31" x14ac:dyDescent="0.25">
      <c r="S1318" s="65"/>
      <c r="AE1318" s="1"/>
    </row>
    <row r="1319" spans="19:31" x14ac:dyDescent="0.25">
      <c r="S1319" s="65"/>
      <c r="AE1319" s="1"/>
    </row>
    <row r="1320" spans="19:31" x14ac:dyDescent="0.25">
      <c r="S1320" s="65"/>
      <c r="AE1320" s="1"/>
    </row>
    <row r="1321" spans="19:31" x14ac:dyDescent="0.25">
      <c r="S1321" s="65"/>
      <c r="AE1321" s="1"/>
    </row>
    <row r="1322" spans="19:31" x14ac:dyDescent="0.25">
      <c r="S1322" s="65"/>
      <c r="AE1322" s="1"/>
    </row>
    <row r="1323" spans="19:31" x14ac:dyDescent="0.25">
      <c r="S1323" s="65"/>
      <c r="AE1323" s="1"/>
    </row>
    <row r="1324" spans="19:31" x14ac:dyDescent="0.25">
      <c r="S1324" s="65"/>
      <c r="AE1324" s="1"/>
    </row>
    <row r="1325" spans="19:31" x14ac:dyDescent="0.25">
      <c r="S1325" s="65"/>
      <c r="AE1325" s="1"/>
    </row>
    <row r="1326" spans="19:31" x14ac:dyDescent="0.25">
      <c r="S1326" s="65"/>
      <c r="AE1326" s="1"/>
    </row>
    <row r="1327" spans="19:31" x14ac:dyDescent="0.25">
      <c r="S1327" s="65"/>
      <c r="AE1327" s="1"/>
    </row>
    <row r="1328" spans="19:31" x14ac:dyDescent="0.25">
      <c r="S1328" s="65"/>
      <c r="AE1328" s="1"/>
    </row>
    <row r="1329" spans="19:31" x14ac:dyDescent="0.25">
      <c r="S1329" s="65"/>
      <c r="AE1329" s="1"/>
    </row>
    <row r="1330" spans="19:31" x14ac:dyDescent="0.25">
      <c r="S1330" s="65"/>
      <c r="AE1330" s="1"/>
    </row>
    <row r="1331" spans="19:31" x14ac:dyDescent="0.25">
      <c r="S1331" s="65"/>
      <c r="AE1331" s="1"/>
    </row>
    <row r="1332" spans="19:31" x14ac:dyDescent="0.25">
      <c r="S1332" s="65"/>
      <c r="AE1332" s="1"/>
    </row>
    <row r="1333" spans="19:31" x14ac:dyDescent="0.25">
      <c r="S1333" s="65"/>
      <c r="AE1333" s="1"/>
    </row>
    <row r="1334" spans="19:31" x14ac:dyDescent="0.25">
      <c r="S1334" s="65"/>
      <c r="AE1334" s="1"/>
    </row>
    <row r="1335" spans="19:31" x14ac:dyDescent="0.25">
      <c r="S1335" s="65"/>
      <c r="AE1335" s="1"/>
    </row>
    <row r="1336" spans="19:31" x14ac:dyDescent="0.25">
      <c r="S1336" s="65"/>
      <c r="AE1336" s="1"/>
    </row>
    <row r="1337" spans="19:31" x14ac:dyDescent="0.25">
      <c r="S1337" s="65"/>
      <c r="AE1337" s="1"/>
    </row>
    <row r="1338" spans="19:31" x14ac:dyDescent="0.25">
      <c r="S1338" s="65"/>
      <c r="AE1338" s="1"/>
    </row>
    <row r="1339" spans="19:31" x14ac:dyDescent="0.25">
      <c r="S1339" s="65"/>
      <c r="AE1339" s="1"/>
    </row>
    <row r="1340" spans="19:31" x14ac:dyDescent="0.25">
      <c r="S1340" s="65"/>
      <c r="AE1340" s="1"/>
    </row>
    <row r="1341" spans="19:31" x14ac:dyDescent="0.25">
      <c r="S1341" s="65"/>
      <c r="AE1341" s="1"/>
    </row>
    <row r="1342" spans="19:31" x14ac:dyDescent="0.25">
      <c r="S1342" s="65"/>
      <c r="AE1342" s="1"/>
    </row>
    <row r="1343" spans="19:31" x14ac:dyDescent="0.25">
      <c r="S1343" s="65"/>
      <c r="AE1343" s="1"/>
    </row>
    <row r="1344" spans="19:31" x14ac:dyDescent="0.25">
      <c r="S1344" s="65"/>
      <c r="AE1344" s="1"/>
    </row>
    <row r="1345" spans="19:31" x14ac:dyDescent="0.25">
      <c r="S1345" s="65"/>
      <c r="AE1345" s="1"/>
    </row>
    <row r="1346" spans="19:31" x14ac:dyDescent="0.25">
      <c r="S1346" s="65"/>
      <c r="AE1346" s="1"/>
    </row>
    <row r="1347" spans="19:31" x14ac:dyDescent="0.25">
      <c r="S1347" s="65"/>
      <c r="AE1347" s="1"/>
    </row>
    <row r="1348" spans="19:31" x14ac:dyDescent="0.25">
      <c r="S1348" s="65"/>
      <c r="AE1348" s="1"/>
    </row>
    <row r="1349" spans="19:31" x14ac:dyDescent="0.25">
      <c r="S1349" s="65"/>
      <c r="AE1349" s="1"/>
    </row>
    <row r="1350" spans="19:31" x14ac:dyDescent="0.25">
      <c r="S1350" s="65"/>
      <c r="AE1350" s="1"/>
    </row>
    <row r="1351" spans="19:31" x14ac:dyDescent="0.25">
      <c r="S1351" s="65"/>
      <c r="AE1351" s="1"/>
    </row>
    <row r="1352" spans="19:31" x14ac:dyDescent="0.25">
      <c r="S1352" s="65"/>
      <c r="AE1352" s="1"/>
    </row>
    <row r="1353" spans="19:31" x14ac:dyDescent="0.25">
      <c r="S1353" s="65"/>
      <c r="AE1353" s="1"/>
    </row>
    <row r="1354" spans="19:31" x14ac:dyDescent="0.25">
      <c r="S1354" s="65"/>
      <c r="AE1354" s="1"/>
    </row>
    <row r="1355" spans="19:31" x14ac:dyDescent="0.25">
      <c r="S1355" s="65"/>
      <c r="AE1355" s="1"/>
    </row>
    <row r="1356" spans="19:31" x14ac:dyDescent="0.25">
      <c r="S1356" s="65"/>
      <c r="AE1356" s="1"/>
    </row>
    <row r="1357" spans="19:31" x14ac:dyDescent="0.25">
      <c r="S1357" s="65"/>
      <c r="AE1357" s="1"/>
    </row>
    <row r="1358" spans="19:31" x14ac:dyDescent="0.25">
      <c r="S1358" s="65"/>
      <c r="AE1358" s="1"/>
    </row>
    <row r="1359" spans="19:31" x14ac:dyDescent="0.25">
      <c r="S1359" s="65"/>
      <c r="AE1359" s="1"/>
    </row>
    <row r="1360" spans="19:31" x14ac:dyDescent="0.25">
      <c r="S1360" s="65"/>
      <c r="AE1360" s="1"/>
    </row>
    <row r="1361" spans="19:31" x14ac:dyDescent="0.25">
      <c r="S1361" s="65"/>
      <c r="AE1361" s="1"/>
    </row>
    <row r="1362" spans="19:31" x14ac:dyDescent="0.25">
      <c r="S1362" s="65"/>
      <c r="AE1362" s="1"/>
    </row>
    <row r="1363" spans="19:31" x14ac:dyDescent="0.25">
      <c r="S1363" s="65"/>
      <c r="AE1363" s="1"/>
    </row>
    <row r="1364" spans="19:31" x14ac:dyDescent="0.25">
      <c r="S1364" s="65"/>
      <c r="AE1364" s="1"/>
    </row>
    <row r="1365" spans="19:31" x14ac:dyDescent="0.25">
      <c r="S1365" s="65"/>
      <c r="AE1365" s="1"/>
    </row>
    <row r="1366" spans="19:31" x14ac:dyDescent="0.25">
      <c r="S1366" s="65"/>
      <c r="AE1366" s="1"/>
    </row>
    <row r="1367" spans="19:31" x14ac:dyDescent="0.25">
      <c r="S1367" s="65"/>
      <c r="AE1367" s="1"/>
    </row>
    <row r="1368" spans="19:31" x14ac:dyDescent="0.25">
      <c r="S1368" s="65"/>
      <c r="AE1368" s="1"/>
    </row>
    <row r="1369" spans="19:31" x14ac:dyDescent="0.25">
      <c r="S1369" s="65"/>
      <c r="AE1369" s="1"/>
    </row>
    <row r="1370" spans="19:31" x14ac:dyDescent="0.25">
      <c r="S1370" s="65"/>
      <c r="AE1370" s="1"/>
    </row>
    <row r="1371" spans="19:31" x14ac:dyDescent="0.25">
      <c r="S1371" s="65"/>
      <c r="AE1371" s="1"/>
    </row>
    <row r="1372" spans="19:31" x14ac:dyDescent="0.25">
      <c r="S1372" s="65"/>
      <c r="AE1372" s="1"/>
    </row>
    <row r="1373" spans="19:31" x14ac:dyDescent="0.25">
      <c r="S1373" s="65"/>
      <c r="AE1373" s="1"/>
    </row>
    <row r="1374" spans="19:31" x14ac:dyDescent="0.25">
      <c r="S1374" s="65"/>
      <c r="AE1374" s="1"/>
    </row>
    <row r="1375" spans="19:31" x14ac:dyDescent="0.25">
      <c r="S1375" s="65"/>
      <c r="AE1375" s="1"/>
    </row>
    <row r="1376" spans="19:31" x14ac:dyDescent="0.25">
      <c r="S1376" s="65"/>
      <c r="AE1376" s="1"/>
    </row>
    <row r="1377" spans="19:31" x14ac:dyDescent="0.25">
      <c r="S1377" s="65"/>
      <c r="AE1377" s="1"/>
    </row>
    <row r="1378" spans="19:31" x14ac:dyDescent="0.25">
      <c r="S1378" s="65"/>
      <c r="AE1378" s="1"/>
    </row>
    <row r="1379" spans="19:31" x14ac:dyDescent="0.25">
      <c r="S1379" s="65"/>
      <c r="AE1379" s="1"/>
    </row>
    <row r="1380" spans="19:31" x14ac:dyDescent="0.25">
      <c r="S1380" s="65"/>
      <c r="AE1380" s="1"/>
    </row>
    <row r="1381" spans="19:31" x14ac:dyDescent="0.25">
      <c r="S1381" s="65"/>
      <c r="AE1381" s="1"/>
    </row>
    <row r="1382" spans="19:31" x14ac:dyDescent="0.25">
      <c r="S1382" s="65"/>
      <c r="AE1382" s="1"/>
    </row>
    <row r="1383" spans="19:31" x14ac:dyDescent="0.25">
      <c r="S1383" s="65"/>
      <c r="AE1383" s="1"/>
    </row>
    <row r="1384" spans="19:31" x14ac:dyDescent="0.25">
      <c r="S1384" s="65"/>
      <c r="AE1384" s="1"/>
    </row>
    <row r="1385" spans="19:31" x14ac:dyDescent="0.25">
      <c r="S1385" s="65"/>
      <c r="AE1385" s="1"/>
    </row>
    <row r="1386" spans="19:31" x14ac:dyDescent="0.25">
      <c r="S1386" s="65"/>
      <c r="AE1386" s="1"/>
    </row>
    <row r="1387" spans="19:31" x14ac:dyDescent="0.25">
      <c r="S1387" s="65"/>
      <c r="AE1387" s="1"/>
    </row>
    <row r="1388" spans="19:31" x14ac:dyDescent="0.25">
      <c r="S1388" s="65"/>
      <c r="AE1388" s="1"/>
    </row>
    <row r="1389" spans="19:31" x14ac:dyDescent="0.25">
      <c r="S1389" s="65"/>
      <c r="AE1389" s="1"/>
    </row>
    <row r="1390" spans="19:31" x14ac:dyDescent="0.25">
      <c r="S1390" s="65"/>
      <c r="AE1390" s="1"/>
    </row>
    <row r="1391" spans="19:31" x14ac:dyDescent="0.25">
      <c r="S1391" s="65"/>
      <c r="AE1391" s="1"/>
    </row>
    <row r="1392" spans="19:31" x14ac:dyDescent="0.25">
      <c r="S1392" s="65"/>
      <c r="AE1392" s="1"/>
    </row>
    <row r="1393" spans="19:31" x14ac:dyDescent="0.25">
      <c r="S1393" s="65"/>
      <c r="AE1393" s="1"/>
    </row>
    <row r="1394" spans="19:31" x14ac:dyDescent="0.25">
      <c r="S1394" s="65"/>
      <c r="AE1394" s="1"/>
    </row>
    <row r="1395" spans="19:31" x14ac:dyDescent="0.25">
      <c r="S1395" s="65"/>
      <c r="AE1395" s="1"/>
    </row>
    <row r="1396" spans="19:31" x14ac:dyDescent="0.25">
      <c r="S1396" s="65"/>
      <c r="AE1396" s="1"/>
    </row>
    <row r="1397" spans="19:31" x14ac:dyDescent="0.25">
      <c r="S1397" s="65"/>
      <c r="AE1397" s="1"/>
    </row>
    <row r="1398" spans="19:31" x14ac:dyDescent="0.25">
      <c r="S1398" s="65"/>
      <c r="AE1398" s="1"/>
    </row>
    <row r="1399" spans="19:31" x14ac:dyDescent="0.25">
      <c r="S1399" s="65"/>
      <c r="AE1399" s="1"/>
    </row>
    <row r="1400" spans="19:31" x14ac:dyDescent="0.25">
      <c r="S1400" s="65"/>
      <c r="AE1400" s="1"/>
    </row>
    <row r="1401" spans="19:31" x14ac:dyDescent="0.25">
      <c r="S1401" s="65"/>
      <c r="AE1401" s="1"/>
    </row>
    <row r="1402" spans="19:31" x14ac:dyDescent="0.25">
      <c r="S1402" s="65"/>
      <c r="AE1402" s="1"/>
    </row>
    <row r="1403" spans="19:31" x14ac:dyDescent="0.25">
      <c r="S1403" s="65"/>
      <c r="AE1403" s="1"/>
    </row>
    <row r="1404" spans="19:31" x14ac:dyDescent="0.25">
      <c r="S1404" s="65"/>
      <c r="AE1404" s="1"/>
    </row>
    <row r="1405" spans="19:31" x14ac:dyDescent="0.25">
      <c r="S1405" s="65"/>
      <c r="AE1405" s="1"/>
    </row>
    <row r="1406" spans="19:31" x14ac:dyDescent="0.25">
      <c r="S1406" s="65"/>
      <c r="AE1406" s="1"/>
    </row>
    <row r="1407" spans="19:31" x14ac:dyDescent="0.25">
      <c r="S1407" s="65"/>
      <c r="AE1407" s="1"/>
    </row>
    <row r="1408" spans="19:31" x14ac:dyDescent="0.25">
      <c r="S1408" s="65"/>
      <c r="AE1408" s="1"/>
    </row>
    <row r="1409" spans="19:31" x14ac:dyDescent="0.25">
      <c r="S1409" s="65"/>
      <c r="AE1409" s="1"/>
    </row>
    <row r="1410" spans="19:31" x14ac:dyDescent="0.25">
      <c r="S1410" s="65"/>
      <c r="AE1410" s="1"/>
    </row>
    <row r="1411" spans="19:31" x14ac:dyDescent="0.25">
      <c r="S1411" s="65"/>
      <c r="AE1411" s="1"/>
    </row>
    <row r="1412" spans="19:31" x14ac:dyDescent="0.25">
      <c r="S1412" s="65"/>
      <c r="AE1412" s="1"/>
    </row>
    <row r="1413" spans="19:31" x14ac:dyDescent="0.25">
      <c r="S1413" s="65"/>
      <c r="AE1413" s="1"/>
    </row>
    <row r="1414" spans="19:31" x14ac:dyDescent="0.25">
      <c r="S1414" s="65"/>
      <c r="AE1414" s="1"/>
    </row>
    <row r="1415" spans="19:31" x14ac:dyDescent="0.25">
      <c r="S1415" s="65"/>
      <c r="AE1415" s="1"/>
    </row>
    <row r="1416" spans="19:31" x14ac:dyDescent="0.25">
      <c r="S1416" s="65"/>
      <c r="AE1416" s="1"/>
    </row>
    <row r="1417" spans="19:31" x14ac:dyDescent="0.25">
      <c r="S1417" s="65"/>
      <c r="AE1417" s="1"/>
    </row>
    <row r="1418" spans="19:31" x14ac:dyDescent="0.25">
      <c r="S1418" s="65"/>
      <c r="AE1418" s="1"/>
    </row>
    <row r="1419" spans="19:31" x14ac:dyDescent="0.25">
      <c r="S1419" s="65"/>
      <c r="AE1419" s="1"/>
    </row>
    <row r="1420" spans="19:31" x14ac:dyDescent="0.25">
      <c r="S1420" s="65"/>
      <c r="AE1420" s="1"/>
    </row>
    <row r="1421" spans="19:31" x14ac:dyDescent="0.25">
      <c r="S1421" s="65"/>
      <c r="AE1421" s="1"/>
    </row>
    <row r="1422" spans="19:31" x14ac:dyDescent="0.25">
      <c r="S1422" s="65"/>
      <c r="AE1422" s="1"/>
    </row>
    <row r="1423" spans="19:31" x14ac:dyDescent="0.25">
      <c r="S1423" s="65"/>
      <c r="AE1423" s="1"/>
    </row>
    <row r="1424" spans="19:31" x14ac:dyDescent="0.25">
      <c r="S1424" s="65"/>
      <c r="AE1424" s="1"/>
    </row>
    <row r="1425" spans="19:31" x14ac:dyDescent="0.25">
      <c r="S1425" s="65"/>
      <c r="AE1425" s="1"/>
    </row>
    <row r="1426" spans="19:31" x14ac:dyDescent="0.25">
      <c r="S1426" s="65"/>
      <c r="AE1426" s="1"/>
    </row>
    <row r="1427" spans="19:31" x14ac:dyDescent="0.25">
      <c r="S1427" s="65"/>
      <c r="AE1427" s="1"/>
    </row>
    <row r="1428" spans="19:31" x14ac:dyDescent="0.25">
      <c r="S1428" s="65"/>
      <c r="AE1428" s="1"/>
    </row>
    <row r="1429" spans="19:31" x14ac:dyDescent="0.25">
      <c r="S1429" s="65"/>
      <c r="AE1429" s="1"/>
    </row>
    <row r="1430" spans="19:31" x14ac:dyDescent="0.25">
      <c r="S1430" s="65"/>
      <c r="AE1430" s="1"/>
    </row>
    <row r="1431" spans="19:31" x14ac:dyDescent="0.25">
      <c r="S1431" s="65"/>
      <c r="AE1431" s="1"/>
    </row>
    <row r="1432" spans="19:31" x14ac:dyDescent="0.25">
      <c r="S1432" s="65"/>
      <c r="AE1432" s="1"/>
    </row>
    <row r="1433" spans="19:31" x14ac:dyDescent="0.25">
      <c r="S1433" s="65"/>
      <c r="AE1433" s="1"/>
    </row>
    <row r="1434" spans="19:31" x14ac:dyDescent="0.25">
      <c r="S1434" s="65"/>
      <c r="AE1434" s="1"/>
    </row>
    <row r="1435" spans="19:31" x14ac:dyDescent="0.25">
      <c r="S1435" s="65"/>
      <c r="AE1435" s="1"/>
    </row>
    <row r="1436" spans="19:31" x14ac:dyDescent="0.25">
      <c r="S1436" s="65"/>
      <c r="AE1436" s="1"/>
    </row>
    <row r="1437" spans="19:31" x14ac:dyDescent="0.25">
      <c r="S1437" s="65"/>
      <c r="AE1437" s="1"/>
    </row>
    <row r="1438" spans="19:31" x14ac:dyDescent="0.25">
      <c r="S1438" s="65"/>
      <c r="AE1438" s="1"/>
    </row>
    <row r="1439" spans="19:31" x14ac:dyDescent="0.25">
      <c r="S1439" s="65"/>
      <c r="AE1439" s="1"/>
    </row>
    <row r="1440" spans="19:31" x14ac:dyDescent="0.25">
      <c r="S1440" s="65"/>
      <c r="AE1440" s="1"/>
    </row>
    <row r="1441" spans="19:31" x14ac:dyDescent="0.25">
      <c r="S1441" s="65"/>
      <c r="AE1441" s="1"/>
    </row>
    <row r="1442" spans="19:31" x14ac:dyDescent="0.25">
      <c r="S1442" s="65"/>
      <c r="AE1442" s="1"/>
    </row>
    <row r="1443" spans="19:31" x14ac:dyDescent="0.25">
      <c r="S1443" s="65"/>
      <c r="AE1443" s="1"/>
    </row>
    <row r="1444" spans="19:31" x14ac:dyDescent="0.25">
      <c r="S1444" s="65"/>
      <c r="AE1444" s="1"/>
    </row>
    <row r="1445" spans="19:31" x14ac:dyDescent="0.25">
      <c r="S1445" s="65"/>
      <c r="AE1445" s="1"/>
    </row>
    <row r="1446" spans="19:31" x14ac:dyDescent="0.25">
      <c r="S1446" s="65"/>
      <c r="AE1446" s="1"/>
    </row>
    <row r="1447" spans="19:31" x14ac:dyDescent="0.25">
      <c r="S1447" s="65"/>
      <c r="AE1447" s="1"/>
    </row>
    <row r="1448" spans="19:31" x14ac:dyDescent="0.25">
      <c r="S1448" s="65"/>
      <c r="AE1448" s="1"/>
    </row>
    <row r="1449" spans="19:31" x14ac:dyDescent="0.25">
      <c r="S1449" s="65"/>
      <c r="AE1449" s="1"/>
    </row>
    <row r="1450" spans="19:31" x14ac:dyDescent="0.25">
      <c r="S1450" s="65"/>
      <c r="AE1450" s="1"/>
    </row>
    <row r="1451" spans="19:31" x14ac:dyDescent="0.25">
      <c r="S1451" s="65"/>
      <c r="AE1451" s="1"/>
    </row>
    <row r="1452" spans="19:31" x14ac:dyDescent="0.25">
      <c r="S1452" s="65"/>
      <c r="AE1452" s="1"/>
    </row>
    <row r="1453" spans="19:31" x14ac:dyDescent="0.25">
      <c r="S1453" s="65"/>
      <c r="AE1453" s="1"/>
    </row>
    <row r="1454" spans="19:31" x14ac:dyDescent="0.25">
      <c r="S1454" s="65"/>
      <c r="AE1454" s="1"/>
    </row>
    <row r="1455" spans="19:31" x14ac:dyDescent="0.25">
      <c r="S1455" s="65"/>
      <c r="AE1455" s="1"/>
    </row>
    <row r="1456" spans="19:31" x14ac:dyDescent="0.25">
      <c r="S1456" s="65"/>
      <c r="AE1456" s="1"/>
    </row>
    <row r="1457" spans="19:31" x14ac:dyDescent="0.25">
      <c r="S1457" s="65"/>
      <c r="AE1457" s="1"/>
    </row>
    <row r="1458" spans="19:31" x14ac:dyDescent="0.25">
      <c r="S1458" s="65"/>
      <c r="AE1458" s="1"/>
    </row>
    <row r="1459" spans="19:31" x14ac:dyDescent="0.25">
      <c r="S1459" s="65"/>
      <c r="AE1459" s="1"/>
    </row>
    <row r="1460" spans="19:31" x14ac:dyDescent="0.25">
      <c r="S1460" s="65"/>
      <c r="AE1460" s="1"/>
    </row>
    <row r="1461" spans="19:31" x14ac:dyDescent="0.25">
      <c r="S1461" s="65"/>
      <c r="AE1461" s="1"/>
    </row>
    <row r="1462" spans="19:31" x14ac:dyDescent="0.25">
      <c r="S1462" s="65"/>
      <c r="AE1462" s="1"/>
    </row>
    <row r="1463" spans="19:31" x14ac:dyDescent="0.25">
      <c r="S1463" s="65"/>
      <c r="AE1463" s="1"/>
    </row>
    <row r="1464" spans="19:31" x14ac:dyDescent="0.25">
      <c r="S1464" s="65"/>
      <c r="AE1464" s="1"/>
    </row>
    <row r="1465" spans="19:31" x14ac:dyDescent="0.25">
      <c r="S1465" s="65"/>
      <c r="AE1465" s="1"/>
    </row>
    <row r="1466" spans="19:31" x14ac:dyDescent="0.25">
      <c r="S1466" s="65"/>
      <c r="AE1466" s="1"/>
    </row>
    <row r="1467" spans="19:31" x14ac:dyDescent="0.25">
      <c r="S1467" s="65"/>
      <c r="AE1467" s="1"/>
    </row>
    <row r="1468" spans="19:31" x14ac:dyDescent="0.25">
      <c r="S1468" s="65"/>
      <c r="AE1468" s="1"/>
    </row>
    <row r="1469" spans="19:31" x14ac:dyDescent="0.25">
      <c r="S1469" s="65"/>
      <c r="AE1469" s="1"/>
    </row>
    <row r="1470" spans="19:31" x14ac:dyDescent="0.25">
      <c r="S1470" s="65"/>
      <c r="AE1470" s="1"/>
    </row>
    <row r="1471" spans="19:31" x14ac:dyDescent="0.25">
      <c r="S1471" s="65"/>
      <c r="AE1471" s="1"/>
    </row>
    <row r="1472" spans="19:31" x14ac:dyDescent="0.25">
      <c r="S1472" s="65"/>
      <c r="AE1472" s="1"/>
    </row>
    <row r="1473" spans="19:31" x14ac:dyDescent="0.25">
      <c r="S1473" s="65"/>
      <c r="AE1473" s="1"/>
    </row>
    <row r="1474" spans="19:31" x14ac:dyDescent="0.25">
      <c r="S1474" s="65"/>
      <c r="AE1474" s="1"/>
    </row>
    <row r="1475" spans="19:31" x14ac:dyDescent="0.25">
      <c r="S1475" s="65"/>
      <c r="AE1475" s="1"/>
    </row>
    <row r="1476" spans="19:31" x14ac:dyDescent="0.25">
      <c r="S1476" s="65"/>
      <c r="AE1476" s="1"/>
    </row>
    <row r="1477" spans="19:31" x14ac:dyDescent="0.25">
      <c r="S1477" s="65"/>
      <c r="AE1477" s="1"/>
    </row>
    <row r="1478" spans="19:31" x14ac:dyDescent="0.25">
      <c r="S1478" s="65"/>
      <c r="AE1478" s="1"/>
    </row>
    <row r="1479" spans="19:31" x14ac:dyDescent="0.25">
      <c r="S1479" s="65"/>
      <c r="AE1479" s="1"/>
    </row>
    <row r="1480" spans="19:31" x14ac:dyDescent="0.25">
      <c r="S1480" s="65"/>
      <c r="AE1480" s="1"/>
    </row>
    <row r="1481" spans="19:31" x14ac:dyDescent="0.25">
      <c r="S1481" s="65"/>
      <c r="AE1481" s="1"/>
    </row>
    <row r="1482" spans="19:31" x14ac:dyDescent="0.25">
      <c r="S1482" s="65"/>
      <c r="AE1482" s="1"/>
    </row>
    <row r="1483" spans="19:31" x14ac:dyDescent="0.25">
      <c r="S1483" s="65"/>
      <c r="AE1483" s="1"/>
    </row>
    <row r="1484" spans="19:31" x14ac:dyDescent="0.25">
      <c r="S1484" s="65"/>
      <c r="AE1484" s="1"/>
    </row>
    <row r="1485" spans="19:31" x14ac:dyDescent="0.25">
      <c r="S1485" s="65"/>
      <c r="AE1485" s="1"/>
    </row>
    <row r="1486" spans="19:31" x14ac:dyDescent="0.25">
      <c r="S1486" s="65"/>
      <c r="AE1486" s="1"/>
    </row>
    <row r="1487" spans="19:31" x14ac:dyDescent="0.25">
      <c r="S1487" s="65"/>
      <c r="AE1487" s="1"/>
    </row>
    <row r="1488" spans="19:31" x14ac:dyDescent="0.25">
      <c r="S1488" s="65"/>
      <c r="AE1488" s="1"/>
    </row>
    <row r="1489" spans="19:31" x14ac:dyDescent="0.25">
      <c r="S1489" s="65"/>
      <c r="AE1489" s="1"/>
    </row>
    <row r="1490" spans="19:31" x14ac:dyDescent="0.25">
      <c r="S1490" s="65"/>
      <c r="AE1490" s="1"/>
    </row>
    <row r="1491" spans="19:31" x14ac:dyDescent="0.25">
      <c r="S1491" s="65"/>
      <c r="AE1491" s="1"/>
    </row>
    <row r="1492" spans="19:31" x14ac:dyDescent="0.25">
      <c r="S1492" s="65"/>
      <c r="AE1492" s="1"/>
    </row>
    <row r="1493" spans="19:31" x14ac:dyDescent="0.25">
      <c r="S1493" s="65"/>
      <c r="AE1493" s="1"/>
    </row>
    <row r="1494" spans="19:31" x14ac:dyDescent="0.25">
      <c r="S1494" s="65"/>
      <c r="AE1494" s="1"/>
    </row>
    <row r="1495" spans="19:31" x14ac:dyDescent="0.25">
      <c r="S1495" s="65"/>
      <c r="AE1495" s="1"/>
    </row>
    <row r="1496" spans="19:31" x14ac:dyDescent="0.25">
      <c r="S1496" s="65"/>
      <c r="AE1496" s="1"/>
    </row>
    <row r="1497" spans="19:31" x14ac:dyDescent="0.25">
      <c r="S1497" s="65"/>
      <c r="AE1497" s="1"/>
    </row>
    <row r="1498" spans="19:31" x14ac:dyDescent="0.25">
      <c r="S1498" s="65"/>
      <c r="AE1498" s="1"/>
    </row>
    <row r="1499" spans="19:31" x14ac:dyDescent="0.25">
      <c r="S1499" s="65"/>
      <c r="AE1499" s="1"/>
    </row>
    <row r="1500" spans="19:31" x14ac:dyDescent="0.25">
      <c r="S1500" s="65"/>
      <c r="AE1500" s="1"/>
    </row>
    <row r="1501" spans="19:31" x14ac:dyDescent="0.25">
      <c r="S1501" s="65"/>
      <c r="AE1501" s="1"/>
    </row>
    <row r="1502" spans="19:31" x14ac:dyDescent="0.25">
      <c r="S1502" s="65"/>
      <c r="AE1502" s="1"/>
    </row>
    <row r="1503" spans="19:31" x14ac:dyDescent="0.25">
      <c r="S1503" s="65"/>
      <c r="AE1503" s="1"/>
    </row>
    <row r="1504" spans="19:31" x14ac:dyDescent="0.25">
      <c r="S1504" s="65"/>
      <c r="AE1504" s="1"/>
    </row>
    <row r="1505" spans="19:31" x14ac:dyDescent="0.25">
      <c r="S1505" s="65"/>
      <c r="AE1505" s="1"/>
    </row>
    <row r="1506" spans="19:31" x14ac:dyDescent="0.25">
      <c r="S1506" s="65"/>
      <c r="AE1506" s="1"/>
    </row>
    <row r="1507" spans="19:31" x14ac:dyDescent="0.25">
      <c r="S1507" s="65"/>
      <c r="AE1507" s="1"/>
    </row>
    <row r="1508" spans="19:31" x14ac:dyDescent="0.25">
      <c r="S1508" s="65"/>
      <c r="AE1508" s="1"/>
    </row>
    <row r="1509" spans="19:31" x14ac:dyDescent="0.25">
      <c r="S1509" s="65"/>
      <c r="AE1509" s="1"/>
    </row>
    <row r="1510" spans="19:31" x14ac:dyDescent="0.25">
      <c r="S1510" s="65"/>
      <c r="AE1510" s="1"/>
    </row>
    <row r="1511" spans="19:31" x14ac:dyDescent="0.25">
      <c r="S1511" s="65"/>
      <c r="AE1511" s="1"/>
    </row>
    <row r="1512" spans="19:31" x14ac:dyDescent="0.25">
      <c r="S1512" s="65"/>
      <c r="AE1512" s="1"/>
    </row>
    <row r="1513" spans="19:31" x14ac:dyDescent="0.25">
      <c r="S1513" s="65"/>
      <c r="AE1513" s="1"/>
    </row>
    <row r="1514" spans="19:31" x14ac:dyDescent="0.25">
      <c r="S1514" s="65"/>
      <c r="AE1514" s="1"/>
    </row>
    <row r="1515" spans="19:31" x14ac:dyDescent="0.25">
      <c r="S1515" s="65"/>
      <c r="AE1515" s="1"/>
    </row>
    <row r="1516" spans="19:31" x14ac:dyDescent="0.25">
      <c r="S1516" s="65"/>
      <c r="AE1516" s="1"/>
    </row>
    <row r="1517" spans="19:31" x14ac:dyDescent="0.25">
      <c r="S1517" s="65"/>
      <c r="AE1517" s="1"/>
    </row>
    <row r="1518" spans="19:31" x14ac:dyDescent="0.25">
      <c r="S1518" s="65"/>
      <c r="AE1518" s="1"/>
    </row>
    <row r="1519" spans="19:31" x14ac:dyDescent="0.25">
      <c r="S1519" s="65"/>
      <c r="AE1519" s="1"/>
    </row>
    <row r="1520" spans="19:31" x14ac:dyDescent="0.25">
      <c r="S1520" s="65"/>
      <c r="AE1520" s="1"/>
    </row>
    <row r="1521" spans="19:31" x14ac:dyDescent="0.25">
      <c r="S1521" s="65"/>
      <c r="AE1521" s="1"/>
    </row>
    <row r="1522" spans="19:31" x14ac:dyDescent="0.25">
      <c r="S1522" s="65"/>
      <c r="AE1522" s="1"/>
    </row>
    <row r="1523" spans="19:31" x14ac:dyDescent="0.25">
      <c r="S1523" s="65"/>
      <c r="AE1523" s="1"/>
    </row>
    <row r="1524" spans="19:31" x14ac:dyDescent="0.25">
      <c r="S1524" s="65"/>
      <c r="AE1524" s="1"/>
    </row>
    <row r="1525" spans="19:31" x14ac:dyDescent="0.25">
      <c r="S1525" s="65"/>
      <c r="AE1525" s="1"/>
    </row>
    <row r="1526" spans="19:31" x14ac:dyDescent="0.25">
      <c r="S1526" s="65"/>
      <c r="AE1526" s="1"/>
    </row>
    <row r="1527" spans="19:31" x14ac:dyDescent="0.25">
      <c r="S1527" s="65"/>
      <c r="AE1527" s="1"/>
    </row>
    <row r="1528" spans="19:31" x14ac:dyDescent="0.25">
      <c r="S1528" s="65"/>
      <c r="AE1528" s="1"/>
    </row>
    <row r="1529" spans="19:31" x14ac:dyDescent="0.25">
      <c r="S1529" s="65"/>
      <c r="AE1529" s="1"/>
    </row>
    <row r="1530" spans="19:31" x14ac:dyDescent="0.25">
      <c r="S1530" s="65"/>
      <c r="AE1530" s="1"/>
    </row>
    <row r="1531" spans="19:31" x14ac:dyDescent="0.25">
      <c r="S1531" s="65"/>
      <c r="AE1531" s="1"/>
    </row>
    <row r="1532" spans="19:31" x14ac:dyDescent="0.25">
      <c r="S1532" s="65"/>
      <c r="AE1532" s="1"/>
    </row>
    <row r="1533" spans="19:31" x14ac:dyDescent="0.25">
      <c r="S1533" s="65"/>
      <c r="AE1533" s="1"/>
    </row>
    <row r="1534" spans="19:31" x14ac:dyDescent="0.25">
      <c r="S1534" s="65"/>
      <c r="AE1534" s="1"/>
    </row>
    <row r="1535" spans="19:31" x14ac:dyDescent="0.25">
      <c r="S1535" s="65"/>
      <c r="AE1535" s="1"/>
    </row>
    <row r="1536" spans="19:31" x14ac:dyDescent="0.25">
      <c r="S1536" s="65"/>
      <c r="AE1536" s="1"/>
    </row>
    <row r="1537" spans="19:31" x14ac:dyDescent="0.25">
      <c r="S1537" s="65"/>
      <c r="AE1537" s="1"/>
    </row>
    <row r="1538" spans="19:31" x14ac:dyDescent="0.25">
      <c r="S1538" s="65"/>
      <c r="AE1538" s="1"/>
    </row>
    <row r="1539" spans="19:31" x14ac:dyDescent="0.25">
      <c r="S1539" s="65"/>
      <c r="AE1539" s="1"/>
    </row>
    <row r="1540" spans="19:31" x14ac:dyDescent="0.25">
      <c r="S1540" s="65"/>
      <c r="AE1540" s="1"/>
    </row>
    <row r="1541" spans="19:31" x14ac:dyDescent="0.25">
      <c r="S1541" s="65"/>
      <c r="AE1541" s="1"/>
    </row>
    <row r="1542" spans="19:31" x14ac:dyDescent="0.25">
      <c r="S1542" s="65"/>
      <c r="AE1542" s="1"/>
    </row>
    <row r="1543" spans="19:31" x14ac:dyDescent="0.25">
      <c r="S1543" s="65"/>
      <c r="AE1543" s="1"/>
    </row>
    <row r="1544" spans="19:31" x14ac:dyDescent="0.25">
      <c r="S1544" s="65"/>
      <c r="AE1544" s="1"/>
    </row>
    <row r="1545" spans="19:31" x14ac:dyDescent="0.25">
      <c r="S1545" s="65"/>
      <c r="AE1545" s="1"/>
    </row>
    <row r="1546" spans="19:31" x14ac:dyDescent="0.25">
      <c r="S1546" s="65"/>
      <c r="AE1546" s="1"/>
    </row>
    <row r="1547" spans="19:31" x14ac:dyDescent="0.25">
      <c r="S1547" s="65"/>
      <c r="AE1547" s="1"/>
    </row>
    <row r="1548" spans="19:31" x14ac:dyDescent="0.25">
      <c r="S1548" s="65"/>
      <c r="AE1548" s="1"/>
    </row>
    <row r="1549" spans="19:31" x14ac:dyDescent="0.25">
      <c r="S1549" s="65"/>
      <c r="AE1549" s="1"/>
    </row>
    <row r="1550" spans="19:31" x14ac:dyDescent="0.25">
      <c r="S1550" s="65"/>
      <c r="AE1550" s="1"/>
    </row>
    <row r="1551" spans="19:31" x14ac:dyDescent="0.25">
      <c r="S1551" s="65"/>
      <c r="AE1551" s="1"/>
    </row>
    <row r="1552" spans="19:31" x14ac:dyDescent="0.25">
      <c r="S1552" s="65"/>
      <c r="AE1552" s="1"/>
    </row>
    <row r="1553" spans="19:31" x14ac:dyDescent="0.25">
      <c r="S1553" s="65"/>
      <c r="AE1553" s="1"/>
    </row>
    <row r="1554" spans="19:31" x14ac:dyDescent="0.25">
      <c r="S1554" s="65"/>
      <c r="AE1554" s="1"/>
    </row>
    <row r="1555" spans="19:31" x14ac:dyDescent="0.25">
      <c r="S1555" s="65"/>
      <c r="AE1555" s="1"/>
    </row>
    <row r="1556" spans="19:31" x14ac:dyDescent="0.25">
      <c r="S1556" s="65"/>
      <c r="AE1556" s="1"/>
    </row>
    <row r="1557" spans="19:31" x14ac:dyDescent="0.25">
      <c r="S1557" s="65"/>
      <c r="AE1557" s="1"/>
    </row>
    <row r="1558" spans="19:31" x14ac:dyDescent="0.25">
      <c r="S1558" s="65"/>
      <c r="AE1558" s="1"/>
    </row>
    <row r="1559" spans="19:31" x14ac:dyDescent="0.25">
      <c r="S1559" s="65"/>
      <c r="AE1559" s="1"/>
    </row>
    <row r="1560" spans="19:31" x14ac:dyDescent="0.25">
      <c r="S1560" s="65"/>
      <c r="AE1560" s="1"/>
    </row>
    <row r="1561" spans="19:31" x14ac:dyDescent="0.25">
      <c r="S1561" s="65"/>
      <c r="AE1561" s="1"/>
    </row>
    <row r="1562" spans="19:31" x14ac:dyDescent="0.25">
      <c r="S1562" s="65"/>
      <c r="AE1562" s="1"/>
    </row>
    <row r="1563" spans="19:31" x14ac:dyDescent="0.25">
      <c r="S1563" s="65"/>
      <c r="AE1563" s="1"/>
    </row>
    <row r="1564" spans="19:31" x14ac:dyDescent="0.25">
      <c r="S1564" s="65"/>
      <c r="AE1564" s="1"/>
    </row>
    <row r="1565" spans="19:31" x14ac:dyDescent="0.25">
      <c r="S1565" s="65"/>
      <c r="AE1565" s="1"/>
    </row>
    <row r="1566" spans="19:31" x14ac:dyDescent="0.25">
      <c r="S1566" s="65"/>
      <c r="AE1566" s="1"/>
    </row>
    <row r="1567" spans="19:31" x14ac:dyDescent="0.25">
      <c r="S1567" s="65"/>
      <c r="AE1567" s="1"/>
    </row>
    <row r="1568" spans="19:31" x14ac:dyDescent="0.25">
      <c r="S1568" s="65"/>
      <c r="AE1568" s="1"/>
    </row>
    <row r="1569" spans="19:31" x14ac:dyDescent="0.25">
      <c r="S1569" s="65"/>
      <c r="AE1569" s="1"/>
    </row>
    <row r="1570" spans="19:31" x14ac:dyDescent="0.25">
      <c r="S1570" s="65"/>
      <c r="AE1570" s="1"/>
    </row>
    <row r="1571" spans="19:31" x14ac:dyDescent="0.25">
      <c r="S1571" s="65"/>
      <c r="AE1571" s="1"/>
    </row>
    <row r="1572" spans="19:31" x14ac:dyDescent="0.25">
      <c r="S1572" s="65"/>
      <c r="AE1572" s="1"/>
    </row>
    <row r="1573" spans="19:31" x14ac:dyDescent="0.25">
      <c r="S1573" s="65"/>
      <c r="AE1573" s="1"/>
    </row>
    <row r="1574" spans="19:31" x14ac:dyDescent="0.25">
      <c r="S1574" s="65"/>
      <c r="AE1574" s="1"/>
    </row>
    <row r="1575" spans="19:31" x14ac:dyDescent="0.25">
      <c r="S1575" s="65"/>
      <c r="AE1575" s="1"/>
    </row>
    <row r="1576" spans="19:31" x14ac:dyDescent="0.25">
      <c r="S1576" s="65"/>
      <c r="AE1576" s="1"/>
    </row>
    <row r="1577" spans="19:31" x14ac:dyDescent="0.25">
      <c r="S1577" s="65"/>
      <c r="AE1577" s="1"/>
    </row>
    <row r="1578" spans="19:31" x14ac:dyDescent="0.25">
      <c r="S1578" s="65"/>
      <c r="AE1578" s="1"/>
    </row>
    <row r="1579" spans="19:31" x14ac:dyDescent="0.25">
      <c r="S1579" s="65"/>
      <c r="AE1579" s="1"/>
    </row>
    <row r="1580" spans="19:31" x14ac:dyDescent="0.25">
      <c r="S1580" s="65"/>
      <c r="AE1580" s="1"/>
    </row>
    <row r="1581" spans="19:31" x14ac:dyDescent="0.25">
      <c r="S1581" s="65"/>
      <c r="AE1581" s="1"/>
    </row>
    <row r="1582" spans="19:31" x14ac:dyDescent="0.25">
      <c r="S1582" s="65"/>
      <c r="AE1582" s="1"/>
    </row>
    <row r="1583" spans="19:31" x14ac:dyDescent="0.25">
      <c r="S1583" s="65"/>
      <c r="AE1583" s="1"/>
    </row>
    <row r="1584" spans="19:31" x14ac:dyDescent="0.25">
      <c r="S1584" s="65"/>
      <c r="AE1584" s="1"/>
    </row>
    <row r="1585" spans="19:31" x14ac:dyDescent="0.25">
      <c r="S1585" s="65"/>
      <c r="AE1585" s="1"/>
    </row>
    <row r="1586" spans="19:31" x14ac:dyDescent="0.25">
      <c r="S1586" s="65"/>
      <c r="AE1586" s="1"/>
    </row>
    <row r="1587" spans="19:31" x14ac:dyDescent="0.25">
      <c r="S1587" s="65"/>
      <c r="AE1587" s="1"/>
    </row>
    <row r="1588" spans="19:31" x14ac:dyDescent="0.25">
      <c r="S1588" s="65"/>
      <c r="AE1588" s="1"/>
    </row>
    <row r="1589" spans="19:31" x14ac:dyDescent="0.25">
      <c r="S1589" s="65"/>
      <c r="AE1589" s="1"/>
    </row>
    <row r="1590" spans="19:31" x14ac:dyDescent="0.25">
      <c r="S1590" s="65"/>
      <c r="AE1590" s="1"/>
    </row>
    <row r="1591" spans="19:31" x14ac:dyDescent="0.25">
      <c r="S1591" s="65"/>
      <c r="AE1591" s="1"/>
    </row>
    <row r="1592" spans="19:31" x14ac:dyDescent="0.25">
      <c r="S1592" s="65"/>
      <c r="AE1592" s="1"/>
    </row>
    <row r="1593" spans="19:31" x14ac:dyDescent="0.25">
      <c r="S1593" s="65"/>
      <c r="AE1593" s="1"/>
    </row>
    <row r="1594" spans="19:31" x14ac:dyDescent="0.25">
      <c r="S1594" s="65"/>
      <c r="AE1594" s="1"/>
    </row>
    <row r="1595" spans="19:31" x14ac:dyDescent="0.25">
      <c r="S1595" s="65"/>
      <c r="AE1595" s="1"/>
    </row>
    <row r="1596" spans="19:31" x14ac:dyDescent="0.25">
      <c r="S1596" s="65"/>
      <c r="AE1596" s="1"/>
    </row>
    <row r="1597" spans="19:31" x14ac:dyDescent="0.25">
      <c r="S1597" s="65"/>
      <c r="AE1597" s="1"/>
    </row>
    <row r="1598" spans="19:31" x14ac:dyDescent="0.25">
      <c r="S1598" s="65"/>
      <c r="AE1598" s="1"/>
    </row>
    <row r="1599" spans="19:31" x14ac:dyDescent="0.25">
      <c r="S1599" s="65"/>
      <c r="AE1599" s="1"/>
    </row>
    <row r="1600" spans="19:31" x14ac:dyDescent="0.25">
      <c r="S1600" s="65"/>
      <c r="AE1600" s="1"/>
    </row>
    <row r="1601" spans="19:31" x14ac:dyDescent="0.25">
      <c r="S1601" s="65"/>
      <c r="AE1601" s="1"/>
    </row>
    <row r="1602" spans="19:31" x14ac:dyDescent="0.25">
      <c r="S1602" s="65"/>
      <c r="AE1602" s="1"/>
    </row>
    <row r="1603" spans="19:31" x14ac:dyDescent="0.25">
      <c r="S1603" s="65"/>
      <c r="AE1603" s="1"/>
    </row>
    <row r="1604" spans="19:31" x14ac:dyDescent="0.25">
      <c r="S1604" s="65"/>
      <c r="AE1604" s="1"/>
    </row>
    <row r="1605" spans="19:31" x14ac:dyDescent="0.25">
      <c r="S1605" s="65"/>
      <c r="AE1605" s="1"/>
    </row>
    <row r="1606" spans="19:31" x14ac:dyDescent="0.25">
      <c r="S1606" s="65"/>
      <c r="AE1606" s="1"/>
    </row>
    <row r="1607" spans="19:31" x14ac:dyDescent="0.25">
      <c r="S1607" s="65"/>
      <c r="AE1607" s="1"/>
    </row>
    <row r="1608" spans="19:31" x14ac:dyDescent="0.25">
      <c r="S1608" s="65"/>
      <c r="AE1608" s="1"/>
    </row>
    <row r="1609" spans="19:31" x14ac:dyDescent="0.25">
      <c r="S1609" s="65"/>
      <c r="AE1609" s="1"/>
    </row>
    <row r="1610" spans="19:31" x14ac:dyDescent="0.25">
      <c r="S1610" s="65"/>
      <c r="AE1610" s="1"/>
    </row>
    <row r="1611" spans="19:31" x14ac:dyDescent="0.25">
      <c r="S1611" s="65"/>
      <c r="AE1611" s="1"/>
    </row>
    <row r="1612" spans="19:31" x14ac:dyDescent="0.25">
      <c r="S1612" s="65"/>
      <c r="AE1612" s="1"/>
    </row>
    <row r="1613" spans="19:31" x14ac:dyDescent="0.25">
      <c r="S1613" s="65"/>
      <c r="AE1613" s="1"/>
    </row>
    <row r="1614" spans="19:31" x14ac:dyDescent="0.25">
      <c r="S1614" s="65"/>
      <c r="AE1614" s="1"/>
    </row>
    <row r="1615" spans="19:31" x14ac:dyDescent="0.25">
      <c r="S1615" s="65"/>
      <c r="AE1615" s="1"/>
    </row>
    <row r="1616" spans="19:31" x14ac:dyDescent="0.25">
      <c r="S1616" s="65"/>
      <c r="AE1616" s="1"/>
    </row>
    <row r="1617" spans="19:31" x14ac:dyDescent="0.25">
      <c r="S1617" s="65"/>
      <c r="AE1617" s="1"/>
    </row>
    <row r="1618" spans="19:31" x14ac:dyDescent="0.25">
      <c r="S1618" s="65"/>
      <c r="AE1618" s="1"/>
    </row>
    <row r="1619" spans="19:31" x14ac:dyDescent="0.25">
      <c r="S1619" s="65"/>
      <c r="AE1619" s="1"/>
    </row>
    <row r="1620" spans="19:31" x14ac:dyDescent="0.25">
      <c r="S1620" s="65"/>
      <c r="AE1620" s="1"/>
    </row>
    <row r="1621" spans="19:31" x14ac:dyDescent="0.25">
      <c r="S1621" s="65"/>
      <c r="AE1621" s="1"/>
    </row>
    <row r="1622" spans="19:31" x14ac:dyDescent="0.25">
      <c r="S1622" s="65"/>
      <c r="AE1622" s="1"/>
    </row>
    <row r="1623" spans="19:31" x14ac:dyDescent="0.25">
      <c r="S1623" s="65"/>
      <c r="AE1623" s="1"/>
    </row>
    <row r="1624" spans="19:31" x14ac:dyDescent="0.25">
      <c r="S1624" s="65"/>
      <c r="AE1624" s="1"/>
    </row>
    <row r="1625" spans="19:31" x14ac:dyDescent="0.25">
      <c r="S1625" s="65"/>
      <c r="AE1625" s="1"/>
    </row>
    <row r="1626" spans="19:31" x14ac:dyDescent="0.25">
      <c r="S1626" s="65"/>
      <c r="AE1626" s="1"/>
    </row>
    <row r="1627" spans="19:31" x14ac:dyDescent="0.25">
      <c r="S1627" s="65"/>
      <c r="AE1627" s="1"/>
    </row>
    <row r="1628" spans="19:31" x14ac:dyDescent="0.25">
      <c r="S1628" s="65"/>
      <c r="AE1628" s="1"/>
    </row>
    <row r="1629" spans="19:31" x14ac:dyDescent="0.25">
      <c r="S1629" s="65"/>
      <c r="AE1629" s="1"/>
    </row>
    <row r="1630" spans="19:31" x14ac:dyDescent="0.25">
      <c r="S1630" s="65"/>
      <c r="AE1630" s="1"/>
    </row>
    <row r="1631" spans="19:31" x14ac:dyDescent="0.25">
      <c r="S1631" s="65"/>
      <c r="AE1631" s="1"/>
    </row>
    <row r="1632" spans="19:31" x14ac:dyDescent="0.25">
      <c r="S1632" s="65"/>
      <c r="AE1632" s="1"/>
    </row>
    <row r="1633" spans="19:31" x14ac:dyDescent="0.25">
      <c r="S1633" s="65"/>
      <c r="AE1633" s="1"/>
    </row>
    <row r="1634" spans="19:31" x14ac:dyDescent="0.25">
      <c r="S1634" s="65"/>
      <c r="AE1634" s="1"/>
    </row>
    <row r="1635" spans="19:31" x14ac:dyDescent="0.25">
      <c r="S1635" s="65"/>
      <c r="AE1635" s="1"/>
    </row>
    <row r="1636" spans="19:31" x14ac:dyDescent="0.25">
      <c r="S1636" s="65"/>
      <c r="AE1636" s="1"/>
    </row>
    <row r="1637" spans="19:31" x14ac:dyDescent="0.25">
      <c r="S1637" s="65"/>
      <c r="AE1637" s="1"/>
    </row>
    <row r="1638" spans="19:31" x14ac:dyDescent="0.25">
      <c r="S1638" s="65"/>
      <c r="AE1638" s="1"/>
    </row>
    <row r="1639" spans="19:31" x14ac:dyDescent="0.25">
      <c r="S1639" s="65"/>
      <c r="AE1639" s="1"/>
    </row>
    <row r="1640" spans="19:31" x14ac:dyDescent="0.25">
      <c r="S1640" s="65"/>
      <c r="AE1640" s="1"/>
    </row>
    <row r="1641" spans="19:31" x14ac:dyDescent="0.25">
      <c r="S1641" s="65"/>
      <c r="AE1641" s="1"/>
    </row>
    <row r="1642" spans="19:31" x14ac:dyDescent="0.25">
      <c r="S1642" s="65"/>
      <c r="AE1642" s="1"/>
    </row>
    <row r="1643" spans="19:31" x14ac:dyDescent="0.25">
      <c r="S1643" s="65"/>
      <c r="AE1643" s="1"/>
    </row>
    <row r="1644" spans="19:31" x14ac:dyDescent="0.25">
      <c r="S1644" s="65"/>
      <c r="AE1644" s="1"/>
    </row>
    <row r="1645" spans="19:31" x14ac:dyDescent="0.25">
      <c r="S1645" s="65"/>
      <c r="AE1645" s="1"/>
    </row>
    <row r="1646" spans="19:31" x14ac:dyDescent="0.25">
      <c r="S1646" s="65"/>
      <c r="AE1646" s="1"/>
    </row>
    <row r="1647" spans="19:31" x14ac:dyDescent="0.25">
      <c r="S1647" s="65"/>
      <c r="AE1647" s="1"/>
    </row>
    <row r="1648" spans="19:31" x14ac:dyDescent="0.25">
      <c r="S1648" s="65"/>
      <c r="AE1648" s="1"/>
    </row>
    <row r="1649" spans="19:31" x14ac:dyDescent="0.25">
      <c r="S1649" s="65"/>
      <c r="AE1649" s="1"/>
    </row>
    <row r="1650" spans="19:31" x14ac:dyDescent="0.25">
      <c r="S1650" s="65"/>
      <c r="AE1650" s="1"/>
    </row>
    <row r="1651" spans="19:31" x14ac:dyDescent="0.25">
      <c r="S1651" s="65"/>
      <c r="AE1651" s="1"/>
    </row>
    <row r="1652" spans="19:31" x14ac:dyDescent="0.25">
      <c r="S1652" s="65"/>
      <c r="AE1652" s="1"/>
    </row>
    <row r="1653" spans="19:31" x14ac:dyDescent="0.25">
      <c r="S1653" s="65"/>
      <c r="AE1653" s="1"/>
    </row>
    <row r="1654" spans="19:31" x14ac:dyDescent="0.25">
      <c r="S1654" s="65"/>
      <c r="AE1654" s="1"/>
    </row>
    <row r="1655" spans="19:31" x14ac:dyDescent="0.25">
      <c r="S1655" s="65"/>
      <c r="AE1655" s="1"/>
    </row>
    <row r="1656" spans="19:31" x14ac:dyDescent="0.25">
      <c r="S1656" s="65"/>
      <c r="AE1656" s="1"/>
    </row>
    <row r="1657" spans="19:31" x14ac:dyDescent="0.25">
      <c r="S1657" s="65"/>
      <c r="AE1657" s="1"/>
    </row>
    <row r="1658" spans="19:31" x14ac:dyDescent="0.25">
      <c r="S1658" s="65"/>
      <c r="AE1658" s="1"/>
    </row>
    <row r="1659" spans="19:31" x14ac:dyDescent="0.25">
      <c r="S1659" s="65"/>
      <c r="AE1659" s="1"/>
    </row>
    <row r="1660" spans="19:31" x14ac:dyDescent="0.25">
      <c r="S1660" s="65"/>
      <c r="AE1660" s="1"/>
    </row>
    <row r="1661" spans="19:31" x14ac:dyDescent="0.25">
      <c r="S1661" s="65"/>
      <c r="AE1661" s="1"/>
    </row>
    <row r="1662" spans="19:31" x14ac:dyDescent="0.25">
      <c r="S1662" s="65"/>
      <c r="AE1662" s="1"/>
    </row>
    <row r="1663" spans="19:31" x14ac:dyDescent="0.25">
      <c r="S1663" s="65"/>
      <c r="AE1663" s="1"/>
    </row>
    <row r="1664" spans="19:31" x14ac:dyDescent="0.25">
      <c r="S1664" s="65"/>
      <c r="AE1664" s="1"/>
    </row>
    <row r="1665" spans="19:31" x14ac:dyDescent="0.25">
      <c r="S1665" s="65"/>
      <c r="AE1665" s="1"/>
    </row>
    <row r="1666" spans="19:31" x14ac:dyDescent="0.25">
      <c r="S1666" s="65"/>
      <c r="AE1666" s="1"/>
    </row>
    <row r="1667" spans="19:31" x14ac:dyDescent="0.25">
      <c r="S1667" s="65"/>
      <c r="AE1667" s="1"/>
    </row>
    <row r="1668" spans="19:31" x14ac:dyDescent="0.25">
      <c r="S1668" s="65"/>
      <c r="AE1668" s="1"/>
    </row>
    <row r="1669" spans="19:31" x14ac:dyDescent="0.25">
      <c r="S1669" s="65"/>
      <c r="AE1669" s="1"/>
    </row>
    <row r="1670" spans="19:31" x14ac:dyDescent="0.25">
      <c r="S1670" s="65"/>
      <c r="AE1670" s="1"/>
    </row>
    <row r="1671" spans="19:31" x14ac:dyDescent="0.25">
      <c r="S1671" s="65"/>
      <c r="AE1671" s="1"/>
    </row>
    <row r="1672" spans="19:31" x14ac:dyDescent="0.25">
      <c r="S1672" s="65"/>
      <c r="AE1672" s="1"/>
    </row>
    <row r="1673" spans="19:31" x14ac:dyDescent="0.25">
      <c r="S1673" s="65"/>
      <c r="AE1673" s="1"/>
    </row>
    <row r="1674" spans="19:31" x14ac:dyDescent="0.25">
      <c r="S1674" s="65"/>
      <c r="AE1674" s="1"/>
    </row>
    <row r="1675" spans="19:31" x14ac:dyDescent="0.25">
      <c r="S1675" s="65"/>
      <c r="AE1675" s="1"/>
    </row>
    <row r="1676" spans="19:31" x14ac:dyDescent="0.25">
      <c r="S1676" s="65"/>
      <c r="AE1676" s="1"/>
    </row>
    <row r="1677" spans="19:31" x14ac:dyDescent="0.25">
      <c r="S1677" s="65"/>
      <c r="AE1677" s="1"/>
    </row>
    <row r="1678" spans="19:31" x14ac:dyDescent="0.25">
      <c r="S1678" s="65"/>
      <c r="AE1678" s="1"/>
    </row>
    <row r="1679" spans="19:31" x14ac:dyDescent="0.25">
      <c r="S1679" s="65"/>
      <c r="AE1679" s="1"/>
    </row>
    <row r="1680" spans="19:31" x14ac:dyDescent="0.25">
      <c r="S1680" s="65"/>
      <c r="AE1680" s="1"/>
    </row>
    <row r="1681" spans="19:31" x14ac:dyDescent="0.25">
      <c r="S1681" s="65"/>
      <c r="AE1681" s="1"/>
    </row>
    <row r="1682" spans="19:31" x14ac:dyDescent="0.25">
      <c r="S1682" s="65"/>
      <c r="AE1682" s="1"/>
    </row>
    <row r="1683" spans="19:31" x14ac:dyDescent="0.25">
      <c r="S1683" s="65"/>
      <c r="AE1683" s="1"/>
    </row>
    <row r="1684" spans="19:31" x14ac:dyDescent="0.25">
      <c r="S1684" s="65"/>
      <c r="AE1684" s="1"/>
    </row>
    <row r="1685" spans="19:31" x14ac:dyDescent="0.25">
      <c r="S1685" s="65"/>
      <c r="AE1685" s="1"/>
    </row>
    <row r="1686" spans="19:31" x14ac:dyDescent="0.25">
      <c r="S1686" s="65"/>
      <c r="AE1686" s="1"/>
    </row>
    <row r="1687" spans="19:31" x14ac:dyDescent="0.25">
      <c r="S1687" s="65"/>
      <c r="AE1687" s="1"/>
    </row>
    <row r="1688" spans="19:31" x14ac:dyDescent="0.25">
      <c r="S1688" s="65"/>
      <c r="AE1688" s="1"/>
    </row>
    <row r="1689" spans="19:31" x14ac:dyDescent="0.25">
      <c r="S1689" s="65"/>
      <c r="AE1689" s="1"/>
    </row>
    <row r="1690" spans="19:31" x14ac:dyDescent="0.25">
      <c r="S1690" s="65"/>
      <c r="AE1690" s="1"/>
    </row>
    <row r="1691" spans="19:31" x14ac:dyDescent="0.25">
      <c r="S1691" s="65"/>
      <c r="AE1691" s="1"/>
    </row>
    <row r="1692" spans="19:31" x14ac:dyDescent="0.25">
      <c r="S1692" s="65"/>
      <c r="AE1692" s="1"/>
    </row>
    <row r="1693" spans="19:31" x14ac:dyDescent="0.25">
      <c r="S1693" s="65"/>
      <c r="AE1693" s="1"/>
    </row>
    <row r="1694" spans="19:31" x14ac:dyDescent="0.25">
      <c r="S1694" s="65"/>
      <c r="AE1694" s="1"/>
    </row>
    <row r="1695" spans="19:31" x14ac:dyDescent="0.25">
      <c r="S1695" s="65"/>
      <c r="AE1695" s="1"/>
    </row>
    <row r="1696" spans="19:31" x14ac:dyDescent="0.25">
      <c r="S1696" s="65"/>
      <c r="AE1696" s="1"/>
    </row>
    <row r="1697" spans="19:31" x14ac:dyDescent="0.25">
      <c r="S1697" s="65"/>
      <c r="AE1697" s="1"/>
    </row>
    <row r="1698" spans="19:31" x14ac:dyDescent="0.25">
      <c r="S1698" s="65"/>
      <c r="AE1698" s="1"/>
    </row>
    <row r="1699" spans="19:31" x14ac:dyDescent="0.25">
      <c r="S1699" s="65"/>
      <c r="AE1699" s="1"/>
    </row>
    <row r="1700" spans="19:31" x14ac:dyDescent="0.25">
      <c r="S1700" s="65"/>
      <c r="AE1700" s="1"/>
    </row>
    <row r="1701" spans="19:31" x14ac:dyDescent="0.25">
      <c r="S1701" s="65"/>
      <c r="AE1701" s="1"/>
    </row>
    <row r="1702" spans="19:31" x14ac:dyDescent="0.25">
      <c r="S1702" s="65"/>
      <c r="AE1702" s="1"/>
    </row>
    <row r="1703" spans="19:31" x14ac:dyDescent="0.25">
      <c r="S1703" s="65"/>
      <c r="AE1703" s="1"/>
    </row>
    <row r="1704" spans="19:31" x14ac:dyDescent="0.25">
      <c r="S1704" s="65"/>
      <c r="AE1704" s="1"/>
    </row>
    <row r="1705" spans="19:31" x14ac:dyDescent="0.25">
      <c r="S1705" s="65"/>
      <c r="AE1705" s="1"/>
    </row>
    <row r="1706" spans="19:31" x14ac:dyDescent="0.25">
      <c r="S1706" s="65"/>
      <c r="AE1706" s="1"/>
    </row>
    <row r="1707" spans="19:31" x14ac:dyDescent="0.25">
      <c r="S1707" s="65"/>
      <c r="AE1707" s="1"/>
    </row>
    <row r="1708" spans="19:31" x14ac:dyDescent="0.25">
      <c r="S1708" s="65"/>
      <c r="AE1708" s="1"/>
    </row>
    <row r="1709" spans="19:31" x14ac:dyDescent="0.25">
      <c r="S1709" s="65"/>
      <c r="AE1709" s="1"/>
    </row>
    <row r="1710" spans="19:31" x14ac:dyDescent="0.25">
      <c r="S1710" s="65"/>
      <c r="AE1710" s="1"/>
    </row>
    <row r="1711" spans="19:31" x14ac:dyDescent="0.25">
      <c r="S1711" s="65"/>
      <c r="AE1711" s="1"/>
    </row>
    <row r="1712" spans="19:31" x14ac:dyDescent="0.25">
      <c r="S1712" s="65"/>
      <c r="AE1712" s="1"/>
    </row>
    <row r="1713" spans="19:31" x14ac:dyDescent="0.25">
      <c r="S1713" s="65"/>
      <c r="AE1713" s="1"/>
    </row>
    <row r="1714" spans="19:31" x14ac:dyDescent="0.25">
      <c r="S1714" s="65"/>
      <c r="AE1714" s="1"/>
    </row>
    <row r="1715" spans="19:31" x14ac:dyDescent="0.25">
      <c r="S1715" s="65"/>
      <c r="AE1715" s="1"/>
    </row>
    <row r="1716" spans="19:31" x14ac:dyDescent="0.25">
      <c r="S1716" s="65"/>
      <c r="AE1716" s="1"/>
    </row>
    <row r="1717" spans="19:31" x14ac:dyDescent="0.25">
      <c r="S1717" s="65"/>
      <c r="AE1717" s="1"/>
    </row>
    <row r="1718" spans="19:31" x14ac:dyDescent="0.25">
      <c r="S1718" s="65"/>
      <c r="AE1718" s="1"/>
    </row>
    <row r="1719" spans="19:31" x14ac:dyDescent="0.25">
      <c r="S1719" s="65"/>
      <c r="AE1719" s="1"/>
    </row>
    <row r="1720" spans="19:31" x14ac:dyDescent="0.25">
      <c r="S1720" s="65"/>
      <c r="AE1720" s="1"/>
    </row>
    <row r="1721" spans="19:31" x14ac:dyDescent="0.25">
      <c r="S1721" s="65"/>
      <c r="AE1721" s="1"/>
    </row>
    <row r="1722" spans="19:31" x14ac:dyDescent="0.25">
      <c r="S1722" s="65"/>
      <c r="AE1722" s="1"/>
    </row>
    <row r="1723" spans="19:31" x14ac:dyDescent="0.25">
      <c r="S1723" s="65"/>
      <c r="AE1723" s="1"/>
    </row>
    <row r="1724" spans="19:31" x14ac:dyDescent="0.25">
      <c r="S1724" s="65"/>
      <c r="AE1724" s="1"/>
    </row>
    <row r="1725" spans="19:31" x14ac:dyDescent="0.25">
      <c r="S1725" s="65"/>
      <c r="AE1725" s="1"/>
    </row>
    <row r="1726" spans="19:31" x14ac:dyDescent="0.25">
      <c r="S1726" s="65"/>
      <c r="AE1726" s="1"/>
    </row>
    <row r="1727" spans="19:31" x14ac:dyDescent="0.25">
      <c r="S1727" s="65"/>
      <c r="AE1727" s="1"/>
    </row>
    <row r="1728" spans="19:31" x14ac:dyDescent="0.25">
      <c r="S1728" s="65"/>
      <c r="AE1728" s="1"/>
    </row>
    <row r="1729" spans="19:31" x14ac:dyDescent="0.25">
      <c r="S1729" s="65"/>
      <c r="AE1729" s="1"/>
    </row>
    <row r="1730" spans="19:31" x14ac:dyDescent="0.25">
      <c r="S1730" s="65"/>
      <c r="AE1730" s="1"/>
    </row>
    <row r="1731" spans="19:31" x14ac:dyDescent="0.25">
      <c r="S1731" s="65"/>
      <c r="AE1731" s="1"/>
    </row>
    <row r="1732" spans="19:31" x14ac:dyDescent="0.25">
      <c r="S1732" s="65"/>
      <c r="AE1732" s="1"/>
    </row>
    <row r="1733" spans="19:31" x14ac:dyDescent="0.25">
      <c r="S1733" s="65"/>
      <c r="AE1733" s="1"/>
    </row>
    <row r="1734" spans="19:31" x14ac:dyDescent="0.25">
      <c r="S1734" s="65"/>
      <c r="AE1734" s="1"/>
    </row>
    <row r="1735" spans="19:31" x14ac:dyDescent="0.25">
      <c r="S1735" s="65"/>
      <c r="AE1735" s="1"/>
    </row>
    <row r="1736" spans="19:31" x14ac:dyDescent="0.25">
      <c r="S1736" s="65"/>
      <c r="AE1736" s="1"/>
    </row>
    <row r="1737" spans="19:31" x14ac:dyDescent="0.25">
      <c r="S1737" s="65"/>
      <c r="AE1737" s="1"/>
    </row>
    <row r="1738" spans="19:31" x14ac:dyDescent="0.25">
      <c r="S1738" s="65"/>
      <c r="AE1738" s="1"/>
    </row>
    <row r="1739" spans="19:31" x14ac:dyDescent="0.25">
      <c r="S1739" s="65"/>
      <c r="AE1739" s="1"/>
    </row>
    <row r="1740" spans="19:31" x14ac:dyDescent="0.25">
      <c r="S1740" s="65"/>
      <c r="AE1740" s="1"/>
    </row>
    <row r="1741" spans="19:31" x14ac:dyDescent="0.25">
      <c r="S1741" s="65"/>
      <c r="AE1741" s="1"/>
    </row>
    <row r="1742" spans="19:31" x14ac:dyDescent="0.25">
      <c r="S1742" s="65"/>
      <c r="AE1742" s="1"/>
    </row>
    <row r="1743" spans="19:31" x14ac:dyDescent="0.25">
      <c r="S1743" s="65"/>
      <c r="AE1743" s="1"/>
    </row>
    <row r="1744" spans="19:31" x14ac:dyDescent="0.25">
      <c r="S1744" s="65"/>
      <c r="AE1744" s="1"/>
    </row>
    <row r="1745" spans="19:31" x14ac:dyDescent="0.25">
      <c r="S1745" s="65"/>
      <c r="AE1745" s="1"/>
    </row>
    <row r="1746" spans="19:31" x14ac:dyDescent="0.25">
      <c r="S1746" s="65"/>
      <c r="AE1746" s="1"/>
    </row>
    <row r="1747" spans="19:31" x14ac:dyDescent="0.25">
      <c r="S1747" s="65"/>
      <c r="AE1747" s="1"/>
    </row>
    <row r="1748" spans="19:31" x14ac:dyDescent="0.25">
      <c r="S1748" s="65"/>
      <c r="AE1748" s="1"/>
    </row>
    <row r="1749" spans="19:31" x14ac:dyDescent="0.25">
      <c r="S1749" s="65"/>
      <c r="AE1749" s="1"/>
    </row>
    <row r="1750" spans="19:31" x14ac:dyDescent="0.25">
      <c r="S1750" s="65"/>
      <c r="AE1750" s="1"/>
    </row>
    <row r="1751" spans="19:31" x14ac:dyDescent="0.25">
      <c r="S1751" s="65"/>
      <c r="AE1751" s="1"/>
    </row>
    <row r="1752" spans="19:31" x14ac:dyDescent="0.25">
      <c r="S1752" s="65"/>
      <c r="AE1752" s="1"/>
    </row>
    <row r="1753" spans="19:31" x14ac:dyDescent="0.25">
      <c r="S1753" s="65"/>
      <c r="AE1753" s="1"/>
    </row>
    <row r="1754" spans="19:31" x14ac:dyDescent="0.25">
      <c r="S1754" s="65"/>
      <c r="AE1754" s="1"/>
    </row>
    <row r="1755" spans="19:31" x14ac:dyDescent="0.25">
      <c r="S1755" s="65"/>
      <c r="AE1755" s="1"/>
    </row>
    <row r="1756" spans="19:31" x14ac:dyDescent="0.25">
      <c r="S1756" s="65"/>
      <c r="AE1756" s="1"/>
    </row>
    <row r="1757" spans="19:31" x14ac:dyDescent="0.25">
      <c r="S1757" s="65"/>
      <c r="AE1757" s="1"/>
    </row>
    <row r="1758" spans="19:31" x14ac:dyDescent="0.25">
      <c r="S1758" s="65"/>
      <c r="AE1758" s="1"/>
    </row>
    <row r="1759" spans="19:31" x14ac:dyDescent="0.25">
      <c r="S1759" s="65"/>
      <c r="AE1759" s="1"/>
    </row>
    <row r="1760" spans="19:31" x14ac:dyDescent="0.25">
      <c r="S1760" s="65"/>
      <c r="AE1760" s="1"/>
    </row>
    <row r="1761" spans="19:31" x14ac:dyDescent="0.25">
      <c r="S1761" s="65"/>
      <c r="AE1761" s="1"/>
    </row>
    <row r="1762" spans="19:31" x14ac:dyDescent="0.25">
      <c r="S1762" s="65"/>
      <c r="AE1762" s="1"/>
    </row>
    <row r="1763" spans="19:31" x14ac:dyDescent="0.25">
      <c r="S1763" s="65"/>
      <c r="AE1763" s="1"/>
    </row>
    <row r="1764" spans="19:31" x14ac:dyDescent="0.25">
      <c r="S1764" s="65"/>
      <c r="AE1764" s="1"/>
    </row>
    <row r="1765" spans="19:31" x14ac:dyDescent="0.25">
      <c r="S1765" s="65"/>
      <c r="AE1765" s="1"/>
    </row>
    <row r="1766" spans="19:31" x14ac:dyDescent="0.25">
      <c r="S1766" s="65"/>
      <c r="AE1766" s="1"/>
    </row>
    <row r="1767" spans="19:31" x14ac:dyDescent="0.25">
      <c r="S1767" s="65"/>
      <c r="AE1767" s="1"/>
    </row>
    <row r="1768" spans="19:31" x14ac:dyDescent="0.25">
      <c r="S1768" s="65"/>
      <c r="AE1768" s="1"/>
    </row>
    <row r="1769" spans="19:31" x14ac:dyDescent="0.25">
      <c r="S1769" s="65"/>
      <c r="AE1769" s="1"/>
    </row>
    <row r="1770" spans="19:31" x14ac:dyDescent="0.25">
      <c r="S1770" s="65"/>
      <c r="AE1770" s="1"/>
    </row>
    <row r="1771" spans="19:31" x14ac:dyDescent="0.25">
      <c r="S1771" s="65"/>
      <c r="AE1771" s="1"/>
    </row>
    <row r="1772" spans="19:31" x14ac:dyDescent="0.25">
      <c r="S1772" s="65"/>
      <c r="AE1772" s="1"/>
    </row>
    <row r="1773" spans="19:31" x14ac:dyDescent="0.25">
      <c r="S1773" s="65"/>
      <c r="AE1773" s="1"/>
    </row>
    <row r="1774" spans="19:31" x14ac:dyDescent="0.25">
      <c r="S1774" s="65"/>
      <c r="AE1774" s="1"/>
    </row>
    <row r="1775" spans="19:31" x14ac:dyDescent="0.25">
      <c r="S1775" s="65"/>
      <c r="AE1775" s="1"/>
    </row>
    <row r="1776" spans="19:31" x14ac:dyDescent="0.25">
      <c r="S1776" s="65"/>
      <c r="AE1776" s="1"/>
    </row>
    <row r="1777" spans="19:31" x14ac:dyDescent="0.25">
      <c r="S1777" s="65"/>
      <c r="AE1777" s="1"/>
    </row>
    <row r="1778" spans="19:31" x14ac:dyDescent="0.25">
      <c r="S1778" s="65"/>
      <c r="AE1778" s="1"/>
    </row>
    <row r="1779" spans="19:31" x14ac:dyDescent="0.25">
      <c r="S1779" s="65"/>
      <c r="AE1779" s="1"/>
    </row>
    <row r="1780" spans="19:31" x14ac:dyDescent="0.25">
      <c r="S1780" s="65"/>
      <c r="AE1780" s="1"/>
    </row>
    <row r="1781" spans="19:31" x14ac:dyDescent="0.25">
      <c r="S1781" s="65"/>
      <c r="AE1781" s="1"/>
    </row>
    <row r="1782" spans="19:31" x14ac:dyDescent="0.25">
      <c r="S1782" s="65"/>
      <c r="AE1782" s="1"/>
    </row>
    <row r="1783" spans="19:31" x14ac:dyDescent="0.25">
      <c r="S1783" s="65"/>
      <c r="AE1783" s="1"/>
    </row>
    <row r="1784" spans="19:31" x14ac:dyDescent="0.25">
      <c r="S1784" s="65"/>
      <c r="AE1784" s="1"/>
    </row>
    <row r="1785" spans="19:31" x14ac:dyDescent="0.25">
      <c r="S1785" s="65"/>
      <c r="AE1785" s="1"/>
    </row>
    <row r="1786" spans="19:31" x14ac:dyDescent="0.25">
      <c r="S1786" s="65"/>
      <c r="AE1786" s="1"/>
    </row>
    <row r="1787" spans="19:31" x14ac:dyDescent="0.25">
      <c r="S1787" s="65"/>
      <c r="AE1787" s="1"/>
    </row>
    <row r="1788" spans="19:31" x14ac:dyDescent="0.25">
      <c r="S1788" s="65"/>
      <c r="AE1788" s="1"/>
    </row>
    <row r="1789" spans="19:31" x14ac:dyDescent="0.25">
      <c r="S1789" s="65"/>
      <c r="AE1789" s="1"/>
    </row>
    <row r="1790" spans="19:31" x14ac:dyDescent="0.25">
      <c r="S1790" s="65"/>
      <c r="AE1790" s="1"/>
    </row>
    <row r="1791" spans="19:31" x14ac:dyDescent="0.25">
      <c r="S1791" s="65"/>
      <c r="AE1791" s="1"/>
    </row>
    <row r="1792" spans="19:31" x14ac:dyDescent="0.25">
      <c r="S1792" s="65"/>
      <c r="AE1792" s="1"/>
    </row>
    <row r="1793" spans="19:31" x14ac:dyDescent="0.25">
      <c r="S1793" s="65"/>
      <c r="AE1793" s="1"/>
    </row>
    <row r="1794" spans="19:31" x14ac:dyDescent="0.25">
      <c r="S1794" s="65"/>
      <c r="AE1794" s="1"/>
    </row>
    <row r="1795" spans="19:31" x14ac:dyDescent="0.25">
      <c r="S1795" s="65"/>
      <c r="AE1795" s="1"/>
    </row>
    <row r="1796" spans="19:31" x14ac:dyDescent="0.25">
      <c r="S1796" s="65"/>
      <c r="AE1796" s="1"/>
    </row>
    <row r="1797" spans="19:31" x14ac:dyDescent="0.25">
      <c r="S1797" s="65"/>
      <c r="AE1797" s="1"/>
    </row>
    <row r="1798" spans="19:31" x14ac:dyDescent="0.25">
      <c r="S1798" s="65"/>
      <c r="AE1798" s="1"/>
    </row>
    <row r="1799" spans="19:31" x14ac:dyDescent="0.25">
      <c r="S1799" s="65"/>
      <c r="AE1799" s="1"/>
    </row>
    <row r="1800" spans="19:31" x14ac:dyDescent="0.25">
      <c r="S1800" s="65"/>
      <c r="AE1800" s="1"/>
    </row>
    <row r="1801" spans="19:31" x14ac:dyDescent="0.25">
      <c r="S1801" s="65"/>
      <c r="AE1801" s="1"/>
    </row>
    <row r="1802" spans="19:31" x14ac:dyDescent="0.25">
      <c r="S1802" s="65"/>
      <c r="AE1802" s="1"/>
    </row>
    <row r="1803" spans="19:31" x14ac:dyDescent="0.25">
      <c r="S1803" s="65"/>
      <c r="AE1803" s="1"/>
    </row>
    <row r="1804" spans="19:31" x14ac:dyDescent="0.25">
      <c r="S1804" s="65"/>
      <c r="AE1804" s="1"/>
    </row>
    <row r="1805" spans="19:31" x14ac:dyDescent="0.25">
      <c r="S1805" s="65"/>
      <c r="AE1805" s="1"/>
    </row>
    <row r="1806" spans="19:31" x14ac:dyDescent="0.25">
      <c r="S1806" s="65"/>
      <c r="AE1806" s="1"/>
    </row>
    <row r="1807" spans="19:31" x14ac:dyDescent="0.25">
      <c r="S1807" s="65"/>
      <c r="AE1807" s="1"/>
    </row>
    <row r="1808" spans="19:31" x14ac:dyDescent="0.25">
      <c r="S1808" s="65"/>
      <c r="AE1808" s="1"/>
    </row>
    <row r="1809" spans="19:31" x14ac:dyDescent="0.25">
      <c r="S1809" s="65"/>
      <c r="AE1809" s="1"/>
    </row>
    <row r="1810" spans="19:31" x14ac:dyDescent="0.25">
      <c r="S1810" s="65"/>
      <c r="AE1810" s="1"/>
    </row>
    <row r="1811" spans="19:31" x14ac:dyDescent="0.25">
      <c r="S1811" s="65"/>
      <c r="AE1811" s="1"/>
    </row>
    <row r="1812" spans="19:31" x14ac:dyDescent="0.25">
      <c r="S1812" s="65"/>
      <c r="AE1812" s="1"/>
    </row>
    <row r="1813" spans="19:31" x14ac:dyDescent="0.25">
      <c r="S1813" s="65"/>
      <c r="AE1813" s="1"/>
    </row>
    <row r="1814" spans="19:31" x14ac:dyDescent="0.25">
      <c r="S1814" s="65"/>
      <c r="AE1814" s="1"/>
    </row>
    <row r="1815" spans="19:31" x14ac:dyDescent="0.25">
      <c r="S1815" s="65"/>
      <c r="AE1815" s="1"/>
    </row>
    <row r="1816" spans="19:31" x14ac:dyDescent="0.25">
      <c r="S1816" s="65"/>
      <c r="AE1816" s="1"/>
    </row>
    <row r="1817" spans="19:31" x14ac:dyDescent="0.25">
      <c r="S1817" s="65"/>
      <c r="AE1817" s="1"/>
    </row>
    <row r="1818" spans="19:31" x14ac:dyDescent="0.25">
      <c r="S1818" s="65"/>
      <c r="AE1818" s="1"/>
    </row>
    <row r="1819" spans="19:31" x14ac:dyDescent="0.25">
      <c r="S1819" s="65"/>
      <c r="AE1819" s="1"/>
    </row>
    <row r="1820" spans="19:31" x14ac:dyDescent="0.25">
      <c r="S1820" s="65"/>
      <c r="AE1820" s="1"/>
    </row>
    <row r="1821" spans="19:31" x14ac:dyDescent="0.25">
      <c r="S1821" s="65"/>
      <c r="AE1821" s="1"/>
    </row>
    <row r="1822" spans="19:31" x14ac:dyDescent="0.25">
      <c r="S1822" s="65"/>
      <c r="AE1822" s="1"/>
    </row>
    <row r="1823" spans="19:31" x14ac:dyDescent="0.25">
      <c r="S1823" s="65"/>
      <c r="AE1823" s="1"/>
    </row>
    <row r="1824" spans="19:31" x14ac:dyDescent="0.25">
      <c r="S1824" s="65"/>
      <c r="AE1824" s="1"/>
    </row>
    <row r="1825" spans="19:31" x14ac:dyDescent="0.25">
      <c r="S1825" s="65"/>
      <c r="AE1825" s="1"/>
    </row>
    <row r="1826" spans="19:31" x14ac:dyDescent="0.25">
      <c r="S1826" s="65"/>
      <c r="AE1826" s="1"/>
    </row>
    <row r="1827" spans="19:31" x14ac:dyDescent="0.25">
      <c r="S1827" s="65"/>
      <c r="AE1827" s="1"/>
    </row>
    <row r="1828" spans="19:31" x14ac:dyDescent="0.25">
      <c r="S1828" s="65"/>
      <c r="AE1828" s="1"/>
    </row>
    <row r="1829" spans="19:31" x14ac:dyDescent="0.25">
      <c r="S1829" s="65"/>
      <c r="AE1829" s="1"/>
    </row>
    <row r="1830" spans="19:31" x14ac:dyDescent="0.25">
      <c r="S1830" s="65"/>
      <c r="AE1830" s="1"/>
    </row>
    <row r="1831" spans="19:31" x14ac:dyDescent="0.25">
      <c r="S1831" s="65"/>
      <c r="AE1831" s="1"/>
    </row>
    <row r="1832" spans="19:31" x14ac:dyDescent="0.25">
      <c r="S1832" s="65"/>
      <c r="AE1832" s="1"/>
    </row>
    <row r="1833" spans="19:31" x14ac:dyDescent="0.25">
      <c r="S1833" s="65"/>
      <c r="AE1833" s="1"/>
    </row>
    <row r="1834" spans="19:31" x14ac:dyDescent="0.25">
      <c r="S1834" s="65"/>
      <c r="AE1834" s="1"/>
    </row>
    <row r="1835" spans="19:31" x14ac:dyDescent="0.25">
      <c r="S1835" s="65"/>
      <c r="AE1835" s="1"/>
    </row>
    <row r="1836" spans="19:31" x14ac:dyDescent="0.25">
      <c r="S1836" s="65"/>
      <c r="AE1836" s="1"/>
    </row>
    <row r="1837" spans="19:31" x14ac:dyDescent="0.25">
      <c r="S1837" s="65"/>
      <c r="AE1837" s="1"/>
    </row>
    <row r="1838" spans="19:31" x14ac:dyDescent="0.25">
      <c r="S1838" s="65"/>
      <c r="AE1838" s="1"/>
    </row>
    <row r="1839" spans="19:31" x14ac:dyDescent="0.25">
      <c r="S1839" s="65"/>
      <c r="AE1839" s="1"/>
    </row>
    <row r="1840" spans="19:31" x14ac:dyDescent="0.25">
      <c r="S1840" s="65"/>
      <c r="AE1840" s="1"/>
    </row>
    <row r="1841" spans="19:31" x14ac:dyDescent="0.25">
      <c r="S1841" s="65"/>
      <c r="AE1841" s="1"/>
    </row>
    <row r="1842" spans="19:31" x14ac:dyDescent="0.25">
      <c r="S1842" s="65"/>
      <c r="AE1842" s="1"/>
    </row>
    <row r="1843" spans="19:31" x14ac:dyDescent="0.25">
      <c r="S1843" s="65"/>
      <c r="AE1843" s="1"/>
    </row>
    <row r="1844" spans="19:31" x14ac:dyDescent="0.25">
      <c r="S1844" s="65"/>
      <c r="AE1844" s="1"/>
    </row>
    <row r="1845" spans="19:31" x14ac:dyDescent="0.25">
      <c r="S1845" s="65"/>
      <c r="AE1845" s="1"/>
    </row>
    <row r="1846" spans="19:31" x14ac:dyDescent="0.25">
      <c r="S1846" s="65"/>
      <c r="AE1846" s="1"/>
    </row>
    <row r="1847" spans="19:31" x14ac:dyDescent="0.25">
      <c r="S1847" s="65"/>
      <c r="AE1847" s="1"/>
    </row>
    <row r="1848" spans="19:31" x14ac:dyDescent="0.25">
      <c r="S1848" s="65"/>
      <c r="AE1848" s="1"/>
    </row>
    <row r="1849" spans="19:31" x14ac:dyDescent="0.25">
      <c r="S1849" s="65"/>
      <c r="AE1849" s="1"/>
    </row>
    <row r="1850" spans="19:31" x14ac:dyDescent="0.25">
      <c r="S1850" s="65"/>
      <c r="AE1850" s="1"/>
    </row>
    <row r="1851" spans="19:31" x14ac:dyDescent="0.25">
      <c r="S1851" s="65"/>
      <c r="AE1851" s="1"/>
    </row>
    <row r="1852" spans="19:31" x14ac:dyDescent="0.25">
      <c r="S1852" s="65"/>
      <c r="AE1852" s="1"/>
    </row>
    <row r="1853" spans="19:31" x14ac:dyDescent="0.25">
      <c r="S1853" s="65"/>
      <c r="AE1853" s="1"/>
    </row>
    <row r="1854" spans="19:31" x14ac:dyDescent="0.25">
      <c r="S1854" s="65"/>
      <c r="AE1854" s="1"/>
    </row>
    <row r="1855" spans="19:31" x14ac:dyDescent="0.25">
      <c r="S1855" s="65"/>
      <c r="AE1855" s="1"/>
    </row>
    <row r="1856" spans="19:31" x14ac:dyDescent="0.25">
      <c r="S1856" s="65"/>
      <c r="AE1856" s="1"/>
    </row>
    <row r="1857" spans="19:31" x14ac:dyDescent="0.25">
      <c r="S1857" s="65"/>
      <c r="AE1857" s="1"/>
    </row>
    <row r="1858" spans="19:31" x14ac:dyDescent="0.25">
      <c r="S1858" s="65"/>
      <c r="AE1858" s="1"/>
    </row>
    <row r="1859" spans="19:31" x14ac:dyDescent="0.25">
      <c r="S1859" s="65"/>
      <c r="AE1859" s="1"/>
    </row>
    <row r="1860" spans="19:31" x14ac:dyDescent="0.25">
      <c r="S1860" s="65"/>
      <c r="AE1860" s="1"/>
    </row>
    <row r="1861" spans="19:31" x14ac:dyDescent="0.25">
      <c r="S1861" s="65"/>
      <c r="AE1861" s="1"/>
    </row>
    <row r="1862" spans="19:31" x14ac:dyDescent="0.25">
      <c r="S1862" s="65"/>
      <c r="AE1862" s="1"/>
    </row>
    <row r="1863" spans="19:31" x14ac:dyDescent="0.25">
      <c r="S1863" s="65"/>
      <c r="AE1863" s="1"/>
    </row>
    <row r="1864" spans="19:31" x14ac:dyDescent="0.25">
      <c r="S1864" s="65"/>
      <c r="AE1864" s="1"/>
    </row>
    <row r="1865" spans="19:31" x14ac:dyDescent="0.25">
      <c r="S1865" s="65"/>
      <c r="AE1865" s="1"/>
    </row>
    <row r="1866" spans="19:31" x14ac:dyDescent="0.25">
      <c r="S1866" s="65"/>
      <c r="AE1866" s="1"/>
    </row>
    <row r="1867" spans="19:31" x14ac:dyDescent="0.25">
      <c r="S1867" s="65"/>
      <c r="AE1867" s="1"/>
    </row>
    <row r="1868" spans="19:31" x14ac:dyDescent="0.25">
      <c r="S1868" s="65"/>
      <c r="AE1868" s="1"/>
    </row>
    <row r="1869" spans="19:31" x14ac:dyDescent="0.25">
      <c r="S1869" s="65"/>
      <c r="AE1869" s="1"/>
    </row>
    <row r="1870" spans="19:31" x14ac:dyDescent="0.25">
      <c r="S1870" s="65"/>
      <c r="AE1870" s="1"/>
    </row>
    <row r="1871" spans="19:31" x14ac:dyDescent="0.25">
      <c r="S1871" s="65"/>
      <c r="AE1871" s="1"/>
    </row>
    <row r="1872" spans="19:31" x14ac:dyDescent="0.25">
      <c r="S1872" s="65"/>
      <c r="AE1872" s="1"/>
    </row>
    <row r="1873" spans="19:31" x14ac:dyDescent="0.25">
      <c r="S1873" s="65"/>
      <c r="AE1873" s="1"/>
    </row>
    <row r="1874" spans="19:31" x14ac:dyDescent="0.25">
      <c r="S1874" s="65"/>
      <c r="AE1874" s="1"/>
    </row>
    <row r="1875" spans="19:31" x14ac:dyDescent="0.25">
      <c r="S1875" s="65"/>
      <c r="AE1875" s="1"/>
    </row>
    <row r="1876" spans="19:31" x14ac:dyDescent="0.25">
      <c r="S1876" s="65"/>
      <c r="AE1876" s="1"/>
    </row>
    <row r="1877" spans="19:31" x14ac:dyDescent="0.25">
      <c r="S1877" s="65"/>
      <c r="AE1877" s="1"/>
    </row>
    <row r="1878" spans="19:31" x14ac:dyDescent="0.25">
      <c r="S1878" s="65"/>
      <c r="AE1878" s="1"/>
    </row>
    <row r="1879" spans="19:31" x14ac:dyDescent="0.25">
      <c r="S1879" s="65"/>
      <c r="AE1879" s="1"/>
    </row>
    <row r="1880" spans="19:31" x14ac:dyDescent="0.25">
      <c r="S1880" s="65"/>
      <c r="AE1880" s="1"/>
    </row>
    <row r="1881" spans="19:31" x14ac:dyDescent="0.25">
      <c r="S1881" s="65"/>
      <c r="AE1881" s="1"/>
    </row>
    <row r="1882" spans="19:31" x14ac:dyDescent="0.25">
      <c r="S1882" s="65"/>
      <c r="AE1882" s="1"/>
    </row>
    <row r="1883" spans="19:31" x14ac:dyDescent="0.25">
      <c r="S1883" s="65"/>
      <c r="AE1883" s="1"/>
    </row>
    <row r="1884" spans="19:31" x14ac:dyDescent="0.25">
      <c r="S1884" s="65"/>
      <c r="AE1884" s="1"/>
    </row>
    <row r="1885" spans="19:31" x14ac:dyDescent="0.25">
      <c r="S1885" s="65"/>
      <c r="AE1885" s="1"/>
    </row>
    <row r="1886" spans="19:31" x14ac:dyDescent="0.25">
      <c r="S1886" s="65"/>
      <c r="AE1886" s="1"/>
    </row>
    <row r="1887" spans="19:31" x14ac:dyDescent="0.25">
      <c r="S1887" s="65"/>
      <c r="AE1887" s="1"/>
    </row>
    <row r="1888" spans="19:31" x14ac:dyDescent="0.25">
      <c r="S1888" s="65"/>
      <c r="AE1888" s="1"/>
    </row>
    <row r="1889" spans="19:31" x14ac:dyDescent="0.25">
      <c r="S1889" s="65"/>
      <c r="AE1889" s="1"/>
    </row>
    <row r="1890" spans="19:31" x14ac:dyDescent="0.25">
      <c r="S1890" s="65"/>
      <c r="AE1890" s="1"/>
    </row>
    <row r="1891" spans="19:31" x14ac:dyDescent="0.25">
      <c r="S1891" s="65"/>
      <c r="AE1891" s="1"/>
    </row>
    <row r="1892" spans="19:31" x14ac:dyDescent="0.25">
      <c r="S1892" s="65"/>
      <c r="AE1892" s="1"/>
    </row>
    <row r="1893" spans="19:31" x14ac:dyDescent="0.25">
      <c r="S1893" s="65"/>
      <c r="AE1893" s="1"/>
    </row>
    <row r="1894" spans="19:31" x14ac:dyDescent="0.25">
      <c r="S1894" s="65"/>
      <c r="AE1894" s="1"/>
    </row>
    <row r="1895" spans="19:31" x14ac:dyDescent="0.25">
      <c r="S1895" s="65"/>
      <c r="AE1895" s="1"/>
    </row>
    <row r="1896" spans="19:31" x14ac:dyDescent="0.25">
      <c r="S1896" s="65"/>
      <c r="AE1896" s="1"/>
    </row>
    <row r="1897" spans="19:31" x14ac:dyDescent="0.25">
      <c r="S1897" s="65"/>
      <c r="AE1897" s="1"/>
    </row>
    <row r="1898" spans="19:31" x14ac:dyDescent="0.25">
      <c r="S1898" s="65"/>
      <c r="AE1898" s="1"/>
    </row>
    <row r="1899" spans="19:31" x14ac:dyDescent="0.25">
      <c r="S1899" s="65"/>
      <c r="AE1899" s="1"/>
    </row>
    <row r="1900" spans="19:31" x14ac:dyDescent="0.25">
      <c r="S1900" s="65"/>
      <c r="AE1900" s="1"/>
    </row>
    <row r="1901" spans="19:31" x14ac:dyDescent="0.25">
      <c r="S1901" s="65"/>
      <c r="AE1901" s="1"/>
    </row>
    <row r="1902" spans="19:31" x14ac:dyDescent="0.25">
      <c r="S1902" s="65"/>
      <c r="AE1902" s="1"/>
    </row>
    <row r="1903" spans="19:31" x14ac:dyDescent="0.25">
      <c r="S1903" s="65"/>
      <c r="AE1903" s="1"/>
    </row>
    <row r="1904" spans="19:31" x14ac:dyDescent="0.25">
      <c r="S1904" s="65"/>
      <c r="AE1904" s="1"/>
    </row>
    <row r="1905" spans="19:31" x14ac:dyDescent="0.25">
      <c r="S1905" s="65"/>
      <c r="AE1905" s="1"/>
    </row>
    <row r="1906" spans="19:31" x14ac:dyDescent="0.25">
      <c r="S1906" s="65"/>
      <c r="AE1906" s="1"/>
    </row>
    <row r="1907" spans="19:31" x14ac:dyDescent="0.25">
      <c r="S1907" s="65"/>
      <c r="AE1907" s="1"/>
    </row>
    <row r="1908" spans="19:31" x14ac:dyDescent="0.25">
      <c r="S1908" s="65"/>
      <c r="AE1908" s="1"/>
    </row>
    <row r="1909" spans="19:31" x14ac:dyDescent="0.25">
      <c r="S1909" s="65"/>
      <c r="AE1909" s="1"/>
    </row>
    <row r="1910" spans="19:31" x14ac:dyDescent="0.25">
      <c r="S1910" s="65"/>
      <c r="AE1910" s="1"/>
    </row>
    <row r="1911" spans="19:31" x14ac:dyDescent="0.25">
      <c r="S1911" s="65"/>
      <c r="AE1911" s="1"/>
    </row>
    <row r="1912" spans="19:31" x14ac:dyDescent="0.25">
      <c r="S1912" s="65"/>
      <c r="AE1912" s="1"/>
    </row>
    <row r="1913" spans="19:31" x14ac:dyDescent="0.25">
      <c r="S1913" s="65"/>
      <c r="AE1913" s="1"/>
    </row>
    <row r="1914" spans="19:31" x14ac:dyDescent="0.25">
      <c r="S1914" s="65"/>
      <c r="AE1914" s="1"/>
    </row>
    <row r="1915" spans="19:31" x14ac:dyDescent="0.25">
      <c r="S1915" s="65"/>
      <c r="AE1915" s="1"/>
    </row>
    <row r="1916" spans="19:31" x14ac:dyDescent="0.25">
      <c r="S1916" s="65"/>
      <c r="AE1916" s="1"/>
    </row>
    <row r="1917" spans="19:31" x14ac:dyDescent="0.25">
      <c r="S1917" s="65"/>
      <c r="AE1917" s="1"/>
    </row>
    <row r="1918" spans="19:31" x14ac:dyDescent="0.25">
      <c r="S1918" s="65"/>
      <c r="AE1918" s="1"/>
    </row>
    <row r="1919" spans="19:31" x14ac:dyDescent="0.25">
      <c r="S1919" s="65"/>
      <c r="AE1919" s="1"/>
    </row>
    <row r="1920" spans="19:31" x14ac:dyDescent="0.25">
      <c r="S1920" s="65"/>
      <c r="AE1920" s="1"/>
    </row>
    <row r="1921" spans="19:31" x14ac:dyDescent="0.25">
      <c r="S1921" s="65"/>
      <c r="AE1921" s="1"/>
    </row>
    <row r="1922" spans="19:31" x14ac:dyDescent="0.25">
      <c r="S1922" s="65"/>
      <c r="AE1922" s="1"/>
    </row>
    <row r="1923" spans="19:31" x14ac:dyDescent="0.25">
      <c r="S1923" s="65"/>
      <c r="AE1923" s="1"/>
    </row>
    <row r="1924" spans="19:31" x14ac:dyDescent="0.25">
      <c r="S1924" s="65"/>
      <c r="AE1924" s="1"/>
    </row>
    <row r="1925" spans="19:31" x14ac:dyDescent="0.25">
      <c r="S1925" s="65"/>
      <c r="AE1925" s="1"/>
    </row>
    <row r="1926" spans="19:31" x14ac:dyDescent="0.25">
      <c r="S1926" s="65"/>
      <c r="AE1926" s="1"/>
    </row>
    <row r="1927" spans="19:31" x14ac:dyDescent="0.25">
      <c r="S1927" s="65"/>
      <c r="AE1927" s="1"/>
    </row>
    <row r="1928" spans="19:31" x14ac:dyDescent="0.25">
      <c r="S1928" s="65"/>
      <c r="AE1928" s="1"/>
    </row>
    <row r="1929" spans="19:31" x14ac:dyDescent="0.25">
      <c r="S1929" s="65"/>
      <c r="AE1929" s="1"/>
    </row>
    <row r="1930" spans="19:31" x14ac:dyDescent="0.25">
      <c r="S1930" s="65"/>
      <c r="AE1930" s="1"/>
    </row>
    <row r="1931" spans="19:31" x14ac:dyDescent="0.25">
      <c r="S1931" s="65"/>
      <c r="AE1931" s="1"/>
    </row>
    <row r="1932" spans="19:31" x14ac:dyDescent="0.25">
      <c r="S1932" s="65"/>
      <c r="AE1932" s="1"/>
    </row>
    <row r="1933" spans="19:31" x14ac:dyDescent="0.25">
      <c r="S1933" s="65"/>
      <c r="AE1933" s="1"/>
    </row>
    <row r="1934" spans="19:31" x14ac:dyDescent="0.25">
      <c r="S1934" s="65"/>
      <c r="AE1934" s="1"/>
    </row>
    <row r="1935" spans="19:31" x14ac:dyDescent="0.25">
      <c r="S1935" s="65"/>
      <c r="AE1935" s="1"/>
    </row>
    <row r="1936" spans="19:31" x14ac:dyDescent="0.25">
      <c r="S1936" s="65"/>
      <c r="AE1936" s="1"/>
    </row>
    <row r="1937" spans="19:31" x14ac:dyDescent="0.25">
      <c r="S1937" s="65"/>
      <c r="AE1937" s="1"/>
    </row>
    <row r="1938" spans="19:31" x14ac:dyDescent="0.25">
      <c r="S1938" s="65"/>
      <c r="AE1938" s="1"/>
    </row>
    <row r="1939" spans="19:31" x14ac:dyDescent="0.25">
      <c r="S1939" s="65"/>
      <c r="AE1939" s="1"/>
    </row>
    <row r="1940" spans="19:31" x14ac:dyDescent="0.25">
      <c r="S1940" s="65"/>
      <c r="AE1940" s="1"/>
    </row>
    <row r="1941" spans="19:31" x14ac:dyDescent="0.25">
      <c r="S1941" s="65"/>
      <c r="AE1941" s="1"/>
    </row>
    <row r="1942" spans="19:31" x14ac:dyDescent="0.25">
      <c r="S1942" s="65"/>
      <c r="AE1942" s="1"/>
    </row>
    <row r="1943" spans="19:31" x14ac:dyDescent="0.25">
      <c r="S1943" s="65"/>
      <c r="AE1943" s="1"/>
    </row>
    <row r="1944" spans="19:31" x14ac:dyDescent="0.25">
      <c r="S1944" s="65"/>
      <c r="AE1944" s="1"/>
    </row>
    <row r="1945" spans="19:31" x14ac:dyDescent="0.25">
      <c r="S1945" s="65"/>
      <c r="AE1945" s="1"/>
    </row>
    <row r="1946" spans="19:31" x14ac:dyDescent="0.25">
      <c r="S1946" s="65"/>
      <c r="AE1946" s="1"/>
    </row>
    <row r="1947" spans="19:31" x14ac:dyDescent="0.25">
      <c r="S1947" s="65"/>
      <c r="AE1947" s="1"/>
    </row>
    <row r="1948" spans="19:31" x14ac:dyDescent="0.25">
      <c r="S1948" s="65"/>
      <c r="AE1948" s="1"/>
    </row>
    <row r="1949" spans="19:31" x14ac:dyDescent="0.25">
      <c r="S1949" s="65"/>
      <c r="AE1949" s="1"/>
    </row>
    <row r="1950" spans="19:31" x14ac:dyDescent="0.25">
      <c r="S1950" s="65"/>
      <c r="AE1950" s="1"/>
    </row>
    <row r="1951" spans="19:31" x14ac:dyDescent="0.25">
      <c r="S1951" s="65"/>
      <c r="AE1951" s="1"/>
    </row>
    <row r="1952" spans="19:31" x14ac:dyDescent="0.25">
      <c r="S1952" s="65"/>
      <c r="AE1952" s="1"/>
    </row>
    <row r="1953" spans="19:31" x14ac:dyDescent="0.25">
      <c r="S1953" s="65"/>
      <c r="AE1953" s="1"/>
    </row>
    <row r="1954" spans="19:31" x14ac:dyDescent="0.25">
      <c r="S1954" s="65"/>
      <c r="AE1954" s="1"/>
    </row>
    <row r="1955" spans="19:31" x14ac:dyDescent="0.25">
      <c r="S1955" s="65"/>
      <c r="AE1955" s="1"/>
    </row>
    <row r="1956" spans="19:31" x14ac:dyDescent="0.25">
      <c r="S1956" s="65"/>
      <c r="AE1956" s="1"/>
    </row>
    <row r="1957" spans="19:31" x14ac:dyDescent="0.25">
      <c r="S1957" s="65"/>
      <c r="AE1957" s="1"/>
    </row>
    <row r="1958" spans="19:31" x14ac:dyDescent="0.25">
      <c r="S1958" s="65"/>
      <c r="AE1958" s="1"/>
    </row>
    <row r="1959" spans="19:31" x14ac:dyDescent="0.25">
      <c r="S1959" s="65"/>
      <c r="AE1959" s="1"/>
    </row>
    <row r="1960" spans="19:31" x14ac:dyDescent="0.25">
      <c r="S1960" s="65"/>
      <c r="AE1960" s="1"/>
    </row>
    <row r="1961" spans="19:31" x14ac:dyDescent="0.25">
      <c r="S1961" s="65"/>
      <c r="AE1961" s="1"/>
    </row>
    <row r="1962" spans="19:31" x14ac:dyDescent="0.25">
      <c r="S1962" s="65"/>
      <c r="AE1962" s="1"/>
    </row>
    <row r="1963" spans="19:31" x14ac:dyDescent="0.25">
      <c r="S1963" s="65"/>
      <c r="AE1963" s="1"/>
    </row>
    <row r="1964" spans="19:31" x14ac:dyDescent="0.25">
      <c r="S1964" s="65"/>
      <c r="AE1964" s="1"/>
    </row>
    <row r="1965" spans="19:31" x14ac:dyDescent="0.25">
      <c r="S1965" s="65"/>
      <c r="AE1965" s="1"/>
    </row>
    <row r="1966" spans="19:31" x14ac:dyDescent="0.25">
      <c r="S1966" s="65"/>
      <c r="AE1966" s="1"/>
    </row>
    <row r="1967" spans="19:31" x14ac:dyDescent="0.25">
      <c r="S1967" s="65"/>
      <c r="AE1967" s="1"/>
    </row>
    <row r="1968" spans="19:31" x14ac:dyDescent="0.25">
      <c r="S1968" s="65"/>
      <c r="AE1968" s="1"/>
    </row>
    <row r="1969" spans="19:31" x14ac:dyDescent="0.25">
      <c r="S1969" s="65"/>
      <c r="AE1969" s="1"/>
    </row>
    <row r="1970" spans="19:31" x14ac:dyDescent="0.25">
      <c r="S1970" s="65"/>
      <c r="AE1970" s="1"/>
    </row>
    <row r="1971" spans="19:31" x14ac:dyDescent="0.25">
      <c r="S1971" s="65"/>
      <c r="AE1971" s="1"/>
    </row>
    <row r="1972" spans="19:31" x14ac:dyDescent="0.25">
      <c r="S1972" s="65"/>
      <c r="AE1972" s="1"/>
    </row>
    <row r="1973" spans="19:31" x14ac:dyDescent="0.25">
      <c r="S1973" s="65"/>
      <c r="AE1973" s="1"/>
    </row>
    <row r="1974" spans="19:31" x14ac:dyDescent="0.25">
      <c r="S1974" s="65"/>
      <c r="AE1974" s="1"/>
    </row>
    <row r="1975" spans="19:31" x14ac:dyDescent="0.25">
      <c r="S1975" s="65"/>
      <c r="AE1975" s="1"/>
    </row>
    <row r="1976" spans="19:31" x14ac:dyDescent="0.25">
      <c r="S1976" s="65"/>
      <c r="AE1976" s="1"/>
    </row>
    <row r="1977" spans="19:31" x14ac:dyDescent="0.25">
      <c r="S1977" s="65"/>
      <c r="AE1977" s="1"/>
    </row>
    <row r="1978" spans="19:31" x14ac:dyDescent="0.25">
      <c r="S1978" s="65"/>
      <c r="AE1978" s="1"/>
    </row>
    <row r="1979" spans="19:31" x14ac:dyDescent="0.25">
      <c r="S1979" s="65"/>
      <c r="AE1979" s="1"/>
    </row>
    <row r="1980" spans="19:31" x14ac:dyDescent="0.25">
      <c r="S1980" s="65"/>
      <c r="AE1980" s="1"/>
    </row>
    <row r="1981" spans="19:31" x14ac:dyDescent="0.25">
      <c r="S1981" s="65"/>
      <c r="AE1981" s="1"/>
    </row>
    <row r="1982" spans="19:31" x14ac:dyDescent="0.25">
      <c r="S1982" s="65"/>
      <c r="AE1982" s="1"/>
    </row>
    <row r="1983" spans="19:31" x14ac:dyDescent="0.25">
      <c r="S1983" s="65"/>
      <c r="AE1983" s="1"/>
    </row>
    <row r="1984" spans="19:31" x14ac:dyDescent="0.25">
      <c r="S1984" s="65"/>
      <c r="AE1984" s="1"/>
    </row>
    <row r="1985" spans="19:31" x14ac:dyDescent="0.25">
      <c r="S1985" s="65"/>
      <c r="AE1985" s="1"/>
    </row>
    <row r="1986" spans="19:31" x14ac:dyDescent="0.25">
      <c r="S1986" s="65"/>
      <c r="AE1986" s="1"/>
    </row>
    <row r="1987" spans="19:31" x14ac:dyDescent="0.25">
      <c r="S1987" s="65"/>
      <c r="AE1987" s="1"/>
    </row>
    <row r="1988" spans="19:31" x14ac:dyDescent="0.25">
      <c r="S1988" s="65"/>
      <c r="AE1988" s="1"/>
    </row>
    <row r="1989" spans="19:31" x14ac:dyDescent="0.25">
      <c r="S1989" s="65"/>
      <c r="AE1989" s="1"/>
    </row>
    <row r="1990" spans="19:31" x14ac:dyDescent="0.25">
      <c r="S1990" s="65"/>
      <c r="AE1990" s="1"/>
    </row>
    <row r="1991" spans="19:31" x14ac:dyDescent="0.25">
      <c r="S1991" s="65"/>
      <c r="AE1991" s="1"/>
    </row>
    <row r="1992" spans="19:31" x14ac:dyDescent="0.25">
      <c r="S1992" s="65"/>
      <c r="AE1992" s="1"/>
    </row>
    <row r="1993" spans="19:31" x14ac:dyDescent="0.25">
      <c r="S1993" s="65"/>
      <c r="AE1993" s="1"/>
    </row>
    <row r="1994" spans="19:31" x14ac:dyDescent="0.25">
      <c r="S1994" s="65"/>
      <c r="AE1994" s="1"/>
    </row>
    <row r="1995" spans="19:31" x14ac:dyDescent="0.25">
      <c r="S1995" s="65"/>
      <c r="AE1995" s="1"/>
    </row>
    <row r="1996" spans="19:31" x14ac:dyDescent="0.25">
      <c r="S1996" s="65"/>
      <c r="AE1996" s="1"/>
    </row>
    <row r="1997" spans="19:31" x14ac:dyDescent="0.25">
      <c r="S1997" s="65"/>
      <c r="AE1997" s="1"/>
    </row>
    <row r="1998" spans="19:31" x14ac:dyDescent="0.25">
      <c r="S1998" s="65"/>
      <c r="AE1998" s="1"/>
    </row>
    <row r="1999" spans="19:31" x14ac:dyDescent="0.25">
      <c r="S1999" s="65"/>
      <c r="AE1999" s="1"/>
    </row>
    <row r="2000" spans="19:31" x14ac:dyDescent="0.25">
      <c r="S2000" s="65"/>
      <c r="AE2000" s="1"/>
    </row>
    <row r="2001" spans="19:31" x14ac:dyDescent="0.25">
      <c r="S2001" s="65"/>
      <c r="AE2001" s="1"/>
    </row>
    <row r="2002" spans="19:31" x14ac:dyDescent="0.25">
      <c r="S2002" s="65"/>
      <c r="AE2002" s="1"/>
    </row>
    <row r="2003" spans="19:31" x14ac:dyDescent="0.25">
      <c r="S2003" s="65"/>
      <c r="AE2003" s="1"/>
    </row>
    <row r="2004" spans="19:31" x14ac:dyDescent="0.25">
      <c r="S2004" s="65"/>
      <c r="AE2004" s="1"/>
    </row>
    <row r="2005" spans="19:31" x14ac:dyDescent="0.25">
      <c r="S2005" s="65"/>
      <c r="AE2005" s="1"/>
    </row>
    <row r="2006" spans="19:31" x14ac:dyDescent="0.25">
      <c r="S2006" s="65"/>
      <c r="AE2006" s="1"/>
    </row>
    <row r="2007" spans="19:31" x14ac:dyDescent="0.25">
      <c r="S2007" s="65"/>
      <c r="AE2007" s="1"/>
    </row>
    <row r="2008" spans="19:31" x14ac:dyDescent="0.25">
      <c r="S2008" s="65"/>
      <c r="AE2008" s="1"/>
    </row>
    <row r="2009" spans="19:31" x14ac:dyDescent="0.25">
      <c r="S2009" s="65"/>
      <c r="AE2009" s="1"/>
    </row>
    <row r="2010" spans="19:31" x14ac:dyDescent="0.25">
      <c r="S2010" s="65"/>
      <c r="AE2010" s="1"/>
    </row>
    <row r="2011" spans="19:31" x14ac:dyDescent="0.25">
      <c r="S2011" s="65"/>
      <c r="AE2011" s="1"/>
    </row>
    <row r="2012" spans="19:31" x14ac:dyDescent="0.25">
      <c r="S2012" s="65"/>
      <c r="AE2012" s="1"/>
    </row>
    <row r="2013" spans="19:31" x14ac:dyDescent="0.25">
      <c r="S2013" s="65"/>
      <c r="AE2013" s="1"/>
    </row>
    <row r="2014" spans="19:31" x14ac:dyDescent="0.25">
      <c r="S2014" s="65"/>
      <c r="AE2014" s="1"/>
    </row>
    <row r="2015" spans="19:31" x14ac:dyDescent="0.25">
      <c r="S2015" s="65"/>
      <c r="AE2015" s="1"/>
    </row>
    <row r="2016" spans="19:31" x14ac:dyDescent="0.25">
      <c r="S2016" s="65"/>
      <c r="AE2016" s="1"/>
    </row>
    <row r="2017" spans="19:31" x14ac:dyDescent="0.25">
      <c r="S2017" s="65"/>
      <c r="AE2017" s="1"/>
    </row>
    <row r="2018" spans="19:31" x14ac:dyDescent="0.25">
      <c r="S2018" s="65"/>
      <c r="AE2018" s="1"/>
    </row>
    <row r="2019" spans="19:31" x14ac:dyDescent="0.25">
      <c r="S2019" s="65"/>
      <c r="AE2019" s="1"/>
    </row>
    <row r="2020" spans="19:31" x14ac:dyDescent="0.25">
      <c r="S2020" s="65"/>
      <c r="AE2020" s="1"/>
    </row>
    <row r="2021" spans="19:31" x14ac:dyDescent="0.25">
      <c r="S2021" s="65"/>
      <c r="AE2021" s="1"/>
    </row>
    <row r="2022" spans="19:31" x14ac:dyDescent="0.25">
      <c r="S2022" s="65"/>
      <c r="AE2022" s="1"/>
    </row>
    <row r="2023" spans="19:31" x14ac:dyDescent="0.25">
      <c r="S2023" s="65"/>
      <c r="AE2023" s="1"/>
    </row>
    <row r="2024" spans="19:31" x14ac:dyDescent="0.25">
      <c r="S2024" s="65"/>
      <c r="AE2024" s="1"/>
    </row>
    <row r="2025" spans="19:31" x14ac:dyDescent="0.25">
      <c r="S2025" s="65"/>
      <c r="AE2025" s="1"/>
    </row>
    <row r="2026" spans="19:31" x14ac:dyDescent="0.25">
      <c r="S2026" s="65"/>
      <c r="AE2026" s="1"/>
    </row>
    <row r="2027" spans="19:31" x14ac:dyDescent="0.25">
      <c r="S2027" s="65"/>
      <c r="AE2027" s="1"/>
    </row>
    <row r="2028" spans="19:31" x14ac:dyDescent="0.25">
      <c r="S2028" s="65"/>
      <c r="AE2028" s="1"/>
    </row>
    <row r="2029" spans="19:31" x14ac:dyDescent="0.25">
      <c r="S2029" s="65"/>
      <c r="AE2029" s="1"/>
    </row>
    <row r="2030" spans="19:31" x14ac:dyDescent="0.25">
      <c r="S2030" s="65"/>
      <c r="AE2030" s="1"/>
    </row>
    <row r="2031" spans="19:31" x14ac:dyDescent="0.25">
      <c r="S2031" s="65"/>
      <c r="AE2031" s="1"/>
    </row>
    <row r="2032" spans="19:31" x14ac:dyDescent="0.25">
      <c r="S2032" s="65"/>
      <c r="AE2032" s="1"/>
    </row>
    <row r="2033" spans="19:31" x14ac:dyDescent="0.25">
      <c r="S2033" s="65"/>
      <c r="AE2033" s="1"/>
    </row>
    <row r="2034" spans="19:31" x14ac:dyDescent="0.25">
      <c r="S2034" s="65"/>
      <c r="AE2034" s="1"/>
    </row>
    <row r="2035" spans="19:31" x14ac:dyDescent="0.25">
      <c r="S2035" s="65"/>
      <c r="AE2035" s="1"/>
    </row>
    <row r="2036" spans="19:31" x14ac:dyDescent="0.25">
      <c r="S2036" s="65"/>
      <c r="AE2036" s="1"/>
    </row>
    <row r="2037" spans="19:31" x14ac:dyDescent="0.25">
      <c r="S2037" s="65"/>
      <c r="AE2037" s="1"/>
    </row>
    <row r="2038" spans="19:31" x14ac:dyDescent="0.25">
      <c r="S2038" s="65"/>
      <c r="AE2038" s="1"/>
    </row>
    <row r="2039" spans="19:31" x14ac:dyDescent="0.25">
      <c r="S2039" s="65"/>
      <c r="AE2039" s="1"/>
    </row>
    <row r="2040" spans="19:31" x14ac:dyDescent="0.25">
      <c r="S2040" s="65"/>
      <c r="AE2040" s="1"/>
    </row>
    <row r="2041" spans="19:31" x14ac:dyDescent="0.25">
      <c r="S2041" s="65"/>
      <c r="AE2041" s="1"/>
    </row>
    <row r="2042" spans="19:31" x14ac:dyDescent="0.25">
      <c r="S2042" s="65"/>
      <c r="AE2042" s="1"/>
    </row>
    <row r="2043" spans="19:31" x14ac:dyDescent="0.25">
      <c r="S2043" s="65"/>
      <c r="AE2043" s="1"/>
    </row>
    <row r="2044" spans="19:31" x14ac:dyDescent="0.25">
      <c r="S2044" s="65"/>
      <c r="AE2044" s="1"/>
    </row>
    <row r="2045" spans="19:31" x14ac:dyDescent="0.25">
      <c r="S2045" s="65"/>
      <c r="AE2045" s="1"/>
    </row>
    <row r="2046" spans="19:31" x14ac:dyDescent="0.25">
      <c r="S2046" s="65"/>
      <c r="AE2046" s="1"/>
    </row>
    <row r="2047" spans="19:31" x14ac:dyDescent="0.25">
      <c r="S2047" s="65"/>
      <c r="AE2047" s="1"/>
    </row>
    <row r="2048" spans="19:31" x14ac:dyDescent="0.25">
      <c r="S2048" s="65"/>
      <c r="AE2048" s="1"/>
    </row>
    <row r="2049" spans="19:31" x14ac:dyDescent="0.25">
      <c r="S2049" s="65"/>
      <c r="AE2049" s="1"/>
    </row>
    <row r="2050" spans="19:31" x14ac:dyDescent="0.25">
      <c r="S2050" s="65"/>
      <c r="AE2050" s="1"/>
    </row>
    <row r="2051" spans="19:31" x14ac:dyDescent="0.25">
      <c r="S2051" s="65"/>
      <c r="AE2051" s="1"/>
    </row>
    <row r="2052" spans="19:31" x14ac:dyDescent="0.25">
      <c r="S2052" s="65"/>
      <c r="AE2052" s="1"/>
    </row>
    <row r="2053" spans="19:31" x14ac:dyDescent="0.25">
      <c r="S2053" s="65"/>
      <c r="AE2053" s="1"/>
    </row>
    <row r="2054" spans="19:31" x14ac:dyDescent="0.25">
      <c r="S2054" s="65"/>
      <c r="AE2054" s="1"/>
    </row>
    <row r="2055" spans="19:31" x14ac:dyDescent="0.25">
      <c r="S2055" s="65"/>
      <c r="AE2055" s="1"/>
    </row>
    <row r="2056" spans="19:31" x14ac:dyDescent="0.25">
      <c r="S2056" s="65"/>
      <c r="AE2056" s="1"/>
    </row>
    <row r="2057" spans="19:31" x14ac:dyDescent="0.25">
      <c r="S2057" s="65"/>
      <c r="AE2057" s="1"/>
    </row>
    <row r="2058" spans="19:31" x14ac:dyDescent="0.25">
      <c r="S2058" s="65"/>
      <c r="AE2058" s="1"/>
    </row>
    <row r="2059" spans="19:31" x14ac:dyDescent="0.25">
      <c r="S2059" s="65"/>
      <c r="AE2059" s="1"/>
    </row>
    <row r="2060" spans="19:31" x14ac:dyDescent="0.25">
      <c r="S2060" s="65"/>
      <c r="AE2060" s="1"/>
    </row>
    <row r="2061" spans="19:31" x14ac:dyDescent="0.25">
      <c r="S2061" s="65"/>
      <c r="AE2061" s="1"/>
    </row>
    <row r="2062" spans="19:31" x14ac:dyDescent="0.25">
      <c r="S2062" s="65"/>
      <c r="AE2062" s="1"/>
    </row>
    <row r="2063" spans="19:31" x14ac:dyDescent="0.25">
      <c r="S2063" s="65"/>
      <c r="AE2063" s="1"/>
    </row>
    <row r="2064" spans="19:31" x14ac:dyDescent="0.25">
      <c r="S2064" s="65"/>
      <c r="AE2064" s="1"/>
    </row>
    <row r="2065" spans="19:31" x14ac:dyDescent="0.25">
      <c r="S2065" s="65"/>
      <c r="AE2065" s="1"/>
    </row>
    <row r="2066" spans="19:31" x14ac:dyDescent="0.25">
      <c r="S2066" s="65"/>
      <c r="AE2066" s="1"/>
    </row>
    <row r="2067" spans="19:31" x14ac:dyDescent="0.25">
      <c r="S2067" s="65"/>
      <c r="AE2067" s="1"/>
    </row>
    <row r="2068" spans="19:31" x14ac:dyDescent="0.25">
      <c r="S2068" s="65"/>
      <c r="AE2068" s="1"/>
    </row>
    <row r="2069" spans="19:31" x14ac:dyDescent="0.25">
      <c r="S2069" s="65"/>
      <c r="AE2069" s="1"/>
    </row>
    <row r="2070" spans="19:31" x14ac:dyDescent="0.25">
      <c r="S2070" s="65"/>
      <c r="AE2070" s="1"/>
    </row>
    <row r="2071" spans="19:31" x14ac:dyDescent="0.25">
      <c r="S2071" s="65"/>
      <c r="AE2071" s="1"/>
    </row>
    <row r="2072" spans="19:31" x14ac:dyDescent="0.25">
      <c r="S2072" s="65"/>
      <c r="AE2072" s="1"/>
    </row>
    <row r="2073" spans="19:31" x14ac:dyDescent="0.25">
      <c r="S2073" s="65"/>
      <c r="AE2073" s="1"/>
    </row>
    <row r="2074" spans="19:31" x14ac:dyDescent="0.25">
      <c r="S2074" s="65"/>
      <c r="AE2074" s="1"/>
    </row>
    <row r="2075" spans="19:31" x14ac:dyDescent="0.25">
      <c r="S2075" s="65"/>
      <c r="AE2075" s="1"/>
    </row>
    <row r="2076" spans="19:31" x14ac:dyDescent="0.25">
      <c r="S2076" s="65"/>
      <c r="AE2076" s="1"/>
    </row>
    <row r="2077" spans="19:31" x14ac:dyDescent="0.25">
      <c r="S2077" s="65"/>
      <c r="AE2077" s="1"/>
    </row>
    <row r="2078" spans="19:31" x14ac:dyDescent="0.25">
      <c r="S2078" s="65"/>
      <c r="AE2078" s="1"/>
    </row>
    <row r="2079" spans="19:31" x14ac:dyDescent="0.25">
      <c r="S2079" s="65"/>
      <c r="AE2079" s="1"/>
    </row>
    <row r="2080" spans="19:31" x14ac:dyDescent="0.25">
      <c r="S2080" s="65"/>
      <c r="AE2080" s="1"/>
    </row>
    <row r="2081" spans="19:31" x14ac:dyDescent="0.25">
      <c r="S2081" s="65"/>
      <c r="AE2081" s="1"/>
    </row>
    <row r="2082" spans="19:31" x14ac:dyDescent="0.25">
      <c r="S2082" s="65"/>
      <c r="AE2082" s="1"/>
    </row>
    <row r="2083" spans="19:31" x14ac:dyDescent="0.25">
      <c r="S2083" s="65"/>
      <c r="AE2083" s="1"/>
    </row>
    <row r="2084" spans="19:31" x14ac:dyDescent="0.25">
      <c r="S2084" s="65"/>
      <c r="AE2084" s="1"/>
    </row>
    <row r="2085" spans="19:31" x14ac:dyDescent="0.25">
      <c r="S2085" s="65"/>
      <c r="AE2085" s="1"/>
    </row>
    <row r="2086" spans="19:31" x14ac:dyDescent="0.25">
      <c r="S2086" s="65"/>
      <c r="AE2086" s="1"/>
    </row>
    <row r="2087" spans="19:31" x14ac:dyDescent="0.25">
      <c r="S2087" s="65"/>
      <c r="AE2087" s="1"/>
    </row>
    <row r="2088" spans="19:31" x14ac:dyDescent="0.25">
      <c r="S2088" s="65"/>
      <c r="AE2088" s="1"/>
    </row>
    <row r="2089" spans="19:31" x14ac:dyDescent="0.25">
      <c r="S2089" s="65"/>
      <c r="AE2089" s="1"/>
    </row>
    <row r="2090" spans="19:31" x14ac:dyDescent="0.25">
      <c r="S2090" s="65"/>
      <c r="AE2090" s="1"/>
    </row>
    <row r="2091" spans="19:31" x14ac:dyDescent="0.25">
      <c r="S2091" s="65"/>
      <c r="AE2091" s="1"/>
    </row>
    <row r="2092" spans="19:31" x14ac:dyDescent="0.25">
      <c r="S2092" s="65"/>
      <c r="AE2092" s="1"/>
    </row>
    <row r="2093" spans="19:31" x14ac:dyDescent="0.25">
      <c r="S2093" s="65"/>
      <c r="AE2093" s="1"/>
    </row>
    <row r="2094" spans="19:31" x14ac:dyDescent="0.25">
      <c r="S2094" s="65"/>
      <c r="AE2094" s="1"/>
    </row>
    <row r="2095" spans="19:31" x14ac:dyDescent="0.25">
      <c r="S2095" s="65"/>
      <c r="AE2095" s="1"/>
    </row>
    <row r="2096" spans="19:31" x14ac:dyDescent="0.25">
      <c r="S2096" s="65"/>
      <c r="AE2096" s="1"/>
    </row>
    <row r="2097" spans="19:31" x14ac:dyDescent="0.25">
      <c r="S2097" s="65"/>
      <c r="AE2097" s="1"/>
    </row>
    <row r="2098" spans="19:31" x14ac:dyDescent="0.25">
      <c r="S2098" s="65"/>
      <c r="AE2098" s="1"/>
    </row>
    <row r="2099" spans="19:31" x14ac:dyDescent="0.25">
      <c r="S2099" s="65"/>
      <c r="AE2099" s="1"/>
    </row>
    <row r="2100" spans="19:31" x14ac:dyDescent="0.25">
      <c r="S2100" s="65"/>
      <c r="AE2100" s="1"/>
    </row>
    <row r="2101" spans="19:31" x14ac:dyDescent="0.25">
      <c r="S2101" s="65"/>
      <c r="AE2101" s="1"/>
    </row>
    <row r="2102" spans="19:31" x14ac:dyDescent="0.25">
      <c r="S2102" s="65"/>
      <c r="AE2102" s="1"/>
    </row>
    <row r="2103" spans="19:31" x14ac:dyDescent="0.25">
      <c r="S2103" s="65"/>
      <c r="AE2103" s="1"/>
    </row>
    <row r="2104" spans="19:31" x14ac:dyDescent="0.25">
      <c r="S2104" s="65"/>
      <c r="AE2104" s="1"/>
    </row>
    <row r="2105" spans="19:31" x14ac:dyDescent="0.25">
      <c r="S2105" s="65"/>
      <c r="AE2105" s="1"/>
    </row>
    <row r="2106" spans="19:31" x14ac:dyDescent="0.25">
      <c r="S2106" s="65"/>
      <c r="AE2106" s="1"/>
    </row>
    <row r="2107" spans="19:31" x14ac:dyDescent="0.25">
      <c r="S2107" s="65"/>
      <c r="AE2107" s="1"/>
    </row>
    <row r="2108" spans="19:31" x14ac:dyDescent="0.25">
      <c r="S2108" s="65"/>
      <c r="AE2108" s="1"/>
    </row>
    <row r="2109" spans="19:31" x14ac:dyDescent="0.25">
      <c r="S2109" s="65"/>
      <c r="AE2109" s="1"/>
    </row>
    <row r="2110" spans="19:31" x14ac:dyDescent="0.25">
      <c r="S2110" s="65"/>
      <c r="AE2110" s="1"/>
    </row>
    <row r="2111" spans="19:31" x14ac:dyDescent="0.25">
      <c r="S2111" s="65"/>
      <c r="AE2111" s="1"/>
    </row>
    <row r="2112" spans="19:31" x14ac:dyDescent="0.25">
      <c r="S2112" s="65"/>
      <c r="AE2112" s="1"/>
    </row>
    <row r="2113" spans="19:31" x14ac:dyDescent="0.25">
      <c r="S2113" s="65"/>
      <c r="AE2113" s="1"/>
    </row>
    <row r="2114" spans="19:31" x14ac:dyDescent="0.25">
      <c r="S2114" s="65"/>
      <c r="AE2114" s="1"/>
    </row>
    <row r="2115" spans="19:31" x14ac:dyDescent="0.25">
      <c r="S2115" s="65"/>
      <c r="AE2115" s="1"/>
    </row>
    <row r="2116" spans="19:31" x14ac:dyDescent="0.25">
      <c r="S2116" s="65"/>
      <c r="AE2116" s="1"/>
    </row>
    <row r="2117" spans="19:31" x14ac:dyDescent="0.25">
      <c r="S2117" s="65"/>
      <c r="AE2117" s="1"/>
    </row>
    <row r="2118" spans="19:31" x14ac:dyDescent="0.25">
      <c r="S2118" s="65"/>
      <c r="AE2118" s="1"/>
    </row>
    <row r="2119" spans="19:31" x14ac:dyDescent="0.25">
      <c r="S2119" s="65"/>
      <c r="AE2119" s="1"/>
    </row>
    <row r="2120" spans="19:31" x14ac:dyDescent="0.25">
      <c r="S2120" s="65"/>
      <c r="AE2120" s="1"/>
    </row>
    <row r="2121" spans="19:31" x14ac:dyDescent="0.25">
      <c r="S2121" s="65"/>
      <c r="AE2121" s="1"/>
    </row>
    <row r="2122" spans="19:31" x14ac:dyDescent="0.25">
      <c r="S2122" s="65"/>
      <c r="AE2122" s="1"/>
    </row>
    <row r="2123" spans="19:31" x14ac:dyDescent="0.25">
      <c r="S2123" s="65"/>
      <c r="AE2123" s="1"/>
    </row>
    <row r="2124" spans="19:31" x14ac:dyDescent="0.25">
      <c r="S2124" s="65"/>
      <c r="AE2124" s="1"/>
    </row>
    <row r="2125" spans="19:31" x14ac:dyDescent="0.25">
      <c r="S2125" s="65"/>
      <c r="AE2125" s="1"/>
    </row>
    <row r="2126" spans="19:31" x14ac:dyDescent="0.25">
      <c r="S2126" s="65"/>
      <c r="AE2126" s="1"/>
    </row>
    <row r="2127" spans="19:31" x14ac:dyDescent="0.25">
      <c r="S2127" s="65"/>
      <c r="AE2127" s="1"/>
    </row>
    <row r="2128" spans="19:31" x14ac:dyDescent="0.25">
      <c r="S2128" s="65"/>
      <c r="AE2128" s="1"/>
    </row>
    <row r="2129" spans="19:31" x14ac:dyDescent="0.25">
      <c r="S2129" s="65"/>
      <c r="AE2129" s="1"/>
    </row>
    <row r="2130" spans="19:31" x14ac:dyDescent="0.25">
      <c r="S2130" s="65"/>
      <c r="AE2130" s="1"/>
    </row>
    <row r="2131" spans="19:31" x14ac:dyDescent="0.25">
      <c r="S2131" s="65"/>
      <c r="AE2131" s="1"/>
    </row>
    <row r="2132" spans="19:31" x14ac:dyDescent="0.25">
      <c r="S2132" s="65"/>
      <c r="AE2132" s="1"/>
    </row>
    <row r="2133" spans="19:31" x14ac:dyDescent="0.25">
      <c r="S2133" s="65"/>
      <c r="AE2133" s="1"/>
    </row>
    <row r="2134" spans="19:31" x14ac:dyDescent="0.25">
      <c r="S2134" s="65"/>
      <c r="AE2134" s="1"/>
    </row>
    <row r="2135" spans="19:31" x14ac:dyDescent="0.25">
      <c r="S2135" s="65"/>
      <c r="AE2135" s="1"/>
    </row>
    <row r="2136" spans="19:31" x14ac:dyDescent="0.25">
      <c r="S2136" s="65"/>
      <c r="AE2136" s="1"/>
    </row>
    <row r="2137" spans="19:31" x14ac:dyDescent="0.25">
      <c r="S2137" s="65"/>
      <c r="AE2137" s="1"/>
    </row>
    <row r="2138" spans="19:31" x14ac:dyDescent="0.25">
      <c r="S2138" s="65"/>
      <c r="AE2138" s="1"/>
    </row>
    <row r="2139" spans="19:31" x14ac:dyDescent="0.25">
      <c r="S2139" s="65"/>
      <c r="AE2139" s="1"/>
    </row>
    <row r="2140" spans="19:31" x14ac:dyDescent="0.25">
      <c r="S2140" s="65"/>
      <c r="AE2140" s="1"/>
    </row>
    <row r="2141" spans="19:31" x14ac:dyDescent="0.25">
      <c r="S2141" s="65"/>
      <c r="AE2141" s="1"/>
    </row>
    <row r="2142" spans="19:31" x14ac:dyDescent="0.25">
      <c r="S2142" s="65"/>
      <c r="AE2142" s="1"/>
    </row>
    <row r="2143" spans="19:31" x14ac:dyDescent="0.25">
      <c r="S2143" s="65"/>
      <c r="AE2143" s="1"/>
    </row>
    <row r="2144" spans="19:31" x14ac:dyDescent="0.25">
      <c r="S2144" s="65"/>
      <c r="AE2144" s="1"/>
    </row>
    <row r="2145" spans="19:31" x14ac:dyDescent="0.25">
      <c r="S2145" s="65"/>
      <c r="AE2145" s="1"/>
    </row>
    <row r="2146" spans="19:31" x14ac:dyDescent="0.25">
      <c r="S2146" s="65"/>
      <c r="AE2146" s="1"/>
    </row>
    <row r="2147" spans="19:31" x14ac:dyDescent="0.25">
      <c r="S2147" s="65"/>
      <c r="AE2147" s="1"/>
    </row>
    <row r="2148" spans="19:31" x14ac:dyDescent="0.25">
      <c r="S2148" s="65"/>
      <c r="AE2148" s="1"/>
    </row>
    <row r="2149" spans="19:31" x14ac:dyDescent="0.25">
      <c r="S2149" s="65"/>
      <c r="AE2149" s="1"/>
    </row>
    <row r="2150" spans="19:31" x14ac:dyDescent="0.25">
      <c r="S2150" s="65"/>
      <c r="AE2150" s="1"/>
    </row>
    <row r="2151" spans="19:31" x14ac:dyDescent="0.25">
      <c r="S2151" s="65"/>
      <c r="AE2151" s="1"/>
    </row>
    <row r="2152" spans="19:31" x14ac:dyDescent="0.25">
      <c r="S2152" s="65"/>
      <c r="AE2152" s="1"/>
    </row>
    <row r="2153" spans="19:31" x14ac:dyDescent="0.25">
      <c r="S2153" s="65"/>
      <c r="AE2153" s="1"/>
    </row>
    <row r="2154" spans="19:31" x14ac:dyDescent="0.25">
      <c r="S2154" s="65"/>
      <c r="AE2154" s="1"/>
    </row>
    <row r="2155" spans="19:31" x14ac:dyDescent="0.25">
      <c r="S2155" s="65"/>
      <c r="AE2155" s="1"/>
    </row>
    <row r="2156" spans="19:31" x14ac:dyDescent="0.25">
      <c r="S2156" s="65"/>
      <c r="AE2156" s="1"/>
    </row>
    <row r="2157" spans="19:31" x14ac:dyDescent="0.25">
      <c r="S2157" s="65"/>
      <c r="AE2157" s="1"/>
    </row>
    <row r="2158" spans="19:31" x14ac:dyDescent="0.25">
      <c r="S2158" s="65"/>
      <c r="AE2158" s="1"/>
    </row>
    <row r="2159" spans="19:31" x14ac:dyDescent="0.25">
      <c r="S2159" s="65"/>
      <c r="AE2159" s="1"/>
    </row>
    <row r="2160" spans="19:31" x14ac:dyDescent="0.25">
      <c r="S2160" s="65"/>
      <c r="AE2160" s="1"/>
    </row>
    <row r="2161" spans="19:31" x14ac:dyDescent="0.25">
      <c r="S2161" s="65"/>
      <c r="AE2161" s="1"/>
    </row>
    <row r="2162" spans="19:31" x14ac:dyDescent="0.25">
      <c r="S2162" s="65"/>
      <c r="AE2162" s="1"/>
    </row>
    <row r="2163" spans="19:31" x14ac:dyDescent="0.25">
      <c r="S2163" s="65"/>
      <c r="AE2163" s="1"/>
    </row>
    <row r="2164" spans="19:31" x14ac:dyDescent="0.25">
      <c r="S2164" s="65"/>
      <c r="AE2164" s="1"/>
    </row>
    <row r="2165" spans="19:31" x14ac:dyDescent="0.25">
      <c r="S2165" s="65"/>
      <c r="AE2165" s="1"/>
    </row>
    <row r="2166" spans="19:31" x14ac:dyDescent="0.25">
      <c r="S2166" s="65"/>
      <c r="AE2166" s="1"/>
    </row>
    <row r="2167" spans="19:31" x14ac:dyDescent="0.25">
      <c r="S2167" s="65"/>
      <c r="AE2167" s="1"/>
    </row>
    <row r="2168" spans="19:31" x14ac:dyDescent="0.25">
      <c r="S2168" s="65"/>
      <c r="AE2168" s="1"/>
    </row>
    <row r="2169" spans="19:31" x14ac:dyDescent="0.25">
      <c r="S2169" s="65"/>
      <c r="AE2169" s="1"/>
    </row>
    <row r="2170" spans="19:31" x14ac:dyDescent="0.25">
      <c r="S2170" s="65"/>
      <c r="AE2170" s="1"/>
    </row>
    <row r="2171" spans="19:31" x14ac:dyDescent="0.25">
      <c r="S2171" s="65"/>
      <c r="AE2171" s="1"/>
    </row>
    <row r="2172" spans="19:31" x14ac:dyDescent="0.25">
      <c r="S2172" s="65"/>
      <c r="AE2172" s="1"/>
    </row>
    <row r="2173" spans="19:31" x14ac:dyDescent="0.25">
      <c r="S2173" s="65"/>
      <c r="AE2173" s="1"/>
    </row>
    <row r="2174" spans="19:31" x14ac:dyDescent="0.25">
      <c r="S2174" s="65"/>
      <c r="AE2174" s="1"/>
    </row>
    <row r="2175" spans="19:31" x14ac:dyDescent="0.25">
      <c r="S2175" s="65"/>
      <c r="AE2175" s="1"/>
    </row>
    <row r="2176" spans="19:31" x14ac:dyDescent="0.25">
      <c r="S2176" s="65"/>
      <c r="AE2176" s="1"/>
    </row>
    <row r="2177" spans="19:31" x14ac:dyDescent="0.25">
      <c r="S2177" s="65"/>
      <c r="AE2177" s="1"/>
    </row>
    <row r="2178" spans="19:31" x14ac:dyDescent="0.25">
      <c r="S2178" s="65"/>
      <c r="AE2178" s="1"/>
    </row>
    <row r="2179" spans="19:31" x14ac:dyDescent="0.25">
      <c r="S2179" s="65"/>
      <c r="AE2179" s="1"/>
    </row>
    <row r="2180" spans="19:31" x14ac:dyDescent="0.25">
      <c r="S2180" s="65"/>
      <c r="AE2180" s="1"/>
    </row>
    <row r="2181" spans="19:31" x14ac:dyDescent="0.25">
      <c r="S2181" s="65"/>
      <c r="AE2181" s="1"/>
    </row>
    <row r="2182" spans="19:31" x14ac:dyDescent="0.25">
      <c r="S2182" s="65"/>
      <c r="AE2182" s="1"/>
    </row>
    <row r="2183" spans="19:31" x14ac:dyDescent="0.25">
      <c r="S2183" s="65"/>
      <c r="AE2183" s="1"/>
    </row>
    <row r="2184" spans="19:31" x14ac:dyDescent="0.25">
      <c r="S2184" s="65"/>
      <c r="AE2184" s="1"/>
    </row>
    <row r="2185" spans="19:31" x14ac:dyDescent="0.25">
      <c r="S2185" s="65"/>
      <c r="AE2185" s="1"/>
    </row>
    <row r="2186" spans="19:31" x14ac:dyDescent="0.25">
      <c r="S2186" s="65"/>
      <c r="AE2186" s="1"/>
    </row>
    <row r="2187" spans="19:31" x14ac:dyDescent="0.25">
      <c r="S2187" s="65"/>
      <c r="AE2187" s="1"/>
    </row>
    <row r="2188" spans="19:31" x14ac:dyDescent="0.25">
      <c r="S2188" s="65"/>
      <c r="AE2188" s="1"/>
    </row>
    <row r="2189" spans="19:31" x14ac:dyDescent="0.25">
      <c r="S2189" s="65"/>
      <c r="AE2189" s="1"/>
    </row>
    <row r="2190" spans="19:31" x14ac:dyDescent="0.25">
      <c r="S2190" s="65"/>
      <c r="AE2190" s="1"/>
    </row>
    <row r="2191" spans="19:31" x14ac:dyDescent="0.25">
      <c r="S2191" s="65"/>
      <c r="AE2191" s="1"/>
    </row>
    <row r="2192" spans="19:31" x14ac:dyDescent="0.25">
      <c r="S2192" s="65"/>
      <c r="AE2192" s="1"/>
    </row>
    <row r="2193" spans="19:31" x14ac:dyDescent="0.25">
      <c r="S2193" s="65"/>
      <c r="AE2193" s="1"/>
    </row>
    <row r="2194" spans="19:31" x14ac:dyDescent="0.25">
      <c r="S2194" s="65"/>
      <c r="AE2194" s="1"/>
    </row>
    <row r="2195" spans="19:31" x14ac:dyDescent="0.25">
      <c r="S2195" s="65"/>
      <c r="AE2195" s="1"/>
    </row>
    <row r="2196" spans="19:31" x14ac:dyDescent="0.25">
      <c r="S2196" s="65"/>
      <c r="AE2196" s="1"/>
    </row>
    <row r="2197" spans="19:31" x14ac:dyDescent="0.25">
      <c r="S2197" s="65"/>
      <c r="AE2197" s="1"/>
    </row>
    <row r="2198" spans="19:31" x14ac:dyDescent="0.25">
      <c r="S2198" s="65"/>
      <c r="AE2198" s="1"/>
    </row>
    <row r="2199" spans="19:31" x14ac:dyDescent="0.25">
      <c r="S2199" s="65"/>
      <c r="AE2199" s="1"/>
    </row>
    <row r="2200" spans="19:31" x14ac:dyDescent="0.25">
      <c r="S2200" s="65"/>
      <c r="AE2200" s="1"/>
    </row>
    <row r="2201" spans="19:31" x14ac:dyDescent="0.25">
      <c r="S2201" s="65"/>
      <c r="AE2201" s="1"/>
    </row>
    <row r="2202" spans="19:31" x14ac:dyDescent="0.25">
      <c r="S2202" s="65"/>
      <c r="AE2202" s="1"/>
    </row>
    <row r="2203" spans="19:31" x14ac:dyDescent="0.25">
      <c r="S2203" s="65"/>
      <c r="AE2203" s="1"/>
    </row>
    <row r="2204" spans="19:31" x14ac:dyDescent="0.25">
      <c r="S2204" s="65"/>
      <c r="AE2204" s="1"/>
    </row>
    <row r="2205" spans="19:31" x14ac:dyDescent="0.25">
      <c r="S2205" s="65"/>
      <c r="AE2205" s="1"/>
    </row>
    <row r="2206" spans="19:31" x14ac:dyDescent="0.25">
      <c r="S2206" s="65"/>
      <c r="AE2206" s="1"/>
    </row>
    <row r="2207" spans="19:31" x14ac:dyDescent="0.25">
      <c r="S2207" s="65"/>
      <c r="AE2207" s="1"/>
    </row>
    <row r="2208" spans="19:31" x14ac:dyDescent="0.25">
      <c r="S2208" s="65"/>
      <c r="AE2208" s="1"/>
    </row>
    <row r="2209" spans="19:31" x14ac:dyDescent="0.25">
      <c r="S2209" s="65"/>
      <c r="AE2209" s="1"/>
    </row>
    <row r="2210" spans="19:31" x14ac:dyDescent="0.25">
      <c r="S2210" s="65"/>
      <c r="AE2210" s="1"/>
    </row>
    <row r="2211" spans="19:31" x14ac:dyDescent="0.25">
      <c r="S2211" s="65"/>
      <c r="AE2211" s="1"/>
    </row>
    <row r="2212" spans="19:31" x14ac:dyDescent="0.25">
      <c r="S2212" s="65"/>
      <c r="AE2212" s="1"/>
    </row>
    <row r="2213" spans="19:31" x14ac:dyDescent="0.25">
      <c r="S2213" s="65"/>
      <c r="AE2213" s="1"/>
    </row>
    <row r="2214" spans="19:31" x14ac:dyDescent="0.25">
      <c r="S2214" s="65"/>
      <c r="AE2214" s="1"/>
    </row>
    <row r="2215" spans="19:31" x14ac:dyDescent="0.25">
      <c r="S2215" s="65"/>
      <c r="AE2215" s="1"/>
    </row>
    <row r="2216" spans="19:31" x14ac:dyDescent="0.25">
      <c r="S2216" s="65"/>
      <c r="AE2216" s="1"/>
    </row>
    <row r="2217" spans="19:31" x14ac:dyDescent="0.25">
      <c r="S2217" s="65"/>
      <c r="AE2217" s="1"/>
    </row>
    <row r="2218" spans="19:31" x14ac:dyDescent="0.25">
      <c r="S2218" s="65"/>
      <c r="AE2218" s="1"/>
    </row>
    <row r="2219" spans="19:31" x14ac:dyDescent="0.25">
      <c r="S2219" s="65"/>
      <c r="AE2219" s="1"/>
    </row>
    <row r="2220" spans="19:31" x14ac:dyDescent="0.25">
      <c r="S2220" s="65"/>
      <c r="AE2220" s="1"/>
    </row>
    <row r="2221" spans="19:31" x14ac:dyDescent="0.25">
      <c r="S2221" s="65"/>
      <c r="AE2221" s="1"/>
    </row>
    <row r="2222" spans="19:31" x14ac:dyDescent="0.25">
      <c r="S2222" s="65"/>
      <c r="AE2222" s="1"/>
    </row>
    <row r="2223" spans="19:31" x14ac:dyDescent="0.25">
      <c r="S2223" s="65"/>
      <c r="AE2223" s="1"/>
    </row>
    <row r="2224" spans="19:31" x14ac:dyDescent="0.25">
      <c r="S2224" s="65"/>
      <c r="AE2224" s="1"/>
    </row>
    <row r="2225" spans="19:31" x14ac:dyDescent="0.25">
      <c r="S2225" s="65"/>
      <c r="AE2225" s="1"/>
    </row>
    <row r="2226" spans="19:31" x14ac:dyDescent="0.25">
      <c r="S2226" s="65"/>
      <c r="AE2226" s="1"/>
    </row>
    <row r="2227" spans="19:31" x14ac:dyDescent="0.25">
      <c r="S2227" s="65"/>
      <c r="AE2227" s="1"/>
    </row>
    <row r="2228" spans="19:31" x14ac:dyDescent="0.25">
      <c r="S2228" s="65"/>
      <c r="AE2228" s="1"/>
    </row>
    <row r="2229" spans="19:31" x14ac:dyDescent="0.25">
      <c r="S2229" s="65"/>
      <c r="AE2229" s="1"/>
    </row>
    <row r="2230" spans="19:31" x14ac:dyDescent="0.25">
      <c r="S2230" s="65"/>
      <c r="AE2230" s="1"/>
    </row>
    <row r="2231" spans="19:31" x14ac:dyDescent="0.25">
      <c r="S2231" s="65"/>
      <c r="AE2231" s="1"/>
    </row>
    <row r="2232" spans="19:31" x14ac:dyDescent="0.25">
      <c r="S2232" s="65"/>
      <c r="AE2232" s="1"/>
    </row>
    <row r="2233" spans="19:31" x14ac:dyDescent="0.25">
      <c r="S2233" s="65"/>
      <c r="AE2233" s="1"/>
    </row>
    <row r="2234" spans="19:31" x14ac:dyDescent="0.25">
      <c r="S2234" s="65"/>
      <c r="AE2234" s="1"/>
    </row>
    <row r="2235" spans="19:31" x14ac:dyDescent="0.25">
      <c r="S2235" s="65"/>
      <c r="AE2235" s="1"/>
    </row>
    <row r="2236" spans="19:31" x14ac:dyDescent="0.25">
      <c r="S2236" s="65"/>
      <c r="AE2236" s="1"/>
    </row>
    <row r="2237" spans="19:31" x14ac:dyDescent="0.25">
      <c r="S2237" s="65"/>
      <c r="AE2237" s="1"/>
    </row>
    <row r="2238" spans="19:31" x14ac:dyDescent="0.25">
      <c r="S2238" s="65"/>
      <c r="AE2238" s="1"/>
    </row>
    <row r="2239" spans="19:31" x14ac:dyDescent="0.25">
      <c r="S2239" s="65"/>
      <c r="AE2239" s="1"/>
    </row>
    <row r="2240" spans="19:31" x14ac:dyDescent="0.25">
      <c r="S2240" s="65"/>
      <c r="AE2240" s="1"/>
    </row>
    <row r="2241" spans="19:31" x14ac:dyDescent="0.25">
      <c r="S2241" s="65"/>
      <c r="AE2241" s="1"/>
    </row>
    <row r="2242" spans="19:31" x14ac:dyDescent="0.25">
      <c r="S2242" s="65"/>
      <c r="AE2242" s="1"/>
    </row>
    <row r="2243" spans="19:31" x14ac:dyDescent="0.25">
      <c r="S2243" s="65"/>
      <c r="AE2243" s="1"/>
    </row>
    <row r="2244" spans="19:31" x14ac:dyDescent="0.25">
      <c r="S2244" s="65"/>
      <c r="AE2244" s="1"/>
    </row>
    <row r="2245" spans="19:31" x14ac:dyDescent="0.25">
      <c r="S2245" s="65"/>
      <c r="AE2245" s="1"/>
    </row>
    <row r="2246" spans="19:31" x14ac:dyDescent="0.25">
      <c r="S2246" s="65"/>
      <c r="AE2246" s="1"/>
    </row>
    <row r="2247" spans="19:31" x14ac:dyDescent="0.25">
      <c r="S2247" s="65"/>
      <c r="AE2247" s="1"/>
    </row>
    <row r="2248" spans="19:31" x14ac:dyDescent="0.25">
      <c r="S2248" s="65"/>
      <c r="AE2248" s="1"/>
    </row>
    <row r="2249" spans="19:31" x14ac:dyDescent="0.25">
      <c r="S2249" s="65"/>
      <c r="AE2249" s="1"/>
    </row>
    <row r="2250" spans="19:31" x14ac:dyDescent="0.25">
      <c r="S2250" s="65"/>
      <c r="AE2250" s="1"/>
    </row>
    <row r="2251" spans="19:31" x14ac:dyDescent="0.25">
      <c r="S2251" s="65"/>
      <c r="AE2251" s="1"/>
    </row>
    <row r="2252" spans="19:31" x14ac:dyDescent="0.25">
      <c r="S2252" s="65"/>
      <c r="AE2252" s="1"/>
    </row>
    <row r="2253" spans="19:31" x14ac:dyDescent="0.25">
      <c r="S2253" s="65"/>
      <c r="AE2253" s="1"/>
    </row>
    <row r="2254" spans="19:31" x14ac:dyDescent="0.25">
      <c r="S2254" s="65"/>
      <c r="AE2254" s="1"/>
    </row>
    <row r="2255" spans="19:31" x14ac:dyDescent="0.25">
      <c r="S2255" s="65"/>
      <c r="AE2255" s="1"/>
    </row>
    <row r="2256" spans="19:31" x14ac:dyDescent="0.25">
      <c r="S2256" s="65"/>
      <c r="AE2256" s="1"/>
    </row>
    <row r="2257" spans="19:31" x14ac:dyDescent="0.25">
      <c r="S2257" s="65"/>
      <c r="AE2257" s="1"/>
    </row>
    <row r="2258" spans="19:31" x14ac:dyDescent="0.25">
      <c r="S2258" s="65"/>
      <c r="AE2258" s="1"/>
    </row>
    <row r="2259" spans="19:31" x14ac:dyDescent="0.25">
      <c r="S2259" s="65"/>
      <c r="AE2259" s="1"/>
    </row>
    <row r="2260" spans="19:31" x14ac:dyDescent="0.25">
      <c r="S2260" s="65"/>
      <c r="AE2260" s="1"/>
    </row>
    <row r="2261" spans="19:31" x14ac:dyDescent="0.25">
      <c r="S2261" s="65"/>
      <c r="AE2261" s="1"/>
    </row>
    <row r="2262" spans="19:31" x14ac:dyDescent="0.25">
      <c r="S2262" s="65"/>
      <c r="AE2262" s="1"/>
    </row>
    <row r="2263" spans="19:31" x14ac:dyDescent="0.25">
      <c r="S2263" s="65"/>
      <c r="AE2263" s="1"/>
    </row>
    <row r="2264" spans="19:31" x14ac:dyDescent="0.25">
      <c r="S2264" s="65"/>
      <c r="AE2264" s="1"/>
    </row>
    <row r="2265" spans="19:31" x14ac:dyDescent="0.25">
      <c r="S2265" s="65"/>
      <c r="AE2265" s="1"/>
    </row>
    <row r="2266" spans="19:31" x14ac:dyDescent="0.25">
      <c r="S2266" s="65"/>
      <c r="AE2266" s="1"/>
    </row>
    <row r="2267" spans="19:31" x14ac:dyDescent="0.25">
      <c r="S2267" s="65"/>
      <c r="AE2267" s="1"/>
    </row>
    <row r="2268" spans="19:31" x14ac:dyDescent="0.25">
      <c r="S2268" s="65"/>
      <c r="AE2268" s="1"/>
    </row>
    <row r="2269" spans="19:31" x14ac:dyDescent="0.25">
      <c r="S2269" s="65"/>
      <c r="AE2269" s="1"/>
    </row>
    <row r="2270" spans="19:31" x14ac:dyDescent="0.25">
      <c r="S2270" s="65"/>
      <c r="AE2270" s="1"/>
    </row>
    <row r="2271" spans="19:31" x14ac:dyDescent="0.25">
      <c r="S2271" s="65"/>
      <c r="AE2271" s="1"/>
    </row>
    <row r="2272" spans="19:31" x14ac:dyDescent="0.25">
      <c r="S2272" s="65"/>
      <c r="AE2272" s="1"/>
    </row>
    <row r="2273" spans="19:31" x14ac:dyDescent="0.25">
      <c r="S2273" s="65"/>
      <c r="AE2273" s="1"/>
    </row>
    <row r="2274" spans="19:31" x14ac:dyDescent="0.25">
      <c r="S2274" s="65"/>
      <c r="AE2274" s="1"/>
    </row>
    <row r="2275" spans="19:31" x14ac:dyDescent="0.25">
      <c r="S2275" s="65"/>
      <c r="AE2275" s="1"/>
    </row>
    <row r="2276" spans="19:31" x14ac:dyDescent="0.25">
      <c r="S2276" s="65"/>
      <c r="AE2276" s="1"/>
    </row>
    <row r="2277" spans="19:31" x14ac:dyDescent="0.25">
      <c r="S2277" s="65"/>
      <c r="AE2277" s="1"/>
    </row>
    <row r="2278" spans="19:31" x14ac:dyDescent="0.25">
      <c r="S2278" s="65"/>
      <c r="AE2278" s="1"/>
    </row>
    <row r="2279" spans="19:31" x14ac:dyDescent="0.25">
      <c r="S2279" s="65"/>
      <c r="AE2279" s="1"/>
    </row>
    <row r="2280" spans="19:31" x14ac:dyDescent="0.25">
      <c r="S2280" s="65"/>
      <c r="AE2280" s="1"/>
    </row>
    <row r="2281" spans="19:31" x14ac:dyDescent="0.25">
      <c r="S2281" s="65"/>
      <c r="AE2281" s="1"/>
    </row>
    <row r="2282" spans="19:31" x14ac:dyDescent="0.25">
      <c r="S2282" s="65"/>
      <c r="AE2282" s="1"/>
    </row>
    <row r="2283" spans="19:31" x14ac:dyDescent="0.25">
      <c r="S2283" s="65"/>
      <c r="AE2283" s="1"/>
    </row>
    <row r="2284" spans="19:31" x14ac:dyDescent="0.25">
      <c r="S2284" s="65"/>
      <c r="AE2284" s="1"/>
    </row>
    <row r="2285" spans="19:31" x14ac:dyDescent="0.25">
      <c r="S2285" s="65"/>
      <c r="AE2285" s="1"/>
    </row>
    <row r="2286" spans="19:31" x14ac:dyDescent="0.25">
      <c r="S2286" s="65"/>
      <c r="AE2286" s="1"/>
    </row>
    <row r="2287" spans="19:31" x14ac:dyDescent="0.25">
      <c r="S2287" s="65"/>
      <c r="AE2287" s="1"/>
    </row>
    <row r="2288" spans="19:31" x14ac:dyDescent="0.25">
      <c r="S2288" s="65"/>
      <c r="AE2288" s="1"/>
    </row>
    <row r="2289" spans="19:31" x14ac:dyDescent="0.25">
      <c r="S2289" s="65"/>
      <c r="AE2289" s="1"/>
    </row>
    <row r="2290" spans="19:31" x14ac:dyDescent="0.25">
      <c r="S2290" s="65"/>
      <c r="AE2290" s="1"/>
    </row>
    <row r="2291" spans="19:31" x14ac:dyDescent="0.25">
      <c r="S2291" s="65"/>
      <c r="AE2291" s="1"/>
    </row>
    <row r="2292" spans="19:31" x14ac:dyDescent="0.25">
      <c r="S2292" s="65"/>
      <c r="AE2292" s="1"/>
    </row>
    <row r="2293" spans="19:31" x14ac:dyDescent="0.25">
      <c r="S2293" s="65"/>
      <c r="AE2293" s="1"/>
    </row>
    <row r="2294" spans="19:31" x14ac:dyDescent="0.25">
      <c r="S2294" s="65"/>
      <c r="AE2294" s="1"/>
    </row>
    <row r="2295" spans="19:31" x14ac:dyDescent="0.25">
      <c r="S2295" s="65"/>
      <c r="AE2295" s="1"/>
    </row>
    <row r="2296" spans="19:31" x14ac:dyDescent="0.25">
      <c r="S2296" s="65"/>
      <c r="AE2296" s="1"/>
    </row>
    <row r="2297" spans="19:31" x14ac:dyDescent="0.25">
      <c r="S2297" s="65"/>
      <c r="AE2297" s="1"/>
    </row>
    <row r="2298" spans="19:31" x14ac:dyDescent="0.25">
      <c r="S2298" s="65"/>
      <c r="AE2298" s="1"/>
    </row>
    <row r="2299" spans="19:31" x14ac:dyDescent="0.25">
      <c r="S2299" s="65"/>
      <c r="AE2299" s="1"/>
    </row>
    <row r="2300" spans="19:31" x14ac:dyDescent="0.25">
      <c r="S2300" s="65"/>
      <c r="AE2300" s="1"/>
    </row>
    <row r="2301" spans="19:31" x14ac:dyDescent="0.25">
      <c r="S2301" s="65"/>
      <c r="AE2301" s="1"/>
    </row>
    <row r="2302" spans="19:31" x14ac:dyDescent="0.25">
      <c r="S2302" s="65"/>
      <c r="AE2302" s="1"/>
    </row>
    <row r="2303" spans="19:31" x14ac:dyDescent="0.25">
      <c r="S2303" s="65"/>
      <c r="AE2303" s="1"/>
    </row>
    <row r="2304" spans="19:31" x14ac:dyDescent="0.25">
      <c r="S2304" s="65"/>
      <c r="AE2304" s="1"/>
    </row>
    <row r="2305" spans="19:31" x14ac:dyDescent="0.25">
      <c r="S2305" s="65"/>
      <c r="AE2305" s="1"/>
    </row>
    <row r="2306" spans="19:31" x14ac:dyDescent="0.25">
      <c r="S2306" s="65"/>
      <c r="AE2306" s="1"/>
    </row>
    <row r="2307" spans="19:31" x14ac:dyDescent="0.25">
      <c r="S2307" s="65"/>
      <c r="AE2307" s="1"/>
    </row>
    <row r="2308" spans="19:31" x14ac:dyDescent="0.25">
      <c r="S2308" s="65"/>
      <c r="AE2308" s="1"/>
    </row>
    <row r="2309" spans="19:31" x14ac:dyDescent="0.25">
      <c r="S2309" s="65"/>
      <c r="AE2309" s="1"/>
    </row>
    <row r="2310" spans="19:31" x14ac:dyDescent="0.25">
      <c r="S2310" s="65"/>
      <c r="AE2310" s="1"/>
    </row>
    <row r="2311" spans="19:31" x14ac:dyDescent="0.25">
      <c r="S2311" s="65"/>
      <c r="AE2311" s="1"/>
    </row>
    <row r="2312" spans="19:31" x14ac:dyDescent="0.25">
      <c r="S2312" s="65"/>
      <c r="AE2312" s="1"/>
    </row>
    <row r="2313" spans="19:31" x14ac:dyDescent="0.25">
      <c r="S2313" s="65"/>
      <c r="AE2313" s="1"/>
    </row>
    <row r="2314" spans="19:31" x14ac:dyDescent="0.25">
      <c r="S2314" s="65"/>
      <c r="AE2314" s="1"/>
    </row>
    <row r="2315" spans="19:31" x14ac:dyDescent="0.25">
      <c r="S2315" s="65"/>
      <c r="AE2315" s="1"/>
    </row>
    <row r="2316" spans="19:31" x14ac:dyDescent="0.25">
      <c r="S2316" s="65"/>
      <c r="AE2316" s="1"/>
    </row>
    <row r="2317" spans="19:31" x14ac:dyDescent="0.25">
      <c r="S2317" s="65"/>
      <c r="AE2317" s="1"/>
    </row>
    <row r="2318" spans="19:31" x14ac:dyDescent="0.25">
      <c r="S2318" s="65"/>
      <c r="AE2318" s="1"/>
    </row>
    <row r="2319" spans="19:31" x14ac:dyDescent="0.25">
      <c r="S2319" s="65"/>
      <c r="AE2319" s="1"/>
    </row>
    <row r="2320" spans="19:31" x14ac:dyDescent="0.25">
      <c r="S2320" s="65"/>
      <c r="AE2320" s="1"/>
    </row>
    <row r="2321" spans="19:31" x14ac:dyDescent="0.25">
      <c r="S2321" s="65"/>
      <c r="AE2321" s="1"/>
    </row>
    <row r="2322" spans="19:31" x14ac:dyDescent="0.25">
      <c r="S2322" s="65"/>
      <c r="AE2322" s="1"/>
    </row>
    <row r="2323" spans="19:31" x14ac:dyDescent="0.25">
      <c r="S2323" s="65"/>
      <c r="AE2323" s="1"/>
    </row>
    <row r="2324" spans="19:31" x14ac:dyDescent="0.25">
      <c r="S2324" s="65"/>
      <c r="AE2324" s="1"/>
    </row>
    <row r="2325" spans="19:31" x14ac:dyDescent="0.25">
      <c r="S2325" s="65"/>
      <c r="AE2325" s="1"/>
    </row>
    <row r="2326" spans="19:31" x14ac:dyDescent="0.25">
      <c r="S2326" s="65"/>
      <c r="AE2326" s="1"/>
    </row>
    <row r="2327" spans="19:31" x14ac:dyDescent="0.25">
      <c r="S2327" s="65"/>
      <c r="AE2327" s="1"/>
    </row>
    <row r="2328" spans="19:31" x14ac:dyDescent="0.25">
      <c r="S2328" s="65"/>
      <c r="AE2328" s="1"/>
    </row>
    <row r="2329" spans="19:31" x14ac:dyDescent="0.25">
      <c r="S2329" s="65"/>
      <c r="AE2329" s="1"/>
    </row>
    <row r="2330" spans="19:31" x14ac:dyDescent="0.25">
      <c r="S2330" s="65"/>
      <c r="AE2330" s="1"/>
    </row>
  </sheetData>
  <mergeCells count="51">
    <mergeCell ref="BC317:BD317"/>
    <mergeCell ref="BE317:BF317"/>
    <mergeCell ref="BG317:BH317"/>
    <mergeCell ref="D316:D318"/>
    <mergeCell ref="P316:P318"/>
    <mergeCell ref="L316:M317"/>
    <mergeCell ref="F316:G317"/>
    <mergeCell ref="R316:S317"/>
    <mergeCell ref="O316:O318"/>
    <mergeCell ref="Q316:Q318"/>
    <mergeCell ref="J316:J318"/>
    <mergeCell ref="E316:E318"/>
    <mergeCell ref="H316:H318"/>
    <mergeCell ref="I316:I318"/>
    <mergeCell ref="W316:W318"/>
    <mergeCell ref="K316:K318"/>
    <mergeCell ref="E3:AA3"/>
    <mergeCell ref="E6:F6"/>
    <mergeCell ref="Q6:R6"/>
    <mergeCell ref="AC6:AD6"/>
    <mergeCell ref="E7:F7"/>
    <mergeCell ref="Q7:R7"/>
    <mergeCell ref="AC7:AD7"/>
    <mergeCell ref="N316:N318"/>
    <mergeCell ref="T316:T318"/>
    <mergeCell ref="U316:U318"/>
    <mergeCell ref="V316:V318"/>
    <mergeCell ref="AF316:AF318"/>
    <mergeCell ref="X316:Y317"/>
    <mergeCell ref="AI316:AI318"/>
    <mergeCell ref="Z316:Z318"/>
    <mergeCell ref="AA316:AA318"/>
    <mergeCell ref="AC316:AC318"/>
    <mergeCell ref="AG316:AH317"/>
    <mergeCell ref="AD316:AE317"/>
    <mergeCell ref="AK316:BM316"/>
    <mergeCell ref="AJ316:AJ318"/>
    <mergeCell ref="BN316:BN318"/>
    <mergeCell ref="BO316:BO318"/>
    <mergeCell ref="AK317:AL317"/>
    <mergeCell ref="AM317:AN317"/>
    <mergeCell ref="AY317:AZ317"/>
    <mergeCell ref="BA317:BB317"/>
    <mergeCell ref="BI317:BJ317"/>
    <mergeCell ref="BK317:BL317"/>
    <mergeCell ref="BM317:BM318"/>
    <mergeCell ref="AO317:AP317"/>
    <mergeCell ref="AQ317:AR317"/>
    <mergeCell ref="AS317:AT317"/>
    <mergeCell ref="AU317:AV317"/>
    <mergeCell ref="AW317:AX317"/>
  </mergeCells>
  <phoneticPr fontId="3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 rahimi</dc:creator>
  <cp:lastModifiedBy>Ali Alizada</cp:lastModifiedBy>
  <dcterms:created xsi:type="dcterms:W3CDTF">2024-02-28T13:07:27Z</dcterms:created>
  <dcterms:modified xsi:type="dcterms:W3CDTF">2024-10-25T06:37:12Z</dcterms:modified>
</cp:coreProperties>
</file>