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gya Gupta\Desktop\"/>
    </mc:Choice>
  </mc:AlternateContent>
  <xr:revisionPtr revIDLastSave="0" documentId="8_{15B98B53-50D4-4ABD-82AF-0839A9A511B8}" xr6:coauthVersionLast="47" xr6:coauthVersionMax="47" xr10:uidLastSave="{00000000-0000-0000-0000-000000000000}"/>
  <bookViews>
    <workbookView xWindow="-96" yWindow="0" windowWidth="15564" windowHeight="12336" firstSheet="8" activeTab="13" xr2:uid="{00000000-000D-0000-FFFF-FFFF00000000}"/>
  </bookViews>
  <sheets>
    <sheet name="Prac-1" sheetId="15" r:id="rId1"/>
    <sheet name="Prac-2" sheetId="16" r:id="rId2"/>
    <sheet name="Pracc-3" sheetId="6" r:id="rId3"/>
    <sheet name="Prac-4" sheetId="2" r:id="rId4"/>
    <sheet name="Prac-5" sheetId="9" r:id="rId5"/>
    <sheet name="Prac-6" sheetId="10" r:id="rId6"/>
    <sheet name="prac-7" sheetId="5" r:id="rId7"/>
    <sheet name="Prac-8" sheetId="4" r:id="rId8"/>
    <sheet name="Prac-9" sheetId="11" r:id="rId9"/>
    <sheet name="prac-10" sheetId="3" r:id="rId10"/>
    <sheet name="Prac-11" sheetId="14" r:id="rId11"/>
    <sheet name="Prac-12" sheetId="13" r:id="rId12"/>
    <sheet name="Prac-13" sheetId="12" r:id="rId13"/>
    <sheet name="Prac-14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N10" i="6"/>
  <c r="B11" i="6"/>
  <c r="M3" i="16"/>
  <c r="L4" i="16"/>
  <c r="L3" i="16"/>
  <c r="K5" i="16"/>
  <c r="K4" i="16"/>
  <c r="K3" i="16"/>
  <c r="J5" i="16"/>
  <c r="J4" i="16" s="1"/>
  <c r="C9" i="16"/>
  <c r="D9" i="16"/>
  <c r="E9" i="16"/>
  <c r="B9" i="16"/>
  <c r="G11" i="16"/>
  <c r="D12" i="16"/>
  <c r="C8" i="16"/>
  <c r="D8" i="16"/>
  <c r="E8" i="16"/>
  <c r="F8" i="16"/>
  <c r="F9" i="16" s="1"/>
  <c r="B8" i="16"/>
  <c r="K10" i="15"/>
  <c r="J11" i="15"/>
  <c r="J10" i="15"/>
  <c r="I12" i="15"/>
  <c r="I11" i="15"/>
  <c r="I10" i="15"/>
  <c r="H11" i="15"/>
  <c r="H12" i="15"/>
  <c r="H10" i="15"/>
  <c r="C13" i="15"/>
  <c r="C12" i="15"/>
  <c r="K2" i="15"/>
  <c r="K4" i="15"/>
  <c r="K5" i="15"/>
  <c r="K3" i="15"/>
  <c r="C11" i="15"/>
  <c r="C10" i="15"/>
  <c r="C8" i="15"/>
  <c r="E7" i="15"/>
  <c r="C7" i="15"/>
  <c r="J3" i="15"/>
  <c r="J4" i="15"/>
  <c r="J5" i="15"/>
  <c r="J2" i="15"/>
  <c r="L16" i="14"/>
  <c r="L15" i="14" s="1"/>
  <c r="L12" i="14"/>
  <c r="L11" i="14"/>
  <c r="B11" i="14"/>
  <c r="E9" i="14"/>
  <c r="B8" i="14"/>
  <c r="E8" i="14" s="1"/>
  <c r="E7" i="14"/>
  <c r="D7" i="14"/>
  <c r="C7" i="14"/>
  <c r="B7" i="14"/>
  <c r="L6" i="14"/>
  <c r="M6" i="14" s="1"/>
  <c r="F6" i="14"/>
  <c r="M5" i="14"/>
  <c r="L5" i="14"/>
  <c r="M4" i="14" s="1"/>
  <c r="F5" i="14"/>
  <c r="L4" i="14"/>
  <c r="M3" i="14" s="1"/>
  <c r="F4" i="14"/>
  <c r="L3" i="14"/>
  <c r="F3" i="14"/>
  <c r="N19" i="13"/>
  <c r="B11" i="13"/>
  <c r="N28" i="13" s="1"/>
  <c r="N27" i="13" s="1"/>
  <c r="E9" i="13"/>
  <c r="B8" i="13"/>
  <c r="E8" i="13" s="1"/>
  <c r="I7" i="13"/>
  <c r="H7" i="13"/>
  <c r="G7" i="13"/>
  <c r="F7" i="13"/>
  <c r="N3" i="13" s="1" a="1"/>
  <c r="E7" i="13"/>
  <c r="D7" i="13"/>
  <c r="C7" i="13"/>
  <c r="B7" i="13"/>
  <c r="J6" i="13"/>
  <c r="J5" i="13"/>
  <c r="J4" i="13"/>
  <c r="J3" i="13"/>
  <c r="B13" i="12"/>
  <c r="E11" i="12"/>
  <c r="B10" i="12"/>
  <c r="E10" i="12" s="1"/>
  <c r="E9" i="12"/>
  <c r="D9" i="12"/>
  <c r="C9" i="12"/>
  <c r="I3" i="12" s="1" a="1"/>
  <c r="B9" i="12"/>
  <c r="F8" i="12"/>
  <c r="F7" i="12"/>
  <c r="F6" i="12"/>
  <c r="F5" i="12"/>
  <c r="F4" i="12"/>
  <c r="F3" i="12"/>
  <c r="N21" i="8"/>
  <c r="B13" i="8"/>
  <c r="N30" i="8" s="1"/>
  <c r="N29" i="8" s="1"/>
  <c r="E11" i="8"/>
  <c r="E10" i="8"/>
  <c r="E14" i="8" s="1"/>
  <c r="O21" i="8" s="1"/>
  <c r="P21" i="8" s="1"/>
  <c r="B10" i="8"/>
  <c r="I9" i="8"/>
  <c r="H9" i="8"/>
  <c r="G9" i="8"/>
  <c r="F9" i="8"/>
  <c r="E9" i="8"/>
  <c r="D9" i="8"/>
  <c r="C9" i="8"/>
  <c r="B9" i="8"/>
  <c r="N5" i="8" s="1" a="1"/>
  <c r="J8" i="8"/>
  <c r="J7" i="8"/>
  <c r="J6" i="8"/>
  <c r="J5" i="8"/>
  <c r="D11" i="16" l="1"/>
  <c r="D13" i="16" s="1"/>
  <c r="G13" i="16" s="1"/>
  <c r="N3" i="14"/>
  <c r="O3" i="14" s="1"/>
  <c r="N5" i="14"/>
  <c r="O5" i="14" s="1"/>
  <c r="P5" i="14" s="1"/>
  <c r="M13" i="14" s="1"/>
  <c r="N13" i="14" s="1"/>
  <c r="E10" i="14"/>
  <c r="N6" i="14"/>
  <c r="O6" i="14" s="1"/>
  <c r="P6" i="14" s="1"/>
  <c r="M14" i="14" s="1"/>
  <c r="N14" i="14" s="1"/>
  <c r="N4" i="14"/>
  <c r="O4" i="14" s="1"/>
  <c r="P4" i="14" s="1"/>
  <c r="E11" i="14"/>
  <c r="E12" i="14"/>
  <c r="M11" i="14" s="1"/>
  <c r="N11" i="14" s="1"/>
  <c r="N3" i="13"/>
  <c r="N10" i="13"/>
  <c r="N9" i="13"/>
  <c r="O6" i="13" s="1"/>
  <c r="N6" i="13"/>
  <c r="N8" i="13"/>
  <c r="N7" i="13"/>
  <c r="O5" i="13" s="1"/>
  <c r="N5" i="13"/>
  <c r="N4" i="13"/>
  <c r="E10" i="13"/>
  <c r="E11" i="13"/>
  <c r="E12" i="13"/>
  <c r="O19" i="13" s="1"/>
  <c r="P19" i="13" s="1"/>
  <c r="I4" i="12"/>
  <c r="I3" i="12"/>
  <c r="I6" i="12"/>
  <c r="I5" i="12"/>
  <c r="E12" i="12"/>
  <c r="E14" i="12"/>
  <c r="E13" i="12"/>
  <c r="N8" i="8"/>
  <c r="N5" i="8"/>
  <c r="N7" i="8"/>
  <c r="N6" i="8"/>
  <c r="N12" i="8"/>
  <c r="O12" i="8" s="1"/>
  <c r="N11" i="8"/>
  <c r="N10" i="8"/>
  <c r="N9" i="8"/>
  <c r="O7" i="8" s="1"/>
  <c r="E13" i="8"/>
  <c r="E12" i="8"/>
  <c r="G12" i="16" l="1"/>
  <c r="G14" i="16" s="1"/>
  <c r="P7" i="14"/>
  <c r="M12" i="14"/>
  <c r="N12" i="14" s="1"/>
  <c r="E13" i="14"/>
  <c r="M16" i="14"/>
  <c r="M15" i="14" s="1"/>
  <c r="N15" i="14" s="1"/>
  <c r="O11" i="14" s="1"/>
  <c r="O13" i="14"/>
  <c r="O3" i="13"/>
  <c r="O7" i="13"/>
  <c r="O9" i="13"/>
  <c r="P6" i="13" s="1"/>
  <c r="O8" i="13"/>
  <c r="P9" i="13" s="1"/>
  <c r="O4" i="13"/>
  <c r="P8" i="13"/>
  <c r="P4" i="13"/>
  <c r="O10" i="13"/>
  <c r="O28" i="13"/>
  <c r="E13" i="13"/>
  <c r="E15" i="12"/>
  <c r="J4" i="12"/>
  <c r="J6" i="12"/>
  <c r="J3" i="12"/>
  <c r="J5" i="12"/>
  <c r="O30" i="8"/>
  <c r="E15" i="8"/>
  <c r="O11" i="8"/>
  <c r="P8" i="8" s="1"/>
  <c r="O10" i="8"/>
  <c r="P11" i="8" s="1"/>
  <c r="O6" i="8"/>
  <c r="O8" i="8"/>
  <c r="O5" i="8"/>
  <c r="O9" i="8"/>
  <c r="O14" i="14" l="1"/>
  <c r="O12" i="14"/>
  <c r="Q7" i="13"/>
  <c r="R7" i="13" s="1"/>
  <c r="S7" i="13" s="1"/>
  <c r="O23" i="13" s="1"/>
  <c r="P23" i="13" s="1"/>
  <c r="P7" i="13"/>
  <c r="Q5" i="13" s="1"/>
  <c r="R5" i="13" s="1"/>
  <c r="S5" i="13" s="1"/>
  <c r="O21" i="13" s="1"/>
  <c r="P21" i="13" s="1"/>
  <c r="P3" i="13"/>
  <c r="Q3" i="13" s="1"/>
  <c r="R3" i="13" s="1"/>
  <c r="Q9" i="13"/>
  <c r="R9" i="13" s="1"/>
  <c r="S9" i="13" s="1"/>
  <c r="O25" i="13" s="1"/>
  <c r="P25" i="13" s="1"/>
  <c r="Q6" i="13"/>
  <c r="R6" i="13" s="1"/>
  <c r="S6" i="13" s="1"/>
  <c r="O22" i="13" s="1"/>
  <c r="P22" i="13" s="1"/>
  <c r="P5" i="13"/>
  <c r="Q4" i="13" s="1"/>
  <c r="R4" i="13" s="1"/>
  <c r="S4" i="13" s="1"/>
  <c r="P10" i="13"/>
  <c r="Q10" i="13" s="1"/>
  <c r="R10" i="13" s="1"/>
  <c r="S10" i="13" s="1"/>
  <c r="O26" i="13" s="1"/>
  <c r="P26" i="13" s="1"/>
  <c r="K4" i="12"/>
  <c r="L4" i="12" s="1"/>
  <c r="M4" i="12" s="1"/>
  <c r="M7" i="12" s="1"/>
  <c r="K6" i="12"/>
  <c r="L6" i="12" s="1"/>
  <c r="M6" i="12" s="1"/>
  <c r="K5" i="12"/>
  <c r="L5" i="12" s="1"/>
  <c r="M5" i="12" s="1"/>
  <c r="K3" i="12"/>
  <c r="L3" i="12" s="1"/>
  <c r="P10" i="8"/>
  <c r="P6" i="8"/>
  <c r="Q10" i="8"/>
  <c r="R10" i="8" s="1"/>
  <c r="S10" i="8" s="1"/>
  <c r="O26" i="8" s="1"/>
  <c r="P26" i="8" s="1"/>
  <c r="Q6" i="8"/>
  <c r="R6" i="8" s="1"/>
  <c r="S6" i="8" s="1"/>
  <c r="P5" i="8"/>
  <c r="P9" i="8"/>
  <c r="Q7" i="8" s="1"/>
  <c r="R7" i="8" s="1"/>
  <c r="S7" i="8" s="1"/>
  <c r="O23" i="8" s="1"/>
  <c r="P23" i="8" s="1"/>
  <c r="P12" i="8"/>
  <c r="Q12" i="8" s="1"/>
  <c r="R12" i="8" s="1"/>
  <c r="S12" i="8" s="1"/>
  <c r="O28" i="8" s="1"/>
  <c r="P28" i="8" s="1"/>
  <c r="P7" i="8"/>
  <c r="O20" i="13" l="1"/>
  <c r="Q8" i="13"/>
  <c r="R8" i="13" s="1"/>
  <c r="S8" i="13" s="1"/>
  <c r="O24" i="13" s="1"/>
  <c r="P24" i="13" s="1"/>
  <c r="Q23" i="8"/>
  <c r="Q5" i="8"/>
  <c r="R5" i="8" s="1"/>
  <c r="Q9" i="8"/>
  <c r="R9" i="8" s="1"/>
  <c r="S9" i="8" s="1"/>
  <c r="O25" i="8" s="1"/>
  <c r="P25" i="8" s="1"/>
  <c r="Q25" i="8" s="1"/>
  <c r="Q8" i="8"/>
  <c r="R8" i="8" s="1"/>
  <c r="S8" i="8" s="1"/>
  <c r="O24" i="8" s="1"/>
  <c r="P24" i="8" s="1"/>
  <c r="Q24" i="8" s="1"/>
  <c r="O22" i="8"/>
  <c r="Q11" i="8"/>
  <c r="R11" i="8" s="1"/>
  <c r="S11" i="8" s="1"/>
  <c r="O27" i="8" s="1"/>
  <c r="P27" i="8" s="1"/>
  <c r="Q26" i="8" s="1"/>
  <c r="P20" i="13" l="1"/>
  <c r="O27" i="13"/>
  <c r="P27" i="13" s="1"/>
  <c r="S11" i="13"/>
  <c r="S13" i="8"/>
  <c r="P22" i="8"/>
  <c r="Q22" i="8" s="1"/>
  <c r="O29" i="8"/>
  <c r="P29" i="8" s="1"/>
  <c r="Q27" i="8"/>
  <c r="Q21" i="8"/>
  <c r="Q28" i="8"/>
  <c r="Q19" i="13" l="1"/>
  <c r="Q23" i="13"/>
  <c r="Q26" i="13"/>
  <c r="Q25" i="13"/>
  <c r="Q22" i="13"/>
  <c r="Q21" i="13"/>
  <c r="Q20" i="13"/>
  <c r="Q24" i="13"/>
  <c r="C28" i="11" l="1"/>
  <c r="F19" i="11"/>
  <c r="F18" i="11"/>
  <c r="F17" i="11"/>
  <c r="D17" i="11"/>
  <c r="D18" i="11" s="1"/>
  <c r="F16" i="11"/>
  <c r="F15" i="11"/>
  <c r="D11" i="11"/>
  <c r="D10" i="11"/>
  <c r="D13" i="11" s="1"/>
  <c r="F8" i="11"/>
  <c r="E8" i="11"/>
  <c r="D8" i="11"/>
  <c r="C8" i="11"/>
  <c r="B8" i="11"/>
  <c r="G7" i="11"/>
  <c r="G6" i="11"/>
  <c r="G5" i="11"/>
  <c r="G4" i="11"/>
  <c r="G3" i="11"/>
  <c r="E41" i="10"/>
  <c r="G25" i="10"/>
  <c r="F25" i="10"/>
  <c r="D25" i="10"/>
  <c r="H24" i="10"/>
  <c r="H23" i="10"/>
  <c r="D12" i="10"/>
  <c r="D11" i="10"/>
  <c r="D10" i="10"/>
  <c r="D15" i="10" s="1"/>
  <c r="E22" i="10" s="1"/>
  <c r="D25" i="9"/>
  <c r="E14" i="9"/>
  <c r="E12" i="9"/>
  <c r="E11" i="9"/>
  <c r="E13" i="9" s="1"/>
  <c r="F9" i="9"/>
  <c r="E9" i="9"/>
  <c r="D9" i="9"/>
  <c r="C9" i="9"/>
  <c r="G8" i="9"/>
  <c r="G7" i="9"/>
  <c r="G6" i="9"/>
  <c r="G5" i="9"/>
  <c r="D29" i="11" l="1"/>
  <c r="D14" i="11"/>
  <c r="D27" i="11" s="1"/>
  <c r="E27" i="11" s="1"/>
  <c r="D16" i="11"/>
  <c r="D25" i="11" s="1"/>
  <c r="E25" i="11" s="1"/>
  <c r="D15" i="11"/>
  <c r="D26" i="11" s="1"/>
  <c r="E26" i="11" s="1"/>
  <c r="F28" i="10"/>
  <c r="H22" i="10"/>
  <c r="F27" i="10"/>
  <c r="E25" i="10"/>
  <c r="F30" i="10"/>
  <c r="E17" i="9"/>
  <c r="E24" i="9" s="1"/>
  <c r="F24" i="9" s="1"/>
  <c r="E16" i="9"/>
  <c r="E23" i="9" s="1"/>
  <c r="F23" i="9" s="1"/>
  <c r="E15" i="9"/>
  <c r="D19" i="11" l="1"/>
  <c r="D28" i="11" s="1"/>
  <c r="E28" i="11" s="1"/>
  <c r="F25" i="11" s="1"/>
  <c r="F29" i="10"/>
  <c r="E26" i="9"/>
  <c r="F26" i="9" s="1"/>
  <c r="E18" i="9"/>
  <c r="E25" i="9" s="1"/>
  <c r="F25" i="9" s="1"/>
  <c r="G23" i="9"/>
  <c r="G24" i="9"/>
  <c r="C14" i="6"/>
  <c r="C13" i="6"/>
  <c r="E8" i="6"/>
  <c r="L9" i="6" s="1"/>
  <c r="D8" i="6"/>
  <c r="L10" i="6" s="1"/>
  <c r="C8" i="6"/>
  <c r="L11" i="6" s="1"/>
  <c r="B8" i="6"/>
  <c r="L12" i="6" s="1"/>
  <c r="E7" i="6"/>
  <c r="E10" i="6" s="1"/>
  <c r="E11" i="6" s="1"/>
  <c r="D7" i="6"/>
  <c r="D10" i="6" s="1"/>
  <c r="D11" i="6" s="1"/>
  <c r="C7" i="6"/>
  <c r="C10" i="6" s="1"/>
  <c r="C11" i="6" s="1"/>
  <c r="B7" i="6"/>
  <c r="B10" i="6" s="1"/>
  <c r="C13" i="5"/>
  <c r="C11" i="5"/>
  <c r="C12" i="5" s="1"/>
  <c r="C10" i="5"/>
  <c r="E7" i="5"/>
  <c r="D7" i="5"/>
  <c r="C7" i="5"/>
  <c r="B7" i="5"/>
  <c r="M6" i="5"/>
  <c r="F6" i="5"/>
  <c r="M5" i="5"/>
  <c r="F5" i="5"/>
  <c r="M4" i="5"/>
  <c r="F4" i="5"/>
  <c r="M3" i="5"/>
  <c r="F3" i="5"/>
  <c r="D31" i="4"/>
  <c r="K26" i="4" s="1"/>
  <c r="D30" i="4"/>
  <c r="D28" i="4"/>
  <c r="D29" i="4" s="1"/>
  <c r="F26" i="4"/>
  <c r="E26" i="4"/>
  <c r="D26" i="4"/>
  <c r="C26" i="4"/>
  <c r="B26" i="4"/>
  <c r="J25" i="4"/>
  <c r="G25" i="4"/>
  <c r="J24" i="4"/>
  <c r="J26" i="4" s="1"/>
  <c r="G24" i="4"/>
  <c r="J23" i="4"/>
  <c r="G23" i="4"/>
  <c r="J22" i="4"/>
  <c r="G22" i="4"/>
  <c r="G21" i="4"/>
  <c r="O18" i="4"/>
  <c r="O16" i="4"/>
  <c r="D12" i="4"/>
  <c r="E10" i="4"/>
  <c r="O9" i="4"/>
  <c r="D13" i="4" s="1"/>
  <c r="O8" i="4"/>
  <c r="O7" i="4"/>
  <c r="G7" i="4"/>
  <c r="D14" i="4" s="1"/>
  <c r="O6" i="4"/>
  <c r="O5" i="4"/>
  <c r="N11" i="6" l="1"/>
  <c r="C15" i="6"/>
  <c r="F27" i="11"/>
  <c r="F26" i="11"/>
  <c r="F33" i="10"/>
  <c r="F40" i="10" s="1"/>
  <c r="G40" i="10" s="1"/>
  <c r="F32" i="10"/>
  <c r="F39" i="10" s="1"/>
  <c r="G39" i="10" s="1"/>
  <c r="F31" i="10"/>
  <c r="C16" i="6"/>
  <c r="I4" i="6" s="1"/>
  <c r="J4" i="6" s="1"/>
  <c r="N9" i="6"/>
  <c r="I12" i="5"/>
  <c r="J12" i="5" s="1"/>
  <c r="C17" i="5"/>
  <c r="C14" i="5"/>
  <c r="C16" i="5"/>
  <c r="I15" i="5"/>
  <c r="C15" i="5"/>
  <c r="I13" i="5"/>
  <c r="J13" i="5" s="1"/>
  <c r="I11" i="5"/>
  <c r="J11" i="5" s="1"/>
  <c r="H15" i="5"/>
  <c r="L26" i="4"/>
  <c r="D32" i="4"/>
  <c r="K23" i="4"/>
  <c r="L23" i="4" s="1"/>
  <c r="K24" i="4"/>
  <c r="L24" i="4" s="1"/>
  <c r="K22" i="4"/>
  <c r="L22" i="4" s="1"/>
  <c r="F42" i="10" l="1"/>
  <c r="G42" i="10" s="1"/>
  <c r="F34" i="10"/>
  <c r="F41" i="10" s="1"/>
  <c r="G41" i="10" s="1"/>
  <c r="H39" i="10" s="1"/>
  <c r="H40" i="10"/>
  <c r="C17" i="6"/>
  <c r="I5" i="6" s="1"/>
  <c r="J5" i="6" s="1"/>
  <c r="H13" i="6" s="1"/>
  <c r="C18" i="5"/>
  <c r="I14" i="5"/>
  <c r="J14" i="5" s="1"/>
  <c r="K13" i="5" s="1"/>
  <c r="J15" i="5"/>
  <c r="M23" i="4"/>
  <c r="K25" i="4"/>
  <c r="L25" i="4" s="1"/>
  <c r="M24" i="4" s="1"/>
  <c r="K4" i="6" l="1"/>
  <c r="K12" i="5"/>
  <c r="K11" i="5"/>
  <c r="M22" i="4"/>
  <c r="D22" i="3"/>
  <c r="D23" i="3" s="1"/>
  <c r="D24" i="3" s="1"/>
  <c r="H21" i="3"/>
  <c r="D21" i="3"/>
  <c r="C16" i="3"/>
  <c r="M12" i="3"/>
  <c r="T9" i="3"/>
  <c r="P9" i="3"/>
  <c r="Q9" i="3" s="1"/>
  <c r="O9" i="3"/>
  <c r="N9" i="3"/>
  <c r="M9" i="3"/>
  <c r="R9" i="3" s="1"/>
  <c r="S9" i="3" s="1"/>
  <c r="T8" i="3"/>
  <c r="P8" i="3"/>
  <c r="Q8" i="3" s="1"/>
  <c r="O8" i="3"/>
  <c r="N8" i="3"/>
  <c r="M8" i="3"/>
  <c r="R8" i="3" s="1"/>
  <c r="S8" i="3" s="1"/>
  <c r="T7" i="3"/>
  <c r="P7" i="3"/>
  <c r="Q7" i="3" s="1"/>
  <c r="O7" i="3"/>
  <c r="N7" i="3"/>
  <c r="M7" i="3"/>
  <c r="T6" i="3"/>
  <c r="P6" i="3"/>
  <c r="Q6" i="3" s="1"/>
  <c r="O6" i="3"/>
  <c r="N6" i="3"/>
  <c r="M6" i="3"/>
  <c r="R6" i="3" s="1"/>
  <c r="S6" i="3" s="1"/>
  <c r="T5" i="3"/>
  <c r="P5" i="3"/>
  <c r="Q5" i="3" s="1"/>
  <c r="O5" i="3"/>
  <c r="N5" i="3"/>
  <c r="M5" i="3"/>
  <c r="T4" i="3"/>
  <c r="P4" i="3"/>
  <c r="Q4" i="3" s="1"/>
  <c r="O4" i="3"/>
  <c r="N4" i="3"/>
  <c r="M4" i="3"/>
  <c r="R4" i="3" s="1"/>
  <c r="S4" i="3" s="1"/>
  <c r="T3" i="3"/>
  <c r="P3" i="3"/>
  <c r="Q3" i="3" s="1"/>
  <c r="O3" i="3"/>
  <c r="N3" i="3"/>
  <c r="M3" i="3"/>
  <c r="M11" i="3" s="1"/>
  <c r="M13" i="3" s="1"/>
  <c r="M15" i="3" l="1"/>
  <c r="E22" i="3" s="1"/>
  <c r="F22" i="3" s="1"/>
  <c r="M14" i="3"/>
  <c r="R5" i="3"/>
  <c r="S5" i="3" s="1"/>
  <c r="R7" i="3"/>
  <c r="S7" i="3" s="1"/>
  <c r="R3" i="3"/>
  <c r="S3" i="3" s="1"/>
  <c r="M16" i="3" s="1"/>
  <c r="E21" i="3" s="1"/>
  <c r="F21" i="3" s="1"/>
  <c r="M17" i="3" l="1"/>
  <c r="E23" i="3" s="1"/>
  <c r="F23" i="3" s="1"/>
  <c r="G22" i="3" s="1"/>
  <c r="C39" i="2"/>
  <c r="C38" i="2"/>
  <c r="B35" i="2"/>
  <c r="B33" i="2"/>
  <c r="B20" i="2"/>
  <c r="D9" i="2"/>
  <c r="E9" i="2"/>
  <c r="F9" i="2"/>
  <c r="G9" i="2"/>
  <c r="B9" i="2"/>
  <c r="C8" i="2"/>
  <c r="C9" i="2" s="1"/>
  <c r="D8" i="2"/>
  <c r="E8" i="2"/>
  <c r="F8" i="2"/>
  <c r="G8" i="2"/>
  <c r="B8" i="2"/>
  <c r="H8" i="2"/>
  <c r="B16" i="2" s="1"/>
  <c r="B19" i="2" s="1"/>
  <c r="B21" i="2" s="1"/>
  <c r="C35" i="2" s="1"/>
  <c r="I7" i="2"/>
  <c r="H3" i="2"/>
  <c r="I3" i="2" s="1"/>
  <c r="H4" i="2"/>
  <c r="I4" i="2" s="1"/>
  <c r="H5" i="2"/>
  <c r="I5" i="2" s="1"/>
  <c r="H6" i="2"/>
  <c r="I6" i="2" s="1"/>
  <c r="H7" i="2"/>
  <c r="G21" i="3" l="1"/>
  <c r="I8" i="2"/>
  <c r="B23" i="2" s="1"/>
  <c r="C31" i="2" s="1"/>
  <c r="D31" i="2" s="1"/>
  <c r="H9" i="2"/>
  <c r="B22" i="2" s="1"/>
  <c r="B24" i="2" l="1"/>
  <c r="C33" i="2" s="1"/>
  <c r="D33" i="2" s="1"/>
  <c r="C29" i="2"/>
  <c r="D29" i="2" s="1"/>
  <c r="E30" i="2" s="1"/>
  <c r="E32" i="2"/>
</calcChain>
</file>

<file path=xl/sharedStrings.xml><?xml version="1.0" encoding="utf-8"?>
<sst xmlns="http://schemas.openxmlformats.org/spreadsheetml/2006/main" count="505" uniqueCount="173">
  <si>
    <t>Total</t>
  </si>
  <si>
    <t>A</t>
  </si>
  <si>
    <t>B</t>
  </si>
  <si>
    <t>C</t>
  </si>
  <si>
    <t>D</t>
  </si>
  <si>
    <t>G</t>
  </si>
  <si>
    <t>r</t>
  </si>
  <si>
    <t>t</t>
  </si>
  <si>
    <t>N</t>
  </si>
  <si>
    <t>CF</t>
  </si>
  <si>
    <t>ANOVA TABLE</t>
  </si>
  <si>
    <t>SV</t>
  </si>
  <si>
    <t>df</t>
  </si>
  <si>
    <t>SS</t>
  </si>
  <si>
    <t>MS</t>
  </si>
  <si>
    <t>VR</t>
  </si>
  <si>
    <t>RSS</t>
  </si>
  <si>
    <t>TSS</t>
  </si>
  <si>
    <t>Ti^2</t>
  </si>
  <si>
    <t>SST</t>
  </si>
  <si>
    <t>SSE</t>
  </si>
  <si>
    <t>Treatment</t>
  </si>
  <si>
    <t>Error</t>
  </si>
  <si>
    <t>Blocks</t>
  </si>
  <si>
    <t>Varieties</t>
  </si>
  <si>
    <t>v1</t>
  </si>
  <si>
    <t>v2</t>
  </si>
  <si>
    <t>v3</t>
  </si>
  <si>
    <t>v4</t>
  </si>
  <si>
    <t>v5</t>
  </si>
  <si>
    <t>v6</t>
  </si>
  <si>
    <t>CD</t>
  </si>
  <si>
    <t>Bi</t>
  </si>
  <si>
    <t>Bi^2</t>
  </si>
  <si>
    <t>Ti</t>
  </si>
  <si>
    <t>SSB</t>
  </si>
  <si>
    <t>Ft(tab)</t>
  </si>
  <si>
    <t>Fb(tab)</t>
  </si>
  <si>
    <t>Accept Ho</t>
  </si>
  <si>
    <t>Reject Ho</t>
  </si>
  <si>
    <t>Treatment total (Ti) (2)</t>
  </si>
  <si>
    <t>Block Total(Bj)(3)</t>
  </si>
  <si>
    <t>Bj^2  (4)</t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</si>
  <si>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Nij*Bj (5)</t>
    </r>
  </si>
  <si>
    <t>∑Nij*Bj /k (6)</t>
  </si>
  <si>
    <t>Qi (7)</t>
  </si>
  <si>
    <t>Qi^2 (8)</t>
  </si>
  <si>
    <t>Ti^2 (9)</t>
  </si>
  <si>
    <t>Treatments</t>
  </si>
  <si>
    <t>v=</t>
  </si>
  <si>
    <t>here r=k and b=v, so this is symmetric BIBD</t>
  </si>
  <si>
    <t>G=</t>
  </si>
  <si>
    <t>b=</t>
  </si>
  <si>
    <t>N=</t>
  </si>
  <si>
    <t>r=</t>
  </si>
  <si>
    <t>C.F.=</t>
  </si>
  <si>
    <t>k=</t>
  </si>
  <si>
    <t>T.S.S.=</t>
  </si>
  <si>
    <t>lambda=</t>
  </si>
  <si>
    <t>S.S.B.=</t>
  </si>
  <si>
    <t>E=</t>
  </si>
  <si>
    <t>S.S.T.=</t>
  </si>
  <si>
    <t>S.S.E.=</t>
  </si>
  <si>
    <t>S.V.</t>
  </si>
  <si>
    <t>D.F.</t>
  </si>
  <si>
    <t>S.S.</t>
  </si>
  <si>
    <t>M.S.S.</t>
  </si>
  <si>
    <t>V.R.</t>
  </si>
  <si>
    <t>TREATMENTS</t>
  </si>
  <si>
    <t>BLOCKS</t>
  </si>
  <si>
    <t>ERROR</t>
  </si>
  <si>
    <t>TOTAL</t>
  </si>
  <si>
    <t>Treatment with original data</t>
  </si>
  <si>
    <t>Original Data</t>
  </si>
  <si>
    <t>SUM</t>
  </si>
  <si>
    <t>Sum</t>
  </si>
  <si>
    <t>E</t>
  </si>
  <si>
    <t>Treatment Table after entering x</t>
  </si>
  <si>
    <t>x</t>
  </si>
  <si>
    <t>bias</t>
  </si>
  <si>
    <t>m</t>
  </si>
  <si>
    <t xml:space="preserve">After entering missing value </t>
  </si>
  <si>
    <t>Anova Table</t>
  </si>
  <si>
    <t>MSS</t>
  </si>
  <si>
    <t>Row</t>
  </si>
  <si>
    <t>Column</t>
  </si>
  <si>
    <t>sum</t>
  </si>
  <si>
    <t>ANOVA table</t>
  </si>
  <si>
    <t>n</t>
  </si>
  <si>
    <t>cf</t>
  </si>
  <si>
    <t>SSR</t>
  </si>
  <si>
    <t>SSC</t>
  </si>
  <si>
    <t>DF</t>
  </si>
  <si>
    <t>F</t>
  </si>
  <si>
    <t>treatment</t>
  </si>
  <si>
    <t>error</t>
  </si>
  <si>
    <t>total</t>
  </si>
  <si>
    <t>mean weight</t>
  </si>
  <si>
    <t>difference</t>
  </si>
  <si>
    <t>Ftab</t>
  </si>
  <si>
    <t>Reject H0</t>
  </si>
  <si>
    <t>V1</t>
  </si>
  <si>
    <t>V2</t>
  </si>
  <si>
    <t>V3</t>
  </si>
  <si>
    <t>V4</t>
  </si>
  <si>
    <t>V5</t>
  </si>
  <si>
    <t>I</t>
  </si>
  <si>
    <t>II</t>
  </si>
  <si>
    <t>III</t>
  </si>
  <si>
    <t>IV</t>
  </si>
  <si>
    <t>Batch</t>
  </si>
  <si>
    <t>PRACTICAL- 5 (RBD)</t>
  </si>
  <si>
    <t xml:space="preserve">PRACTICAL- 6  </t>
  </si>
  <si>
    <t>T</t>
  </si>
  <si>
    <t>New with missing value</t>
  </si>
  <si>
    <t>Block</t>
  </si>
  <si>
    <t>PRACTICAL- 9</t>
  </si>
  <si>
    <t>(I)</t>
  </si>
  <si>
    <t>k</t>
  </si>
  <si>
    <t>p</t>
  </si>
  <si>
    <t>pk</t>
  </si>
  <si>
    <t>nk</t>
  </si>
  <si>
    <t>np</t>
  </si>
  <si>
    <t>npk</t>
  </si>
  <si>
    <t>Yates Method</t>
  </si>
  <si>
    <t>OO</t>
  </si>
  <si>
    <t>O1</t>
  </si>
  <si>
    <t>Treatment Combination</t>
  </si>
  <si>
    <t>a</t>
  </si>
  <si>
    <t>b</t>
  </si>
  <si>
    <t>c</t>
  </si>
  <si>
    <t>Treatement</t>
  </si>
  <si>
    <t>ab</t>
  </si>
  <si>
    <t>G =</t>
  </si>
  <si>
    <t>C.F =</t>
  </si>
  <si>
    <t>bc</t>
  </si>
  <si>
    <t>r =</t>
  </si>
  <si>
    <t>R.S.S =</t>
  </si>
  <si>
    <t>ac</t>
  </si>
  <si>
    <t>t =</t>
  </si>
  <si>
    <t>T.S.S =</t>
  </si>
  <si>
    <t>abc</t>
  </si>
  <si>
    <t>N =</t>
  </si>
  <si>
    <t>S.S.T =</t>
  </si>
  <si>
    <t>S.S.B =</t>
  </si>
  <si>
    <t>S.S.E =</t>
  </si>
  <si>
    <t>ANOVA</t>
  </si>
  <si>
    <t>Source of Variation</t>
  </si>
  <si>
    <t>P-value</t>
  </si>
  <si>
    <t>F crit</t>
  </si>
  <si>
    <t>S.V</t>
  </si>
  <si>
    <t>d.f</t>
  </si>
  <si>
    <t>S.S</t>
  </si>
  <si>
    <t>M.S.S</t>
  </si>
  <si>
    <t>V.R</t>
  </si>
  <si>
    <t>Rows</t>
  </si>
  <si>
    <t>Columns</t>
  </si>
  <si>
    <t>Main Effect(A)</t>
  </si>
  <si>
    <t>Main Effect(B)</t>
  </si>
  <si>
    <t>Main Effect(C)</t>
  </si>
  <si>
    <t>Two Order Interaction (A*B)</t>
  </si>
  <si>
    <t>Two Order Interaction (B*C)</t>
  </si>
  <si>
    <t>Two Order Interaction (A*C)</t>
  </si>
  <si>
    <t>Three order Interaction (A*B*C)</t>
  </si>
  <si>
    <t>s</t>
  </si>
  <si>
    <t>ns</t>
  </si>
  <si>
    <t>Bolcks</t>
  </si>
  <si>
    <t>Interaction (A*B)</t>
  </si>
  <si>
    <t>LIFE OF BULBS IN HOURS</t>
  </si>
  <si>
    <t>Ti^2/ri</t>
  </si>
  <si>
    <t>Ratio</t>
  </si>
  <si>
    <t xml:space="preserve"> </t>
  </si>
  <si>
    <t>Ti^2/r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</si>
</sst>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4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076-1493-477E-A568-071918993659}">
  <dimension ref="A1:K13"/>
  <sheetViews>
    <sheetView zoomScale="62" workbookViewId="0">
      <selection activeCell="K11" sqref="K11"/>
    </sheetView>
  </sheetViews>
  <sheetFormatPr defaultRowHeight="14.4" x14ac:dyDescent="0.3"/>
  <cols>
    <col min="1" max="2" width="9" bestFit="1" customWidth="1"/>
    <col min="3" max="3" width="11.109375" bestFit="1" customWidth="1"/>
    <col min="4" max="6" width="9" bestFit="1" customWidth="1"/>
    <col min="7" max="7" width="9.88671875" customWidth="1"/>
    <col min="8" max="10" width="9" bestFit="1" customWidth="1"/>
    <col min="11" max="11" width="11.88671875" bestFit="1" customWidth="1"/>
  </cols>
  <sheetData>
    <row r="1" spans="1:11" x14ac:dyDescent="0.3">
      <c r="A1" t="s">
        <v>110</v>
      </c>
      <c r="B1" s="22" t="s">
        <v>168</v>
      </c>
      <c r="C1" s="22"/>
      <c r="D1" s="22"/>
      <c r="E1" s="22"/>
      <c r="F1" s="22"/>
      <c r="G1" s="22"/>
      <c r="H1" s="22"/>
      <c r="I1" s="22"/>
      <c r="J1" t="s">
        <v>0</v>
      </c>
      <c r="K1" t="s">
        <v>169</v>
      </c>
    </row>
    <row r="2" spans="1:11" x14ac:dyDescent="0.3">
      <c r="A2">
        <v>1</v>
      </c>
      <c r="B2">
        <v>1600</v>
      </c>
      <c r="C2">
        <v>1610</v>
      </c>
      <c r="E2">
        <v>1650</v>
      </c>
      <c r="F2">
        <v>1680</v>
      </c>
      <c r="G2">
        <v>1700</v>
      </c>
      <c r="H2">
        <v>1720</v>
      </c>
      <c r="I2">
        <v>1800</v>
      </c>
      <c r="J2">
        <f>SUM(B2:I2)</f>
        <v>11760</v>
      </c>
      <c r="K2">
        <f>J2^2/COUNT(B2:I2)</f>
        <v>19756800</v>
      </c>
    </row>
    <row r="3" spans="1:11" x14ac:dyDescent="0.3">
      <c r="A3">
        <v>2</v>
      </c>
      <c r="B3">
        <v>1580</v>
      </c>
      <c r="C3">
        <v>1640</v>
      </c>
      <c r="D3">
        <v>1640</v>
      </c>
      <c r="E3">
        <v>1700</v>
      </c>
      <c r="F3">
        <v>1750</v>
      </c>
      <c r="J3" s="24">
        <f t="shared" ref="J3:J5" si="0">SUM(B3:I3)</f>
        <v>8310</v>
      </c>
      <c r="K3">
        <f>J3^2/COUNT(B3:I3)</f>
        <v>13811220</v>
      </c>
    </row>
    <row r="4" spans="1:11" x14ac:dyDescent="0.3">
      <c r="A4">
        <v>3</v>
      </c>
      <c r="B4">
        <v>1460</v>
      </c>
      <c r="C4">
        <v>1550</v>
      </c>
      <c r="D4">
        <v>1600</v>
      </c>
      <c r="E4">
        <v>1620</v>
      </c>
      <c r="F4">
        <v>1640</v>
      </c>
      <c r="G4">
        <v>1660</v>
      </c>
      <c r="H4">
        <v>1740</v>
      </c>
      <c r="I4">
        <v>1820</v>
      </c>
      <c r="J4" s="24">
        <f t="shared" si="0"/>
        <v>13090</v>
      </c>
      <c r="K4" s="24">
        <f t="shared" ref="K4:K5" si="1">J4^2/COUNT(B4:I4)</f>
        <v>21418512.5</v>
      </c>
    </row>
    <row r="5" spans="1:11" x14ac:dyDescent="0.3">
      <c r="A5">
        <v>4</v>
      </c>
      <c r="B5">
        <v>1510</v>
      </c>
      <c r="C5">
        <v>1520</v>
      </c>
      <c r="D5">
        <v>1530</v>
      </c>
      <c r="E5">
        <v>1570</v>
      </c>
      <c r="F5">
        <v>1600</v>
      </c>
      <c r="G5">
        <v>1680</v>
      </c>
      <c r="J5" s="24">
        <f t="shared" si="0"/>
        <v>9410</v>
      </c>
      <c r="K5" s="24">
        <f t="shared" si="1"/>
        <v>14758016.666666666</v>
      </c>
    </row>
    <row r="7" spans="1:11" x14ac:dyDescent="0.3">
      <c r="B7" t="s">
        <v>5</v>
      </c>
      <c r="C7">
        <f>SUM(B2:I5)</f>
        <v>42570</v>
      </c>
      <c r="D7" t="s">
        <v>88</v>
      </c>
      <c r="E7">
        <f>COUNT(B2:I5)</f>
        <v>26</v>
      </c>
    </row>
    <row r="8" spans="1:11" x14ac:dyDescent="0.3">
      <c r="B8" t="s">
        <v>9</v>
      </c>
      <c r="C8">
        <f>C7*C7/E7</f>
        <v>69700188.461538464</v>
      </c>
    </row>
    <row r="9" spans="1:11" x14ac:dyDescent="0.3">
      <c r="G9" t="s">
        <v>13</v>
      </c>
      <c r="H9" t="s">
        <v>12</v>
      </c>
      <c r="I9" t="s">
        <v>13</v>
      </c>
      <c r="J9" t="s">
        <v>14</v>
      </c>
      <c r="K9" t="s">
        <v>170</v>
      </c>
    </row>
    <row r="10" spans="1:11" x14ac:dyDescent="0.3">
      <c r="B10" t="s">
        <v>16</v>
      </c>
      <c r="C10">
        <f>SUMSQ(B2:I5)</f>
        <v>69895900</v>
      </c>
      <c r="G10" t="s">
        <v>21</v>
      </c>
      <c r="H10">
        <f>COUNT(A2:A5)-1</f>
        <v>3</v>
      </c>
      <c r="I10">
        <f>C12</f>
        <v>44360.705128207803</v>
      </c>
      <c r="J10">
        <f>I10/H10</f>
        <v>14786.9017094026</v>
      </c>
      <c r="K10">
        <f>J10/J11</f>
        <v>2.1493891407284482</v>
      </c>
    </row>
    <row r="11" spans="1:11" x14ac:dyDescent="0.3">
      <c r="B11" t="s">
        <v>17</v>
      </c>
      <c r="C11">
        <f>C10-C8</f>
        <v>195711.53846153617</v>
      </c>
      <c r="G11" t="s">
        <v>22</v>
      </c>
      <c r="H11">
        <f>H12-H10</f>
        <v>22</v>
      </c>
      <c r="I11">
        <f>C13</f>
        <v>151350.83333332837</v>
      </c>
      <c r="J11" s="24">
        <f>I11/H11</f>
        <v>6879.5833333331075</v>
      </c>
    </row>
    <row r="12" spans="1:11" x14ac:dyDescent="0.3">
      <c r="B12" t="s">
        <v>19</v>
      </c>
      <c r="C12">
        <f>SUM(K2:K5)-C8</f>
        <v>44360.705128207803</v>
      </c>
      <c r="G12" t="s">
        <v>0</v>
      </c>
      <c r="H12">
        <f>COUNT(B2:I5)-1</f>
        <v>25</v>
      </c>
      <c r="I12">
        <f>C11</f>
        <v>195711.53846153617</v>
      </c>
    </row>
    <row r="13" spans="1:11" x14ac:dyDescent="0.3">
      <c r="B13" t="s">
        <v>20</v>
      </c>
      <c r="C13">
        <f>C11-C12</f>
        <v>151350.83333332837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CB75-9B9D-44AF-800B-1B03AB7EB465}">
  <dimension ref="A1:M14"/>
  <sheetViews>
    <sheetView workbookViewId="0">
      <selection activeCell="M4" sqref="M4"/>
    </sheetView>
  </sheetViews>
  <sheetFormatPr defaultRowHeight="14.4" x14ac:dyDescent="0.3"/>
  <cols>
    <col min="9" max="9" width="11.6640625" customWidth="1"/>
    <col min="11" max="11" width="8.88671875" style="24"/>
  </cols>
  <sheetData>
    <row r="1" spans="1:13" x14ac:dyDescent="0.3">
      <c r="A1" t="s">
        <v>171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13" x14ac:dyDescent="0.3">
      <c r="B2">
        <v>320</v>
      </c>
      <c r="C2">
        <v>328</v>
      </c>
      <c r="D2">
        <v>400</v>
      </c>
      <c r="E2">
        <v>340</v>
      </c>
      <c r="F2">
        <v>398</v>
      </c>
      <c r="I2" t="s">
        <v>11</v>
      </c>
      <c r="J2" t="s">
        <v>12</v>
      </c>
      <c r="K2" s="24" t="s">
        <v>13</v>
      </c>
      <c r="L2" t="s">
        <v>14</v>
      </c>
      <c r="M2" t="s">
        <v>15</v>
      </c>
    </row>
    <row r="3" spans="1:13" x14ac:dyDescent="0.3">
      <c r="B3">
        <v>420</v>
      </c>
      <c r="C3">
        <v>372</v>
      </c>
      <c r="D3">
        <v>350</v>
      </c>
      <c r="E3">
        <v>360</v>
      </c>
      <c r="F3">
        <v>358</v>
      </c>
      <c r="I3" t="s">
        <v>21</v>
      </c>
      <c r="J3">
        <v>4</v>
      </c>
      <c r="K3" s="24">
        <f>G13</f>
        <v>516.46666666585952</v>
      </c>
      <c r="L3">
        <f>K3/J3</f>
        <v>129.11666666646488</v>
      </c>
      <c r="M3">
        <f>L3/L4</f>
        <v>7.173095014099698E-2</v>
      </c>
    </row>
    <row r="4" spans="1:13" x14ac:dyDescent="0.3">
      <c r="B4">
        <v>353</v>
      </c>
      <c r="C4">
        <v>455</v>
      </c>
      <c r="D4">
        <v>417</v>
      </c>
      <c r="E4">
        <v>358</v>
      </c>
      <c r="F4">
        <v>334</v>
      </c>
      <c r="I4" t="s">
        <v>22</v>
      </c>
      <c r="J4">
        <f>J5-J3</f>
        <v>25</v>
      </c>
      <c r="K4" s="24">
        <f>G14</f>
        <v>45000.333333333954</v>
      </c>
      <c r="L4" s="24">
        <f>K4/J4</f>
        <v>1800.0133333333581</v>
      </c>
    </row>
    <row r="5" spans="1:13" x14ac:dyDescent="0.3">
      <c r="B5">
        <v>331</v>
      </c>
      <c r="C5">
        <v>375</v>
      </c>
      <c r="D5">
        <v>325</v>
      </c>
      <c r="E5">
        <v>370</v>
      </c>
      <c r="F5">
        <v>340</v>
      </c>
      <c r="I5" t="s">
        <v>0</v>
      </c>
      <c r="J5">
        <f>COUNT(B2:F7)-1</f>
        <v>29</v>
      </c>
      <c r="K5" s="24">
        <f>G12</f>
        <v>45516.799999999814</v>
      </c>
    </row>
    <row r="6" spans="1:13" x14ac:dyDescent="0.3">
      <c r="B6">
        <v>358</v>
      </c>
      <c r="C6">
        <v>383</v>
      </c>
      <c r="D6">
        <v>378</v>
      </c>
      <c r="E6">
        <v>395</v>
      </c>
      <c r="F6">
        <v>320</v>
      </c>
    </row>
    <row r="7" spans="1:13" x14ac:dyDescent="0.3">
      <c r="B7">
        <v>400</v>
      </c>
      <c r="C7">
        <v>308</v>
      </c>
      <c r="D7">
        <v>275</v>
      </c>
      <c r="E7">
        <v>375</v>
      </c>
      <c r="F7">
        <v>430</v>
      </c>
    </row>
    <row r="8" spans="1:13" x14ac:dyDescent="0.3">
      <c r="A8" t="s">
        <v>74</v>
      </c>
      <c r="B8">
        <f>SUM(B2:B7)</f>
        <v>2182</v>
      </c>
      <c r="C8" s="24">
        <f t="shared" ref="C8:F8" si="0">SUM(C2:C7)</f>
        <v>2221</v>
      </c>
      <c r="D8" s="24">
        <f t="shared" si="0"/>
        <v>2145</v>
      </c>
      <c r="E8" s="24">
        <f t="shared" si="0"/>
        <v>2198</v>
      </c>
      <c r="F8" s="24">
        <f t="shared" si="0"/>
        <v>2180</v>
      </c>
    </row>
    <row r="9" spans="1:13" s="24" customFormat="1" x14ac:dyDescent="0.3">
      <c r="A9" s="24" t="s">
        <v>172</v>
      </c>
      <c r="B9" s="24">
        <f>B8^2/6</f>
        <v>793520.66666666663</v>
      </c>
      <c r="C9" s="24">
        <f>C8^2/6</f>
        <v>822140.16666666663</v>
      </c>
      <c r="D9" s="24">
        <f t="shared" ref="D9:F9" si="1">D8^2/6</f>
        <v>766837.5</v>
      </c>
      <c r="E9" s="24">
        <f t="shared" si="1"/>
        <v>805200.66666666663</v>
      </c>
      <c r="F9" s="24">
        <f t="shared" si="1"/>
        <v>792066.66666666663</v>
      </c>
    </row>
    <row r="11" spans="1:13" x14ac:dyDescent="0.3">
      <c r="C11" t="s">
        <v>5</v>
      </c>
      <c r="D11">
        <f>SUM(B8:F8)</f>
        <v>10926</v>
      </c>
      <c r="F11" t="s">
        <v>16</v>
      </c>
      <c r="G11">
        <f>SUMSQ(B2:F7)</f>
        <v>4024766</v>
      </c>
    </row>
    <row r="12" spans="1:13" x14ac:dyDescent="0.3">
      <c r="C12" t="s">
        <v>88</v>
      </c>
      <c r="D12">
        <f>COUNT(B2:F7)</f>
        <v>30</v>
      </c>
      <c r="F12" t="s">
        <v>17</v>
      </c>
      <c r="G12">
        <f>G11-D13</f>
        <v>45516.799999999814</v>
      </c>
    </row>
    <row r="13" spans="1:13" x14ac:dyDescent="0.3">
      <c r="C13" t="s">
        <v>9</v>
      </c>
      <c r="D13">
        <f>D11*D11/D12</f>
        <v>3979249.2</v>
      </c>
      <c r="F13" t="s">
        <v>19</v>
      </c>
      <c r="G13">
        <f>SUM(B9:F9)-D13</f>
        <v>516.46666666585952</v>
      </c>
    </row>
    <row r="14" spans="1:13" x14ac:dyDescent="0.3">
      <c r="F14" t="s">
        <v>20</v>
      </c>
      <c r="G14">
        <f>G12-G13</f>
        <v>45000.333333333954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619B-C3F9-4755-9AED-69A2D9DB28A0}">
  <dimension ref="A1:O17"/>
  <sheetViews>
    <sheetView workbookViewId="0">
      <selection activeCell="K19" sqref="K19"/>
    </sheetView>
  </sheetViews>
  <sheetFormatPr defaultRowHeight="14.4" x14ac:dyDescent="0.3"/>
  <cols>
    <col min="1" max="1" width="8.88671875" style="24"/>
  </cols>
  <sheetData>
    <row r="1" spans="1:15" s="24" customFormat="1" x14ac:dyDescent="0.3"/>
    <row r="2" spans="1:15" x14ac:dyDescent="0.3">
      <c r="B2">
        <v>55</v>
      </c>
      <c r="C2">
        <v>61</v>
      </c>
      <c r="D2">
        <v>42</v>
      </c>
      <c r="E2">
        <v>169</v>
      </c>
    </row>
    <row r="3" spans="1:15" x14ac:dyDescent="0.3">
      <c r="B3">
        <v>49</v>
      </c>
      <c r="C3">
        <v>112</v>
      </c>
      <c r="D3">
        <v>97</v>
      </c>
      <c r="E3">
        <v>137</v>
      </c>
      <c r="G3" t="s">
        <v>11</v>
      </c>
      <c r="H3" t="s">
        <v>92</v>
      </c>
      <c r="I3" t="s">
        <v>13</v>
      </c>
      <c r="J3" t="s">
        <v>83</v>
      </c>
      <c r="K3" t="s">
        <v>93</v>
      </c>
    </row>
    <row r="4" spans="1:15" x14ac:dyDescent="0.3">
      <c r="B4">
        <v>42</v>
      </c>
      <c r="C4">
        <v>30</v>
      </c>
      <c r="D4">
        <v>81</v>
      </c>
      <c r="E4">
        <v>169</v>
      </c>
      <c r="G4" t="s">
        <v>94</v>
      </c>
      <c r="H4">
        <v>3</v>
      </c>
      <c r="I4">
        <f>C16</f>
        <v>26234.950000000012</v>
      </c>
      <c r="J4">
        <f>I4/H4</f>
        <v>8744.9833333333372</v>
      </c>
      <c r="K4">
        <f>J4/J5</f>
        <v>12.105039738842573</v>
      </c>
    </row>
    <row r="5" spans="1:15" x14ac:dyDescent="0.3">
      <c r="B5">
        <v>21</v>
      </c>
      <c r="C5">
        <v>89</v>
      </c>
      <c r="D5">
        <v>95</v>
      </c>
      <c r="E5">
        <v>85</v>
      </c>
      <c r="G5" t="s">
        <v>95</v>
      </c>
      <c r="H5">
        <v>16</v>
      </c>
      <c r="I5">
        <f>C17</f>
        <v>11558.799999999988</v>
      </c>
      <c r="J5">
        <f>I5/H5</f>
        <v>722.42499999999927</v>
      </c>
    </row>
    <row r="6" spans="1:15" x14ac:dyDescent="0.3">
      <c r="B6">
        <v>52</v>
      </c>
      <c r="C6">
        <v>63</v>
      </c>
      <c r="D6">
        <v>92</v>
      </c>
      <c r="E6">
        <v>154</v>
      </c>
      <c r="G6" t="s">
        <v>96</v>
      </c>
      <c r="H6">
        <v>19</v>
      </c>
    </row>
    <row r="7" spans="1:15" x14ac:dyDescent="0.3">
      <c r="A7" s="24" t="s">
        <v>75</v>
      </c>
      <c r="B7">
        <f>SUM(B2:B6)</f>
        <v>219</v>
      </c>
      <c r="C7">
        <f t="shared" ref="C7:E7" si="0">SUM(C2:C6)</f>
        <v>355</v>
      </c>
      <c r="D7">
        <f t="shared" si="0"/>
        <v>407</v>
      </c>
      <c r="E7">
        <f t="shared" si="0"/>
        <v>714</v>
      </c>
    </row>
    <row r="8" spans="1:15" x14ac:dyDescent="0.3">
      <c r="B8">
        <f>AVERAGE(B2:B6)</f>
        <v>43.8</v>
      </c>
      <c r="C8">
        <f t="shared" ref="C8:E8" si="1">AVERAGE(C2:C6)</f>
        <v>71</v>
      </c>
      <c r="D8">
        <f t="shared" si="1"/>
        <v>81.400000000000006</v>
      </c>
      <c r="E8">
        <f t="shared" si="1"/>
        <v>142.80000000000001</v>
      </c>
      <c r="K8" t="s">
        <v>94</v>
      </c>
      <c r="L8" s="22" t="s">
        <v>97</v>
      </c>
      <c r="M8" s="22"/>
      <c r="N8" s="22" t="s">
        <v>98</v>
      </c>
      <c r="O8" s="22"/>
    </row>
    <row r="9" spans="1:15" x14ac:dyDescent="0.3">
      <c r="K9" t="s">
        <v>4</v>
      </c>
      <c r="L9" s="22">
        <f>E8</f>
        <v>142.80000000000001</v>
      </c>
      <c r="M9" s="22"/>
      <c r="N9">
        <f>L9-L10</f>
        <v>61.400000000000006</v>
      </c>
    </row>
    <row r="10" spans="1:15" x14ac:dyDescent="0.3">
      <c r="A10" s="24" t="s">
        <v>172</v>
      </c>
      <c r="B10">
        <f>B7*B7</f>
        <v>47961</v>
      </c>
      <c r="C10">
        <f t="shared" ref="C10:E10" si="2">C7*C7</f>
        <v>126025</v>
      </c>
      <c r="D10">
        <f t="shared" si="2"/>
        <v>165649</v>
      </c>
      <c r="E10">
        <f t="shared" si="2"/>
        <v>509796</v>
      </c>
      <c r="K10" t="s">
        <v>3</v>
      </c>
      <c r="L10" s="22">
        <f>D8</f>
        <v>81.400000000000006</v>
      </c>
      <c r="M10" s="22"/>
      <c r="N10">
        <f>L10-L11</f>
        <v>10.400000000000006</v>
      </c>
      <c r="O10">
        <f>N11+N10</f>
        <v>37.600000000000009</v>
      </c>
    </row>
    <row r="11" spans="1:15" x14ac:dyDescent="0.3">
      <c r="A11" s="24" t="s">
        <v>172</v>
      </c>
      <c r="B11">
        <f>B10/5</f>
        <v>9592.2000000000007</v>
      </c>
      <c r="C11">
        <f t="shared" ref="C11:E11" si="3">C10/5</f>
        <v>25205</v>
      </c>
      <c r="D11">
        <f t="shared" si="3"/>
        <v>33129.800000000003</v>
      </c>
      <c r="E11">
        <f t="shared" si="3"/>
        <v>101959.2</v>
      </c>
      <c r="G11" t="s">
        <v>99</v>
      </c>
      <c r="H11">
        <v>3.06</v>
      </c>
      <c r="I11" t="s">
        <v>100</v>
      </c>
      <c r="K11" t="s">
        <v>2</v>
      </c>
      <c r="L11" s="22">
        <f>C8</f>
        <v>71</v>
      </c>
      <c r="M11" s="22"/>
      <c r="N11">
        <f>L11-L12</f>
        <v>27.200000000000003</v>
      </c>
    </row>
    <row r="12" spans="1:15" x14ac:dyDescent="0.3">
      <c r="B12" t="s">
        <v>5</v>
      </c>
      <c r="C12">
        <v>1695</v>
      </c>
      <c r="K12" t="s">
        <v>1</v>
      </c>
      <c r="L12" s="22">
        <f>B8</f>
        <v>43.8</v>
      </c>
      <c r="M12" s="22"/>
    </row>
    <row r="13" spans="1:15" x14ac:dyDescent="0.3">
      <c r="B13" t="s">
        <v>9</v>
      </c>
      <c r="C13">
        <f>(C12)^2/20</f>
        <v>143651.25</v>
      </c>
      <c r="G13" t="s">
        <v>31</v>
      </c>
      <c r="H13">
        <f>SQRT((2*J5)/5)*2.12</f>
        <v>36.038129363217493</v>
      </c>
    </row>
    <row r="14" spans="1:15" x14ac:dyDescent="0.3">
      <c r="B14" t="s">
        <v>16</v>
      </c>
      <c r="C14">
        <f>SUMSQ(B2:E6)</f>
        <v>181445</v>
      </c>
    </row>
    <row r="15" spans="1:15" x14ac:dyDescent="0.3">
      <c r="B15" t="s">
        <v>17</v>
      </c>
      <c r="C15">
        <f>C14-C13</f>
        <v>37793.75</v>
      </c>
    </row>
    <row r="16" spans="1:15" x14ac:dyDescent="0.3">
      <c r="B16" t="s">
        <v>19</v>
      </c>
      <c r="C16">
        <f>SUM(B11:E11)-C13</f>
        <v>26234.950000000012</v>
      </c>
    </row>
    <row r="17" spans="2:3" x14ac:dyDescent="0.3">
      <c r="B17" t="s">
        <v>20</v>
      </c>
      <c r="C17">
        <f>C15-C16</f>
        <v>11558.799999999988</v>
      </c>
    </row>
  </sheetData>
  <mergeCells count="6">
    <mergeCell ref="L8:M8"/>
    <mergeCell ref="N8:O8"/>
    <mergeCell ref="L9:M9"/>
    <mergeCell ref="L10:M10"/>
    <mergeCell ref="L11:M11"/>
    <mergeCell ref="L12: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4" zoomScale="115" zoomScaleNormal="115" workbookViewId="0">
      <selection activeCell="F17" sqref="F17"/>
    </sheetView>
  </sheetViews>
  <sheetFormatPr defaultRowHeight="14.4" x14ac:dyDescent="0.3"/>
  <sheetData>
    <row r="1" spans="1:9" x14ac:dyDescent="0.3">
      <c r="A1" t="s">
        <v>23</v>
      </c>
      <c r="D1" t="s">
        <v>24</v>
      </c>
    </row>
    <row r="2" spans="1:9" x14ac:dyDescent="0.3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33</v>
      </c>
    </row>
    <row r="3" spans="1:9" x14ac:dyDescent="0.3">
      <c r="A3">
        <v>1</v>
      </c>
      <c r="B3">
        <v>30</v>
      </c>
      <c r="C3">
        <v>23</v>
      </c>
      <c r="D3">
        <v>34</v>
      </c>
      <c r="E3">
        <v>25</v>
      </c>
      <c r="F3">
        <v>20</v>
      </c>
      <c r="G3">
        <v>13</v>
      </c>
      <c r="H3">
        <f>SUM(B3:G3)</f>
        <v>145</v>
      </c>
      <c r="I3">
        <f>H3*H3</f>
        <v>21025</v>
      </c>
    </row>
    <row r="4" spans="1:9" x14ac:dyDescent="0.3">
      <c r="A4">
        <v>2</v>
      </c>
      <c r="B4">
        <v>39</v>
      </c>
      <c r="C4">
        <v>22</v>
      </c>
      <c r="D4">
        <v>28</v>
      </c>
      <c r="E4">
        <v>25</v>
      </c>
      <c r="F4">
        <v>28</v>
      </c>
      <c r="G4">
        <v>32</v>
      </c>
      <c r="H4">
        <f t="shared" ref="H4:H7" si="0">SUM(B4:G4)</f>
        <v>174</v>
      </c>
      <c r="I4">
        <f t="shared" ref="I4:I7" si="1">H4*H4</f>
        <v>30276</v>
      </c>
    </row>
    <row r="5" spans="1:9" x14ac:dyDescent="0.3">
      <c r="A5">
        <v>3</v>
      </c>
      <c r="B5">
        <v>56</v>
      </c>
      <c r="C5">
        <v>43</v>
      </c>
      <c r="D5">
        <v>43</v>
      </c>
      <c r="E5">
        <v>31</v>
      </c>
      <c r="F5">
        <v>49</v>
      </c>
      <c r="G5">
        <v>17</v>
      </c>
      <c r="H5">
        <f t="shared" si="0"/>
        <v>239</v>
      </c>
      <c r="I5">
        <f t="shared" si="1"/>
        <v>57121</v>
      </c>
    </row>
    <row r="6" spans="1:9" x14ac:dyDescent="0.3">
      <c r="A6">
        <v>4</v>
      </c>
      <c r="B6">
        <v>38</v>
      </c>
      <c r="C6">
        <v>45</v>
      </c>
      <c r="D6">
        <v>36</v>
      </c>
      <c r="E6">
        <v>35</v>
      </c>
      <c r="F6">
        <v>32</v>
      </c>
      <c r="G6">
        <v>20</v>
      </c>
      <c r="H6">
        <f t="shared" si="0"/>
        <v>206</v>
      </c>
      <c r="I6">
        <f t="shared" si="1"/>
        <v>42436</v>
      </c>
    </row>
    <row r="7" spans="1:9" x14ac:dyDescent="0.3">
      <c r="A7">
        <v>5</v>
      </c>
      <c r="B7">
        <v>44</v>
      </c>
      <c r="C7">
        <v>51</v>
      </c>
      <c r="D7">
        <v>23</v>
      </c>
      <c r="E7">
        <v>58</v>
      </c>
      <c r="F7">
        <v>40</v>
      </c>
      <c r="G7">
        <v>30</v>
      </c>
      <c r="H7">
        <f t="shared" si="0"/>
        <v>246</v>
      </c>
      <c r="I7">
        <f t="shared" si="1"/>
        <v>60516</v>
      </c>
    </row>
    <row r="8" spans="1:9" x14ac:dyDescent="0.3">
      <c r="A8" t="s">
        <v>34</v>
      </c>
      <c r="B8">
        <f>SUM(B3:B7)</f>
        <v>207</v>
      </c>
      <c r="C8">
        <f t="shared" ref="C8:G8" si="2">SUM(C3:C7)</f>
        <v>184</v>
      </c>
      <c r="D8">
        <f t="shared" si="2"/>
        <v>164</v>
      </c>
      <c r="E8">
        <f t="shared" si="2"/>
        <v>174</v>
      </c>
      <c r="F8">
        <f t="shared" si="2"/>
        <v>169</v>
      </c>
      <c r="G8">
        <f t="shared" si="2"/>
        <v>112</v>
      </c>
      <c r="H8">
        <f>SUM(H3:H7)</f>
        <v>1010</v>
      </c>
      <c r="I8">
        <f>SUM(I3:I7)</f>
        <v>211374</v>
      </c>
    </row>
    <row r="9" spans="1:9" x14ac:dyDescent="0.3">
      <c r="A9" t="s">
        <v>18</v>
      </c>
      <c r="B9">
        <f>B8*B8</f>
        <v>42849</v>
      </c>
      <c r="C9">
        <f t="shared" ref="C9:G9" si="3">C8*C8</f>
        <v>33856</v>
      </c>
      <c r="D9">
        <f t="shared" si="3"/>
        <v>26896</v>
      </c>
      <c r="E9">
        <f t="shared" si="3"/>
        <v>30276</v>
      </c>
      <c r="F9">
        <f t="shared" si="3"/>
        <v>28561</v>
      </c>
      <c r="G9">
        <f t="shared" si="3"/>
        <v>12544</v>
      </c>
      <c r="H9">
        <f>SUM(B9:G9)</f>
        <v>174982</v>
      </c>
    </row>
    <row r="16" spans="1:9" x14ac:dyDescent="0.3">
      <c r="A16" t="s">
        <v>5</v>
      </c>
      <c r="B16">
        <f>H8</f>
        <v>1010</v>
      </c>
    </row>
    <row r="17" spans="1:5" x14ac:dyDescent="0.3">
      <c r="A17" t="s">
        <v>6</v>
      </c>
      <c r="B17">
        <v>5</v>
      </c>
    </row>
    <row r="18" spans="1:5" x14ac:dyDescent="0.3">
      <c r="A18" t="s">
        <v>7</v>
      </c>
      <c r="B18">
        <v>6</v>
      </c>
    </row>
    <row r="19" spans="1:5" x14ac:dyDescent="0.3">
      <c r="A19" t="s">
        <v>9</v>
      </c>
      <c r="B19">
        <f>(B16*B16)/(B18*B17)</f>
        <v>34003.333333333336</v>
      </c>
    </row>
    <row r="20" spans="1:5" x14ac:dyDescent="0.3">
      <c r="A20" t="s">
        <v>16</v>
      </c>
      <c r="B20">
        <f>SUMSQ(B3:G7)</f>
        <v>37830</v>
      </c>
    </row>
    <row r="21" spans="1:5" x14ac:dyDescent="0.3">
      <c r="A21" t="s">
        <v>17</v>
      </c>
      <c r="B21">
        <f>B20-B19</f>
        <v>3826.6666666666642</v>
      </c>
    </row>
    <row r="22" spans="1:5" x14ac:dyDescent="0.3">
      <c r="A22" t="s">
        <v>19</v>
      </c>
      <c r="B22">
        <f>(H9/B17)-B19</f>
        <v>993.0666666666657</v>
      </c>
    </row>
    <row r="23" spans="1:5" x14ac:dyDescent="0.3">
      <c r="A23" t="s">
        <v>35</v>
      </c>
      <c r="B23">
        <f>(I8/B18)-B19</f>
        <v>1225.6666666666642</v>
      </c>
    </row>
    <row r="24" spans="1:5" x14ac:dyDescent="0.3">
      <c r="A24" t="s">
        <v>20</v>
      </c>
      <c r="B24">
        <f>B21-B22-B23</f>
        <v>1607.9333333333343</v>
      </c>
    </row>
    <row r="27" spans="1:5" x14ac:dyDescent="0.3">
      <c r="C27" t="s">
        <v>10</v>
      </c>
    </row>
    <row r="28" spans="1:5" x14ac:dyDescent="0.3">
      <c r="A28" t="s">
        <v>11</v>
      </c>
      <c r="B28" t="s">
        <v>12</v>
      </c>
      <c r="C28" t="s">
        <v>13</v>
      </c>
      <c r="D28" t="s">
        <v>14</v>
      </c>
      <c r="E28" t="s">
        <v>15</v>
      </c>
    </row>
    <row r="29" spans="1:5" x14ac:dyDescent="0.3">
      <c r="A29" t="s">
        <v>21</v>
      </c>
      <c r="B29">
        <v>5</v>
      </c>
      <c r="C29">
        <f>B22</f>
        <v>993.0666666666657</v>
      </c>
      <c r="D29">
        <f>C29/B29</f>
        <v>198.61333333333314</v>
      </c>
    </row>
    <row r="30" spans="1:5" x14ac:dyDescent="0.3">
      <c r="E30">
        <f>D29/D33</f>
        <v>2.4704175131638917</v>
      </c>
    </row>
    <row r="31" spans="1:5" x14ac:dyDescent="0.3">
      <c r="A31" t="s">
        <v>23</v>
      </c>
      <c r="B31">
        <v>4</v>
      </c>
      <c r="C31">
        <f>B23</f>
        <v>1225.6666666666642</v>
      </c>
      <c r="D31">
        <f>C31/B31</f>
        <v>306.41666666666606</v>
      </c>
    </row>
    <row r="32" spans="1:5" x14ac:dyDescent="0.3">
      <c r="E32">
        <f>D31/D33</f>
        <v>3.8113105850159523</v>
      </c>
    </row>
    <row r="33" spans="1:4" x14ac:dyDescent="0.3">
      <c r="A33" t="s">
        <v>22</v>
      </c>
      <c r="B33">
        <f>(B29*B31)</f>
        <v>20</v>
      </c>
      <c r="C33">
        <f>B24</f>
        <v>1607.9333333333343</v>
      </c>
      <c r="D33">
        <f>C33/B33</f>
        <v>80.396666666666718</v>
      </c>
    </row>
    <row r="35" spans="1:4" x14ac:dyDescent="0.3">
      <c r="A35" t="s">
        <v>0</v>
      </c>
      <c r="B35">
        <f>29</f>
        <v>29</v>
      </c>
      <c r="C35">
        <f>B21</f>
        <v>3826.6666666666642</v>
      </c>
    </row>
    <row r="38" spans="1:4" x14ac:dyDescent="0.3">
      <c r="B38" t="s">
        <v>36</v>
      </c>
      <c r="C38">
        <f>_xlfn.F.INV.RT(0.05,5,20)</f>
        <v>2.7108898372096917</v>
      </c>
      <c r="D38" t="s">
        <v>38</v>
      </c>
    </row>
    <row r="39" spans="1:4" x14ac:dyDescent="0.3">
      <c r="B39" t="s">
        <v>37</v>
      </c>
      <c r="C39">
        <f>_xlfn.F.INV.RT(0.05,4,20)</f>
        <v>2.8660814020156589</v>
      </c>
      <c r="D3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AB4-22EC-4C43-ABD1-716B555D42BC}">
  <dimension ref="A1:I27"/>
  <sheetViews>
    <sheetView workbookViewId="0">
      <selection activeCell="H23" sqref="H23"/>
    </sheetView>
  </sheetViews>
  <sheetFormatPr defaultRowHeight="14.4" x14ac:dyDescent="0.3"/>
  <sheetData>
    <row r="1" spans="1:9" x14ac:dyDescent="0.3">
      <c r="A1" s="24"/>
      <c r="B1" s="1" t="s">
        <v>111</v>
      </c>
      <c r="C1" s="1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3">
      <c r="A3" s="24"/>
      <c r="B3" s="26" t="s">
        <v>21</v>
      </c>
      <c r="C3" s="1" t="s">
        <v>23</v>
      </c>
      <c r="D3" s="1"/>
      <c r="E3" s="1"/>
      <c r="F3" s="1"/>
      <c r="G3" s="24"/>
      <c r="H3" s="24"/>
      <c r="I3" s="24"/>
    </row>
    <row r="4" spans="1:9" x14ac:dyDescent="0.3">
      <c r="A4" s="24"/>
      <c r="B4" s="24"/>
      <c r="C4" s="26">
        <v>1</v>
      </c>
      <c r="D4" s="26">
        <v>2</v>
      </c>
      <c r="E4" s="26">
        <v>3</v>
      </c>
      <c r="F4" s="26">
        <v>4</v>
      </c>
      <c r="G4" s="25"/>
      <c r="H4" s="24"/>
      <c r="I4" s="24"/>
    </row>
    <row r="5" spans="1:9" x14ac:dyDescent="0.3">
      <c r="A5" s="24"/>
      <c r="B5" s="26">
        <v>1</v>
      </c>
      <c r="C5" s="25">
        <v>9.3000000000000007</v>
      </c>
      <c r="D5" s="25">
        <v>9.4</v>
      </c>
      <c r="E5" s="25">
        <v>9.6</v>
      </c>
      <c r="F5" s="25">
        <v>10</v>
      </c>
      <c r="G5" s="25">
        <f>SUM(C5:F5)</f>
        <v>38.300000000000004</v>
      </c>
      <c r="H5" s="24"/>
      <c r="I5" s="24"/>
    </row>
    <row r="6" spans="1:9" x14ac:dyDescent="0.3">
      <c r="A6" s="24"/>
      <c r="B6" s="26">
        <v>2</v>
      </c>
      <c r="C6" s="25">
        <v>9.4</v>
      </c>
      <c r="D6" s="25">
        <v>9.3000000000000007</v>
      </c>
      <c r="E6" s="25">
        <v>9.8000000000000007</v>
      </c>
      <c r="F6" s="25">
        <v>9.9</v>
      </c>
      <c r="G6" s="25">
        <f t="shared" ref="G6:G8" si="0">SUM(C6:F6)</f>
        <v>38.400000000000006</v>
      </c>
      <c r="H6" s="24"/>
      <c r="I6" s="24"/>
    </row>
    <row r="7" spans="1:9" x14ac:dyDescent="0.3">
      <c r="A7" s="24"/>
      <c r="B7" s="26">
        <v>3</v>
      </c>
      <c r="C7" s="25">
        <v>9.1999999999999993</v>
      </c>
      <c r="D7" s="25">
        <v>9.4</v>
      </c>
      <c r="E7" s="25">
        <v>9.5</v>
      </c>
      <c r="F7" s="25">
        <v>9.6999999999999993</v>
      </c>
      <c r="G7" s="25">
        <f t="shared" si="0"/>
        <v>37.799999999999997</v>
      </c>
      <c r="H7" s="24"/>
      <c r="I7" s="24"/>
    </row>
    <row r="8" spans="1:9" x14ac:dyDescent="0.3">
      <c r="A8" s="24"/>
      <c r="B8" s="26">
        <v>4</v>
      </c>
      <c r="C8" s="25">
        <v>9.6999999999999993</v>
      </c>
      <c r="D8" s="25">
        <v>9.6</v>
      </c>
      <c r="E8" s="25">
        <v>10</v>
      </c>
      <c r="F8" s="25">
        <v>10.199999999999999</v>
      </c>
      <c r="G8" s="25">
        <f t="shared" si="0"/>
        <v>39.5</v>
      </c>
      <c r="H8" s="24"/>
      <c r="I8" s="24"/>
    </row>
    <row r="9" spans="1:9" x14ac:dyDescent="0.3">
      <c r="A9" s="24"/>
      <c r="B9" s="24"/>
      <c r="C9" s="25">
        <f>SUM(C5:C8)</f>
        <v>37.6</v>
      </c>
      <c r="D9" s="25">
        <f t="shared" ref="D9:F9" si="1">SUM(D5:D8)</f>
        <v>37.700000000000003</v>
      </c>
      <c r="E9" s="25">
        <f t="shared" si="1"/>
        <v>38.9</v>
      </c>
      <c r="F9" s="25">
        <f t="shared" si="1"/>
        <v>39.799999999999997</v>
      </c>
      <c r="G9" s="25"/>
      <c r="H9" s="24"/>
      <c r="I9" s="24"/>
    </row>
    <row r="10" spans="1:9" x14ac:dyDescent="0.3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3">
      <c r="A11" s="24"/>
      <c r="B11" s="24"/>
      <c r="C11" s="24"/>
      <c r="D11" s="26" t="s">
        <v>5</v>
      </c>
      <c r="E11" s="25">
        <f>SUM(C5:F8)</f>
        <v>154</v>
      </c>
      <c r="F11" s="24"/>
      <c r="G11" s="24"/>
      <c r="H11" s="24"/>
      <c r="I11" s="24"/>
    </row>
    <row r="12" spans="1:9" x14ac:dyDescent="0.3">
      <c r="A12" s="24"/>
      <c r="B12" s="24"/>
      <c r="C12" s="24"/>
      <c r="D12" s="26" t="s">
        <v>8</v>
      </c>
      <c r="E12" s="25">
        <f>COUNT(C5:F8)</f>
        <v>16</v>
      </c>
      <c r="F12" s="24"/>
      <c r="G12" s="24"/>
      <c r="H12" s="24"/>
      <c r="I12" s="24"/>
    </row>
    <row r="13" spans="1:9" x14ac:dyDescent="0.3">
      <c r="A13" s="24"/>
      <c r="B13" s="24"/>
      <c r="C13" s="24"/>
      <c r="D13" s="26" t="s">
        <v>9</v>
      </c>
      <c r="E13" s="25">
        <f>E11^2/E12</f>
        <v>1482.25</v>
      </c>
      <c r="F13" s="24"/>
      <c r="G13" s="24"/>
      <c r="H13" s="24"/>
      <c r="I13" s="24"/>
    </row>
    <row r="14" spans="1:9" x14ac:dyDescent="0.3">
      <c r="A14" s="24"/>
      <c r="B14" s="24"/>
      <c r="C14" s="24"/>
      <c r="D14" s="26" t="s">
        <v>16</v>
      </c>
      <c r="E14" s="25">
        <f>SUMSQ(C5:F8)</f>
        <v>1483.54</v>
      </c>
      <c r="F14" s="24"/>
      <c r="G14" s="24"/>
      <c r="H14" s="24"/>
      <c r="I14" s="24"/>
    </row>
    <row r="15" spans="1:9" x14ac:dyDescent="0.3">
      <c r="A15" s="24"/>
      <c r="B15" s="24"/>
      <c r="C15" s="24"/>
      <c r="D15" s="26" t="s">
        <v>17</v>
      </c>
      <c r="E15" s="25">
        <f>E14-E13</f>
        <v>1.2899999999999636</v>
      </c>
      <c r="F15" s="24"/>
      <c r="G15" s="24"/>
      <c r="H15" s="24"/>
      <c r="I15" s="24"/>
    </row>
    <row r="16" spans="1:9" x14ac:dyDescent="0.3">
      <c r="A16" s="24"/>
      <c r="B16" s="24"/>
      <c r="C16" s="24"/>
      <c r="D16" s="26" t="s">
        <v>19</v>
      </c>
      <c r="E16" s="25">
        <f>SUMSQ(G5:G8)/4-E13</f>
        <v>0.38500000000021828</v>
      </c>
      <c r="F16" s="24"/>
      <c r="G16" s="24"/>
      <c r="H16" s="24"/>
      <c r="I16" s="24"/>
    </row>
    <row r="17" spans="1:9" x14ac:dyDescent="0.3">
      <c r="A17" s="24"/>
      <c r="B17" s="24"/>
      <c r="C17" s="24"/>
      <c r="D17" s="26" t="s">
        <v>35</v>
      </c>
      <c r="E17" s="25">
        <f>SUMSQ(C9:F9)/4-E13</f>
        <v>0.82500000000004547</v>
      </c>
      <c r="F17" s="24"/>
      <c r="G17" s="24"/>
      <c r="H17" s="24"/>
      <c r="I17" s="24"/>
    </row>
    <row r="18" spans="1:9" x14ac:dyDescent="0.3">
      <c r="A18" s="24"/>
      <c r="B18" s="24"/>
      <c r="C18" s="24"/>
      <c r="D18" s="26" t="s">
        <v>20</v>
      </c>
      <c r="E18" s="25">
        <f>E15-(E16+E17)</f>
        <v>7.9999999999699867E-2</v>
      </c>
      <c r="F18" s="24"/>
      <c r="G18" s="24"/>
      <c r="H18" s="24"/>
      <c r="I18" s="24"/>
    </row>
    <row r="19" spans="1:9" x14ac:dyDescent="0.3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3">
      <c r="A20" s="24"/>
      <c r="B20" s="24"/>
      <c r="C20" s="24"/>
      <c r="D20" s="24"/>
      <c r="E20" s="24"/>
      <c r="F20" s="24"/>
      <c r="G20" s="24"/>
      <c r="H20" s="24"/>
      <c r="I20" s="24"/>
    </row>
    <row r="21" spans="1:9" x14ac:dyDescent="0.3">
      <c r="A21" s="24"/>
      <c r="B21" s="24"/>
      <c r="C21" s="23"/>
      <c r="D21" s="1" t="s">
        <v>10</v>
      </c>
      <c r="E21" s="1"/>
      <c r="F21" s="23"/>
      <c r="G21" s="23"/>
      <c r="H21" s="24"/>
      <c r="I21" s="24"/>
    </row>
    <row r="22" spans="1:9" x14ac:dyDescent="0.3">
      <c r="A22" s="24"/>
      <c r="B22" s="24"/>
      <c r="C22" s="26" t="s">
        <v>11</v>
      </c>
      <c r="D22" s="26" t="s">
        <v>12</v>
      </c>
      <c r="E22" s="26" t="s">
        <v>13</v>
      </c>
      <c r="F22" s="26" t="s">
        <v>83</v>
      </c>
      <c r="G22" s="26" t="s">
        <v>15</v>
      </c>
      <c r="H22" s="24"/>
      <c r="I22" s="24"/>
    </row>
    <row r="23" spans="1:9" x14ac:dyDescent="0.3">
      <c r="A23" s="24"/>
      <c r="B23" s="24"/>
      <c r="C23" s="26" t="s">
        <v>48</v>
      </c>
      <c r="D23" s="25">
        <v>3</v>
      </c>
      <c r="E23" s="25">
        <f>E16</f>
        <v>0.38500000000021828</v>
      </c>
      <c r="F23" s="25">
        <f>E23/D23</f>
        <v>0.1283333333334061</v>
      </c>
      <c r="G23" s="25">
        <f>F23/F25</f>
        <v>14.437500000062352</v>
      </c>
      <c r="H23" s="24"/>
      <c r="I23" s="24"/>
    </row>
    <row r="24" spans="1:9" x14ac:dyDescent="0.3">
      <c r="A24" s="24"/>
      <c r="B24" s="24"/>
      <c r="C24" s="26" t="s">
        <v>23</v>
      </c>
      <c r="D24" s="25">
        <v>3</v>
      </c>
      <c r="E24" s="25">
        <f>E17</f>
        <v>0.82500000000004547</v>
      </c>
      <c r="F24" s="25">
        <f t="shared" ref="F24:F25" si="2">E24/D24</f>
        <v>0.27500000000001518</v>
      </c>
      <c r="G24" s="25">
        <f>F24/F25</f>
        <v>30.937500000117776</v>
      </c>
      <c r="H24" s="24"/>
      <c r="I24" s="24"/>
    </row>
    <row r="25" spans="1:9" x14ac:dyDescent="0.3">
      <c r="A25" s="24"/>
      <c r="B25" s="24"/>
      <c r="C25" s="26" t="s">
        <v>22</v>
      </c>
      <c r="D25" s="25">
        <f>15-6</f>
        <v>9</v>
      </c>
      <c r="E25" s="25">
        <f>E18</f>
        <v>7.9999999999699867E-2</v>
      </c>
      <c r="F25" s="25">
        <f t="shared" si="2"/>
        <v>8.8888888888555406E-3</v>
      </c>
      <c r="G25" s="25"/>
      <c r="H25" s="24"/>
      <c r="I25" s="24"/>
    </row>
    <row r="26" spans="1:9" x14ac:dyDescent="0.3">
      <c r="A26" s="24"/>
      <c r="B26" s="24"/>
      <c r="C26" s="26" t="s">
        <v>0</v>
      </c>
      <c r="D26" s="25">
        <v>15</v>
      </c>
      <c r="E26" s="25">
        <f>E15</f>
        <v>1.2899999999999636</v>
      </c>
      <c r="F26" s="25">
        <f>E26/D26</f>
        <v>8.5999999999997578E-2</v>
      </c>
      <c r="G26" s="25"/>
      <c r="H26" s="24"/>
      <c r="I26" s="24"/>
    </row>
    <row r="27" spans="1:9" x14ac:dyDescent="0.3">
      <c r="A27" s="24"/>
      <c r="B27" s="24"/>
      <c r="C27" s="24"/>
      <c r="D27" s="24"/>
      <c r="E27" s="24"/>
      <c r="F27" s="24"/>
      <c r="G27" s="24"/>
      <c r="H27" s="24"/>
      <c r="I27" s="24"/>
    </row>
  </sheetData>
  <mergeCells count="3">
    <mergeCell ref="B1:C1"/>
    <mergeCell ref="C3:F3"/>
    <mergeCell ref="D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657A-288E-43E7-8F7B-DA5E0077269F}">
  <dimension ref="A1:I43"/>
  <sheetViews>
    <sheetView workbookViewId="0">
      <selection activeCell="K15" sqref="K15"/>
    </sheetView>
  </sheetViews>
  <sheetFormatPr defaultRowHeight="14.4" x14ac:dyDescent="0.3"/>
  <sheetData>
    <row r="1" spans="1:9" x14ac:dyDescent="0.3">
      <c r="A1" s="24"/>
      <c r="B1" s="24"/>
      <c r="C1" s="27" t="s">
        <v>112</v>
      </c>
      <c r="D1" s="27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3">
      <c r="A3" s="24"/>
      <c r="B3" s="26" t="s">
        <v>21</v>
      </c>
      <c r="C3" s="1" t="s">
        <v>23</v>
      </c>
      <c r="D3" s="1"/>
      <c r="E3" s="1"/>
      <c r="F3" s="1"/>
      <c r="G3" s="24"/>
      <c r="H3" s="24"/>
      <c r="I3" s="24"/>
    </row>
    <row r="4" spans="1:9" x14ac:dyDescent="0.3">
      <c r="A4" s="24"/>
      <c r="B4" s="25"/>
      <c r="C4" s="26" t="s">
        <v>106</v>
      </c>
      <c r="D4" s="26" t="s">
        <v>107</v>
      </c>
      <c r="E4" s="26" t="s">
        <v>108</v>
      </c>
      <c r="F4" s="26" t="s">
        <v>109</v>
      </c>
      <c r="G4" s="24"/>
      <c r="H4" s="24"/>
      <c r="I4" s="24"/>
    </row>
    <row r="5" spans="1:9" x14ac:dyDescent="0.3">
      <c r="A5" s="24"/>
      <c r="B5" s="26" t="s">
        <v>106</v>
      </c>
      <c r="C5" s="25">
        <v>19.100000000000001</v>
      </c>
      <c r="D5" s="25"/>
      <c r="E5" s="25">
        <v>22.5</v>
      </c>
      <c r="F5" s="25">
        <v>25.5</v>
      </c>
      <c r="G5" s="24"/>
      <c r="H5" s="24"/>
      <c r="I5" s="24"/>
    </row>
    <row r="6" spans="1:9" x14ac:dyDescent="0.3">
      <c r="A6" s="24"/>
      <c r="B6" s="26" t="s">
        <v>107</v>
      </c>
      <c r="C6" s="25">
        <v>26</v>
      </c>
      <c r="D6" s="25">
        <v>28</v>
      </c>
      <c r="E6" s="25">
        <v>27</v>
      </c>
      <c r="F6" s="25">
        <v>33</v>
      </c>
      <c r="G6" s="24"/>
      <c r="H6" s="24"/>
      <c r="I6" s="24"/>
    </row>
    <row r="7" spans="1:9" x14ac:dyDescent="0.3">
      <c r="A7" s="24"/>
      <c r="B7" s="26" t="s">
        <v>107</v>
      </c>
      <c r="C7" s="25">
        <v>20.5</v>
      </c>
      <c r="D7" s="25">
        <v>28.5</v>
      </c>
      <c r="E7" s="25">
        <v>21.5</v>
      </c>
      <c r="F7" s="25">
        <v>25.5</v>
      </c>
      <c r="G7" s="24"/>
      <c r="H7" s="24"/>
      <c r="I7" s="24"/>
    </row>
    <row r="8" spans="1:9" x14ac:dyDescent="0.3">
      <c r="A8" s="24"/>
      <c r="B8" s="24"/>
      <c r="C8" s="24"/>
      <c r="D8" s="24"/>
      <c r="E8" s="24"/>
      <c r="F8" s="24"/>
      <c r="G8" s="24"/>
      <c r="H8" s="24"/>
      <c r="I8" s="24"/>
    </row>
    <row r="9" spans="1:9" x14ac:dyDescent="0.3">
      <c r="A9" s="24"/>
      <c r="B9" s="24"/>
      <c r="C9" s="24"/>
      <c r="D9" s="24"/>
      <c r="E9" s="24"/>
      <c r="F9" s="24"/>
      <c r="G9" s="24"/>
      <c r="H9" s="24"/>
      <c r="I9" s="24"/>
    </row>
    <row r="10" spans="1:9" x14ac:dyDescent="0.3">
      <c r="A10" s="24"/>
      <c r="B10" s="24"/>
      <c r="C10" s="26" t="s">
        <v>113</v>
      </c>
      <c r="D10" s="25">
        <f>SUM(C5:F5)</f>
        <v>67.099999999999994</v>
      </c>
      <c r="E10" s="24"/>
      <c r="F10" s="24"/>
      <c r="G10" s="24"/>
      <c r="H10" s="24"/>
      <c r="I10" s="24"/>
    </row>
    <row r="11" spans="1:9" x14ac:dyDescent="0.3">
      <c r="A11" s="24"/>
      <c r="B11" s="24"/>
      <c r="C11" s="26" t="s">
        <v>2</v>
      </c>
      <c r="D11" s="25">
        <f>SUM(D5:D7)</f>
        <v>56.5</v>
      </c>
      <c r="E11" s="24"/>
      <c r="F11" s="24"/>
      <c r="G11" s="24"/>
      <c r="H11" s="24"/>
      <c r="I11" s="24"/>
    </row>
    <row r="12" spans="1:9" x14ac:dyDescent="0.3">
      <c r="A12" s="24"/>
      <c r="B12" s="24"/>
      <c r="C12" s="26" t="s">
        <v>5</v>
      </c>
      <c r="D12" s="25">
        <f>SUM(C5:F7)</f>
        <v>277.10000000000002</v>
      </c>
      <c r="E12" s="24"/>
      <c r="F12" s="24"/>
      <c r="G12" s="24"/>
      <c r="H12" s="24"/>
      <c r="I12" s="24"/>
    </row>
    <row r="13" spans="1:9" x14ac:dyDescent="0.3">
      <c r="A13" s="24"/>
      <c r="B13" s="24"/>
      <c r="C13" s="26" t="s">
        <v>6</v>
      </c>
      <c r="D13" s="25">
        <v>4</v>
      </c>
      <c r="E13" s="24"/>
      <c r="F13" s="24"/>
      <c r="G13" s="24"/>
      <c r="H13" s="24"/>
      <c r="I13" s="24"/>
    </row>
    <row r="14" spans="1:9" x14ac:dyDescent="0.3">
      <c r="A14" s="24"/>
      <c r="B14" s="24"/>
      <c r="C14" s="26" t="s">
        <v>7</v>
      </c>
      <c r="D14" s="25">
        <v>3</v>
      </c>
      <c r="E14" s="24"/>
      <c r="F14" s="24"/>
      <c r="G14" s="24"/>
      <c r="H14" s="24"/>
      <c r="I14" s="24"/>
    </row>
    <row r="15" spans="1:9" x14ac:dyDescent="0.3">
      <c r="A15" s="24"/>
      <c r="B15" s="24"/>
      <c r="C15" s="26" t="s">
        <v>78</v>
      </c>
      <c r="D15" s="25">
        <f>(D13*D10+D11*D14-D12)/(6)</f>
        <v>26.799999999999994</v>
      </c>
      <c r="E15" s="24"/>
      <c r="F15" s="24"/>
      <c r="G15" s="24"/>
      <c r="H15" s="24"/>
      <c r="I15" s="24"/>
    </row>
    <row r="16" spans="1:9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pans="1:9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3">
      <c r="A18" s="24"/>
      <c r="B18" s="24"/>
      <c r="C18" s="24"/>
      <c r="D18" s="1" t="s">
        <v>114</v>
      </c>
      <c r="E18" s="1"/>
      <c r="F18" s="1"/>
      <c r="G18" s="24"/>
      <c r="H18" s="24"/>
      <c r="I18" s="24"/>
    </row>
    <row r="19" spans="1:9" x14ac:dyDescent="0.3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3">
      <c r="A20" s="24"/>
      <c r="B20" s="24"/>
      <c r="C20" s="26" t="s">
        <v>21</v>
      </c>
      <c r="D20" s="1" t="s">
        <v>23</v>
      </c>
      <c r="E20" s="1"/>
      <c r="F20" s="1"/>
      <c r="G20" s="1"/>
      <c r="H20" s="24"/>
      <c r="I20" s="24"/>
    </row>
    <row r="21" spans="1:9" x14ac:dyDescent="0.3">
      <c r="A21" s="24"/>
      <c r="B21" s="24"/>
      <c r="C21" s="25"/>
      <c r="D21" s="26" t="s">
        <v>106</v>
      </c>
      <c r="E21" s="26" t="s">
        <v>107</v>
      </c>
      <c r="F21" s="26" t="s">
        <v>108</v>
      </c>
      <c r="G21" s="26" t="s">
        <v>109</v>
      </c>
      <c r="H21" s="24"/>
      <c r="I21" s="24"/>
    </row>
    <row r="22" spans="1:9" x14ac:dyDescent="0.3">
      <c r="A22" s="24"/>
      <c r="B22" s="24"/>
      <c r="C22" s="26" t="s">
        <v>106</v>
      </c>
      <c r="D22" s="25">
        <v>19.100000000000001</v>
      </c>
      <c r="E22" s="25">
        <f>D15</f>
        <v>26.799999999999994</v>
      </c>
      <c r="F22" s="25">
        <v>22.5</v>
      </c>
      <c r="G22" s="25">
        <v>25.5</v>
      </c>
      <c r="H22" s="25">
        <f>SUM(D22:G22)</f>
        <v>93.899999999999991</v>
      </c>
      <c r="I22" s="24"/>
    </row>
    <row r="23" spans="1:9" x14ac:dyDescent="0.3">
      <c r="A23" s="24"/>
      <c r="B23" s="24"/>
      <c r="C23" s="26" t="s">
        <v>107</v>
      </c>
      <c r="D23" s="25">
        <v>26</v>
      </c>
      <c r="E23" s="25">
        <v>28</v>
      </c>
      <c r="F23" s="25">
        <v>27</v>
      </c>
      <c r="G23" s="25">
        <v>33</v>
      </c>
      <c r="H23" s="25">
        <f t="shared" ref="H23:H24" si="0">SUM(D23:G23)</f>
        <v>114</v>
      </c>
      <c r="I23" s="24"/>
    </row>
    <row r="24" spans="1:9" x14ac:dyDescent="0.3">
      <c r="A24" s="24"/>
      <c r="B24" s="24"/>
      <c r="C24" s="26" t="s">
        <v>107</v>
      </c>
      <c r="D24" s="25">
        <v>20.5</v>
      </c>
      <c r="E24" s="25">
        <v>28.5</v>
      </c>
      <c r="F24" s="25">
        <v>21.5</v>
      </c>
      <c r="G24" s="25">
        <v>25.5</v>
      </c>
      <c r="H24" s="25">
        <f t="shared" si="0"/>
        <v>96</v>
      </c>
      <c r="I24" s="24"/>
    </row>
    <row r="25" spans="1:9" x14ac:dyDescent="0.3">
      <c r="A25" s="24"/>
      <c r="B25" s="24"/>
      <c r="C25" s="24"/>
      <c r="D25" s="25">
        <f>SUM(D22:D24)</f>
        <v>65.599999999999994</v>
      </c>
      <c r="E25" s="25">
        <f t="shared" ref="E25:G25" si="1">SUM(E22:E24)</f>
        <v>83.3</v>
      </c>
      <c r="F25" s="25">
        <f t="shared" si="1"/>
        <v>71</v>
      </c>
      <c r="G25" s="25">
        <f t="shared" si="1"/>
        <v>84</v>
      </c>
      <c r="H25" s="24"/>
      <c r="I25" s="24"/>
    </row>
    <row r="26" spans="1:9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9" x14ac:dyDescent="0.3">
      <c r="A27" s="24"/>
      <c r="B27" s="24"/>
      <c r="C27" s="24"/>
      <c r="D27" s="24"/>
      <c r="E27" s="26" t="s">
        <v>5</v>
      </c>
      <c r="F27" s="25">
        <f>SUM(D22:G24)</f>
        <v>303.89999999999998</v>
      </c>
      <c r="G27" s="24"/>
      <c r="H27" s="24"/>
      <c r="I27" s="24"/>
    </row>
    <row r="28" spans="1:9" x14ac:dyDescent="0.3">
      <c r="A28" s="24"/>
      <c r="B28" s="24"/>
      <c r="C28" s="24"/>
      <c r="D28" s="24"/>
      <c r="E28" s="26" t="s">
        <v>8</v>
      </c>
      <c r="F28" s="25">
        <f>COUNT(D22:G24)</f>
        <v>12</v>
      </c>
      <c r="G28" s="24"/>
      <c r="H28" s="24"/>
      <c r="I28" s="24"/>
    </row>
    <row r="29" spans="1:9" x14ac:dyDescent="0.3">
      <c r="A29" s="24"/>
      <c r="B29" s="24"/>
      <c r="C29" s="24"/>
      <c r="D29" s="24"/>
      <c r="E29" s="26" t="s">
        <v>9</v>
      </c>
      <c r="F29" s="25">
        <f>F27*F27/F28</f>
        <v>7696.267499999999</v>
      </c>
      <c r="G29" s="24"/>
      <c r="H29" s="24"/>
      <c r="I29" s="24"/>
    </row>
    <row r="30" spans="1:9" x14ac:dyDescent="0.3">
      <c r="A30" s="24"/>
      <c r="B30" s="24"/>
      <c r="C30" s="24"/>
      <c r="D30" s="24"/>
      <c r="E30" s="26" t="s">
        <v>16</v>
      </c>
      <c r="F30" s="25">
        <f>SUMSQ(D22:G24)</f>
        <v>7862.5499999999993</v>
      </c>
      <c r="G30" s="24"/>
      <c r="H30" s="24"/>
      <c r="I30" s="24"/>
    </row>
    <row r="31" spans="1:9" x14ac:dyDescent="0.3">
      <c r="A31" s="24"/>
      <c r="B31" s="24"/>
      <c r="C31" s="24"/>
      <c r="D31" s="24"/>
      <c r="E31" s="26" t="s">
        <v>17</v>
      </c>
      <c r="F31" s="25">
        <f>F30-F29</f>
        <v>166.28250000000025</v>
      </c>
      <c r="G31" s="24"/>
      <c r="H31" s="24"/>
      <c r="I31" s="24"/>
    </row>
    <row r="32" spans="1:9" x14ac:dyDescent="0.3">
      <c r="A32" s="24"/>
      <c r="B32" s="24"/>
      <c r="C32" s="24"/>
      <c r="D32" s="24"/>
      <c r="E32" s="26" t="s">
        <v>19</v>
      </c>
      <c r="F32" s="25">
        <f>SUMSQ(H22:H24)/4-F29</f>
        <v>61.035000000000764</v>
      </c>
      <c r="G32" s="24"/>
      <c r="H32" s="24"/>
      <c r="I32" s="24"/>
    </row>
    <row r="33" spans="1:9" x14ac:dyDescent="0.3">
      <c r="A33" s="24"/>
      <c r="B33" s="24"/>
      <c r="C33" s="24"/>
      <c r="D33" s="24"/>
      <c r="E33" s="26" t="s">
        <v>35</v>
      </c>
      <c r="F33" s="25">
        <f>SUMSQ(D25:G25)/3-F29</f>
        <v>83.482500000000982</v>
      </c>
      <c r="G33" s="24"/>
      <c r="H33" s="24"/>
      <c r="I33" s="24"/>
    </row>
    <row r="34" spans="1:9" x14ac:dyDescent="0.3">
      <c r="A34" s="24"/>
      <c r="B34" s="24"/>
      <c r="C34" s="24"/>
      <c r="D34" s="24"/>
      <c r="E34" s="26" t="s">
        <v>20</v>
      </c>
      <c r="F34" s="25">
        <f>F31-(F32+F33)</f>
        <v>21.764999999998508</v>
      </c>
      <c r="G34" s="24"/>
      <c r="H34" s="24"/>
      <c r="I34" s="24"/>
    </row>
    <row r="35" spans="1:9" x14ac:dyDescent="0.3">
      <c r="A35" s="24"/>
      <c r="B35" s="24"/>
      <c r="C35" s="24"/>
      <c r="D35" s="24"/>
      <c r="E35" s="24"/>
      <c r="F35" s="24"/>
      <c r="G35" s="24"/>
      <c r="H35" s="24"/>
      <c r="I35" s="24"/>
    </row>
    <row r="36" spans="1:9" x14ac:dyDescent="0.3">
      <c r="A36" s="24"/>
      <c r="B36" s="24"/>
      <c r="C36" s="24"/>
      <c r="D36" s="24"/>
      <c r="E36" s="1" t="s">
        <v>10</v>
      </c>
      <c r="F36" s="1"/>
      <c r="G36" s="24"/>
      <c r="H36" s="24"/>
      <c r="I36" s="24"/>
    </row>
    <row r="37" spans="1:9" x14ac:dyDescent="0.3">
      <c r="A37" s="24"/>
      <c r="B37" s="24"/>
      <c r="C37" s="24"/>
      <c r="D37" s="24"/>
      <c r="E37" s="24"/>
      <c r="F37" s="24"/>
      <c r="G37" s="24"/>
      <c r="H37" s="24"/>
      <c r="I37" s="24"/>
    </row>
    <row r="38" spans="1:9" x14ac:dyDescent="0.3">
      <c r="A38" s="24"/>
      <c r="B38" s="24"/>
      <c r="C38" s="24"/>
      <c r="D38" s="25" t="s">
        <v>11</v>
      </c>
      <c r="E38" s="25" t="s">
        <v>12</v>
      </c>
      <c r="F38" s="25" t="s">
        <v>13</v>
      </c>
      <c r="G38" s="25" t="s">
        <v>83</v>
      </c>
      <c r="H38" s="25" t="s">
        <v>15</v>
      </c>
      <c r="I38" s="24"/>
    </row>
    <row r="39" spans="1:9" x14ac:dyDescent="0.3">
      <c r="A39" s="24"/>
      <c r="B39" s="24"/>
      <c r="C39" s="24"/>
      <c r="D39" s="26" t="s">
        <v>21</v>
      </c>
      <c r="E39" s="25">
        <v>2</v>
      </c>
      <c r="F39" s="25">
        <f>F32</f>
        <v>61.035000000000764</v>
      </c>
      <c r="G39" s="25">
        <f>F39/E39</f>
        <v>30.517500000000382</v>
      </c>
      <c r="H39" s="25">
        <f>G39/G41</f>
        <v>8.4128187456933077</v>
      </c>
      <c r="I39" s="24"/>
    </row>
    <row r="40" spans="1:9" x14ac:dyDescent="0.3">
      <c r="A40" s="24"/>
      <c r="B40" s="24"/>
      <c r="C40" s="24"/>
      <c r="D40" s="26" t="s">
        <v>115</v>
      </c>
      <c r="E40" s="25">
        <v>3</v>
      </c>
      <c r="F40" s="25">
        <f>F33</f>
        <v>83.482500000000982</v>
      </c>
      <c r="G40" s="25">
        <f t="shared" ref="G40:G42" si="2">F40/E40</f>
        <v>27.827500000000327</v>
      </c>
      <c r="H40" s="25">
        <f>G40/G41</f>
        <v>7.6712611991736006</v>
      </c>
      <c r="I40" s="24"/>
    </row>
    <row r="41" spans="1:9" x14ac:dyDescent="0.3">
      <c r="A41" s="24"/>
      <c r="B41" s="24"/>
      <c r="C41" s="24"/>
      <c r="D41" s="26" t="s">
        <v>22</v>
      </c>
      <c r="E41" s="25">
        <f>11-5</f>
        <v>6</v>
      </c>
      <c r="F41" s="25">
        <f>F34</f>
        <v>21.764999999998508</v>
      </c>
      <c r="G41" s="25">
        <f t="shared" si="2"/>
        <v>3.6274999999997513</v>
      </c>
      <c r="H41" s="25"/>
      <c r="I41" s="24"/>
    </row>
    <row r="42" spans="1:9" x14ac:dyDescent="0.3">
      <c r="A42" s="24"/>
      <c r="B42" s="24"/>
      <c r="C42" s="24"/>
      <c r="D42" s="26" t="s">
        <v>0</v>
      </c>
      <c r="E42" s="25">
        <v>11</v>
      </c>
      <c r="F42" s="25">
        <f>F31</f>
        <v>166.28250000000025</v>
      </c>
      <c r="G42" s="25">
        <f t="shared" si="2"/>
        <v>15.116590909090933</v>
      </c>
      <c r="H42" s="25"/>
      <c r="I42" s="24"/>
    </row>
    <row r="43" spans="1:9" x14ac:dyDescent="0.3">
      <c r="A43" s="24"/>
      <c r="B43" s="24"/>
      <c r="C43" s="24"/>
      <c r="D43" s="24"/>
      <c r="E43" s="24"/>
      <c r="F43" s="24"/>
      <c r="G43" s="24"/>
      <c r="H43" s="24"/>
      <c r="I43" s="24"/>
    </row>
  </sheetData>
  <mergeCells count="5">
    <mergeCell ref="C1:D1"/>
    <mergeCell ref="C3:F3"/>
    <mergeCell ref="D18:F18"/>
    <mergeCell ref="D20:G20"/>
    <mergeCell ref="E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B9DE-108A-4A75-B121-E55F140DBB6D}">
  <dimension ref="A2:M18"/>
  <sheetViews>
    <sheetView workbookViewId="0">
      <selection activeCell="H22" sqref="H22"/>
    </sheetView>
  </sheetViews>
  <sheetFormatPr defaultRowHeight="14.4" x14ac:dyDescent="0.3"/>
  <sheetData>
    <row r="2" spans="1:13" x14ac:dyDescent="0.3">
      <c r="F2" s="2" t="s">
        <v>75</v>
      </c>
      <c r="M2" s="2" t="s">
        <v>86</v>
      </c>
    </row>
    <row r="3" spans="1:13" x14ac:dyDescent="0.3">
      <c r="B3" s="2">
        <v>12</v>
      </c>
      <c r="C3" s="2">
        <v>19</v>
      </c>
      <c r="D3" s="2">
        <v>10</v>
      </c>
      <c r="E3" s="18">
        <v>8</v>
      </c>
      <c r="F3" s="2">
        <f>SUM(B3:E3)</f>
        <v>49</v>
      </c>
      <c r="H3" s="2" t="s">
        <v>1</v>
      </c>
      <c r="I3" s="2">
        <v>12</v>
      </c>
      <c r="J3" s="2">
        <v>7</v>
      </c>
      <c r="K3" s="2">
        <v>5</v>
      </c>
      <c r="L3" s="2">
        <v>7</v>
      </c>
      <c r="M3" s="2">
        <f>SUM(I3:L3)</f>
        <v>31</v>
      </c>
    </row>
    <row r="4" spans="1:13" x14ac:dyDescent="0.3">
      <c r="B4" s="2">
        <v>18</v>
      </c>
      <c r="C4" s="2">
        <v>12</v>
      </c>
      <c r="D4" s="2">
        <v>6</v>
      </c>
      <c r="E4" s="18">
        <v>7</v>
      </c>
      <c r="F4" s="2">
        <f t="shared" ref="F4:F6" si="0">SUM(B4:E4)</f>
        <v>43</v>
      </c>
      <c r="H4" s="2" t="s">
        <v>2</v>
      </c>
      <c r="I4" s="2">
        <v>10</v>
      </c>
      <c r="J4" s="2">
        <v>12</v>
      </c>
      <c r="K4" s="2">
        <v>22</v>
      </c>
      <c r="L4" s="2">
        <v>17</v>
      </c>
      <c r="M4" s="2">
        <f t="shared" ref="M4:M6" si="1">SUM(I4:L4)</f>
        <v>61</v>
      </c>
    </row>
    <row r="5" spans="1:13" x14ac:dyDescent="0.3">
      <c r="B5" s="2">
        <v>22</v>
      </c>
      <c r="C5" s="2">
        <v>10</v>
      </c>
      <c r="D5" s="2">
        <v>5</v>
      </c>
      <c r="E5" s="18">
        <v>21</v>
      </c>
      <c r="F5" s="2">
        <f t="shared" si="0"/>
        <v>58</v>
      </c>
      <c r="H5" s="2" t="s">
        <v>3</v>
      </c>
      <c r="I5" s="2">
        <v>19</v>
      </c>
      <c r="J5" s="2">
        <v>18</v>
      </c>
      <c r="K5" s="2">
        <v>21</v>
      </c>
      <c r="L5" s="2">
        <v>27</v>
      </c>
      <c r="M5" s="2">
        <f t="shared" si="1"/>
        <v>85</v>
      </c>
    </row>
    <row r="6" spans="1:13" x14ac:dyDescent="0.3">
      <c r="B6" s="19">
        <v>12</v>
      </c>
      <c r="C6" s="19">
        <v>7</v>
      </c>
      <c r="D6" s="19">
        <v>27</v>
      </c>
      <c r="E6" s="20">
        <v>17</v>
      </c>
      <c r="F6" s="2">
        <f t="shared" si="0"/>
        <v>63</v>
      </c>
      <c r="H6" s="2" t="s">
        <v>4</v>
      </c>
      <c r="I6" s="2">
        <v>8</v>
      </c>
      <c r="J6" s="2">
        <v>6</v>
      </c>
      <c r="K6" s="2">
        <v>10</v>
      </c>
      <c r="L6" s="2">
        <v>12</v>
      </c>
      <c r="M6" s="2">
        <f t="shared" si="1"/>
        <v>36</v>
      </c>
    </row>
    <row r="7" spans="1:13" x14ac:dyDescent="0.3">
      <c r="A7" s="2" t="s">
        <v>86</v>
      </c>
      <c r="B7" s="2">
        <f>SUM(B3:B6)</f>
        <v>64</v>
      </c>
      <c r="C7" s="2">
        <f t="shared" ref="C7:E7" si="2">SUM(C3:C6)</f>
        <v>48</v>
      </c>
      <c r="D7" s="2">
        <f t="shared" si="2"/>
        <v>48</v>
      </c>
      <c r="E7" s="2">
        <f t="shared" si="2"/>
        <v>53</v>
      </c>
      <c r="F7" s="2"/>
    </row>
    <row r="9" spans="1:13" x14ac:dyDescent="0.3">
      <c r="G9" s="21" t="s">
        <v>87</v>
      </c>
      <c r="H9" s="21"/>
      <c r="I9" s="21"/>
      <c r="J9" s="21"/>
      <c r="K9" s="21"/>
    </row>
    <row r="10" spans="1:13" x14ac:dyDescent="0.3">
      <c r="B10" s="2" t="s">
        <v>5</v>
      </c>
      <c r="C10" s="2">
        <f>SUM(B3:E6)</f>
        <v>213</v>
      </c>
      <c r="G10" s="2" t="s">
        <v>11</v>
      </c>
      <c r="H10" s="2" t="s">
        <v>12</v>
      </c>
      <c r="I10" s="2" t="s">
        <v>13</v>
      </c>
      <c r="J10" s="2" t="s">
        <v>83</v>
      </c>
      <c r="K10" s="2" t="s">
        <v>15</v>
      </c>
    </row>
    <row r="11" spans="1:13" x14ac:dyDescent="0.3">
      <c r="B11" s="2" t="s">
        <v>88</v>
      </c>
      <c r="C11" s="2">
        <f>COUNT(B3:E6)</f>
        <v>16</v>
      </c>
      <c r="G11" s="2" t="s">
        <v>84</v>
      </c>
      <c r="H11" s="2">
        <v>3</v>
      </c>
      <c r="I11" s="2">
        <f>(1/4)*SUMSQ(F3:F6)-C12</f>
        <v>60.1875</v>
      </c>
      <c r="J11" s="2">
        <f>I11/H11</f>
        <v>20.0625</v>
      </c>
      <c r="K11" s="2">
        <f>J11/J14</f>
        <v>1.5165354330708662</v>
      </c>
    </row>
    <row r="12" spans="1:13" x14ac:dyDescent="0.3">
      <c r="B12" s="2" t="s">
        <v>89</v>
      </c>
      <c r="C12" s="2">
        <f>C10*C10/C11</f>
        <v>2835.5625</v>
      </c>
      <c r="G12" s="2" t="s">
        <v>85</v>
      </c>
      <c r="H12" s="2">
        <v>3</v>
      </c>
      <c r="I12" s="2">
        <f>1/4*SUMSQ(B7:E7)-C12</f>
        <v>42.6875</v>
      </c>
      <c r="J12" s="2">
        <f t="shared" ref="J12:J15" si="3">I12/H12</f>
        <v>14.229166666666666</v>
      </c>
      <c r="K12" s="2">
        <f>J12/J14</f>
        <v>1.0755905511811024</v>
      </c>
    </row>
    <row r="13" spans="1:13" x14ac:dyDescent="0.3">
      <c r="B13" s="2" t="s">
        <v>16</v>
      </c>
      <c r="C13" s="2">
        <f>SUMSQ(B3:E6)</f>
        <v>3483</v>
      </c>
      <c r="G13" s="2" t="s">
        <v>21</v>
      </c>
      <c r="H13" s="2">
        <v>3</v>
      </c>
      <c r="I13" s="2">
        <f>1/4*SUMSQ(M3:M6)-C12</f>
        <v>465.1875</v>
      </c>
      <c r="J13" s="2">
        <f t="shared" si="3"/>
        <v>155.0625</v>
      </c>
      <c r="K13" s="2">
        <f>J13/J14</f>
        <v>11.721259842519686</v>
      </c>
    </row>
    <row r="14" spans="1:13" x14ac:dyDescent="0.3">
      <c r="B14" s="2" t="s">
        <v>17</v>
      </c>
      <c r="C14" s="2">
        <f>C13-C12</f>
        <v>647.4375</v>
      </c>
      <c r="G14" s="2" t="s">
        <v>22</v>
      </c>
      <c r="H14" s="2">
        <v>6</v>
      </c>
      <c r="I14" s="2">
        <f>C14-(C15+C16+C17)</f>
        <v>79.375</v>
      </c>
      <c r="J14" s="2">
        <f t="shared" si="3"/>
        <v>13.229166666666666</v>
      </c>
      <c r="K14" s="2"/>
    </row>
    <row r="15" spans="1:13" x14ac:dyDescent="0.3">
      <c r="B15" s="2" t="s">
        <v>90</v>
      </c>
      <c r="C15" s="2">
        <f>(1/4)*SUMSQ(F3:F6)-C12</f>
        <v>60.1875</v>
      </c>
      <c r="G15" s="2" t="s">
        <v>0</v>
      </c>
      <c r="H15" s="2">
        <f>C11-1</f>
        <v>15</v>
      </c>
      <c r="I15" s="2">
        <f>C13-C12</f>
        <v>647.4375</v>
      </c>
      <c r="J15" s="2">
        <f t="shared" si="3"/>
        <v>43.162500000000001</v>
      </c>
      <c r="K15" s="2"/>
    </row>
    <row r="16" spans="1:13" x14ac:dyDescent="0.3">
      <c r="B16" s="2" t="s">
        <v>91</v>
      </c>
      <c r="C16" s="2">
        <f>1/4*SUMSQ(B7:E7)-C12</f>
        <v>42.6875</v>
      </c>
    </row>
    <row r="17" spans="2:3" x14ac:dyDescent="0.3">
      <c r="B17" s="2" t="s">
        <v>19</v>
      </c>
      <c r="C17" s="2">
        <f>1/4*SUMSQ(M3:M6)-C12</f>
        <v>465.1875</v>
      </c>
    </row>
    <row r="18" spans="2:3" x14ac:dyDescent="0.3">
      <c r="B18" s="2" t="s">
        <v>20</v>
      </c>
      <c r="C18" s="2">
        <f>C14-(C15+C16+C17)</f>
        <v>79.375</v>
      </c>
    </row>
  </sheetData>
  <mergeCells count="1">
    <mergeCell ref="G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214-DCC7-4AF0-B31A-E3496685EB0F}">
  <dimension ref="A1:O32"/>
  <sheetViews>
    <sheetView workbookViewId="0">
      <selection sqref="A1:O1"/>
    </sheetView>
  </sheetViews>
  <sheetFormatPr defaultRowHeight="14.4" x14ac:dyDescent="0.3"/>
  <sheetData>
    <row r="1" spans="1:15" ht="15" thickBot="1" x14ac:dyDescent="0.3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5" thickBot="1" x14ac:dyDescent="0.35"/>
    <row r="3" spans="1:15" ht="15" thickBot="1" x14ac:dyDescent="0.35">
      <c r="I3" s="7" t="s">
        <v>72</v>
      </c>
      <c r="J3" s="8"/>
      <c r="K3" s="8"/>
      <c r="L3" s="8"/>
      <c r="M3" s="8"/>
      <c r="N3" s="8"/>
      <c r="O3" s="9"/>
    </row>
    <row r="4" spans="1:15" x14ac:dyDescent="0.3">
      <c r="B4" s="10" t="s">
        <v>73</v>
      </c>
      <c r="C4" s="11"/>
      <c r="D4" s="11"/>
      <c r="E4" s="11"/>
      <c r="F4" s="12"/>
      <c r="G4" s="2" t="s">
        <v>74</v>
      </c>
      <c r="I4" s="13"/>
      <c r="J4" s="13"/>
      <c r="K4" s="13"/>
      <c r="L4" s="13"/>
      <c r="M4" s="13"/>
      <c r="N4" s="13"/>
      <c r="O4" s="13" t="s">
        <v>75</v>
      </c>
    </row>
    <row r="5" spans="1:15" x14ac:dyDescent="0.3">
      <c r="B5" s="2">
        <v>57.8</v>
      </c>
      <c r="C5" s="2">
        <v>48.6</v>
      </c>
      <c r="D5" s="2">
        <v>33.4</v>
      </c>
      <c r="E5" s="2">
        <v>53.5</v>
      </c>
      <c r="F5" s="2">
        <v>41.8</v>
      </c>
      <c r="G5" s="2"/>
      <c r="I5" s="2" t="s">
        <v>1</v>
      </c>
      <c r="J5" s="2">
        <v>33.4</v>
      </c>
      <c r="K5" s="2">
        <v>31.9</v>
      </c>
      <c r="L5" s="2">
        <v>46.1</v>
      </c>
      <c r="M5" s="2">
        <v>38.799999999999997</v>
      </c>
      <c r="N5" s="2">
        <v>41</v>
      </c>
      <c r="O5" s="2">
        <f>SUM(J5:N5)</f>
        <v>191.2</v>
      </c>
    </row>
    <row r="6" spans="1:15" x14ac:dyDescent="0.3">
      <c r="B6" s="2">
        <v>50.5</v>
      </c>
      <c r="C6" s="2">
        <v>45.5</v>
      </c>
      <c r="D6" s="2">
        <v>51.8</v>
      </c>
      <c r="E6" s="2">
        <v>52.6</v>
      </c>
      <c r="F6" s="2">
        <v>31.9</v>
      </c>
      <c r="G6" s="2"/>
      <c r="I6" s="2" t="s">
        <v>2</v>
      </c>
      <c r="J6" s="2">
        <v>57.8</v>
      </c>
      <c r="K6" s="2">
        <v>52.6</v>
      </c>
      <c r="L6" s="2">
        <v>55.6</v>
      </c>
      <c r="M6" s="2">
        <v>55.1</v>
      </c>
      <c r="N6" s="2">
        <v>55.7</v>
      </c>
      <c r="O6" s="2">
        <f t="shared" ref="O6:O8" si="0">SUM(J6:N6)</f>
        <v>276.8</v>
      </c>
    </row>
    <row r="7" spans="1:15" x14ac:dyDescent="0.3">
      <c r="B7" s="2">
        <v>46.1</v>
      </c>
      <c r="C7" s="2">
        <v>47.9</v>
      </c>
      <c r="D7" s="2">
        <v>55.6</v>
      </c>
      <c r="E7" s="2"/>
      <c r="F7" s="2">
        <v>53.3</v>
      </c>
      <c r="G7" s="2">
        <f>SUM(B7:F7)</f>
        <v>202.89999999999998</v>
      </c>
      <c r="I7" s="2" t="s">
        <v>3</v>
      </c>
      <c r="J7" s="2">
        <v>48.6</v>
      </c>
      <c r="K7" s="2">
        <v>51.8</v>
      </c>
      <c r="L7" s="2">
        <v>53.3</v>
      </c>
      <c r="M7" s="2">
        <v>58.2</v>
      </c>
      <c r="N7" s="2">
        <v>54.6</v>
      </c>
      <c r="O7" s="2">
        <f t="shared" si="0"/>
        <v>266.5</v>
      </c>
    </row>
    <row r="8" spans="1:15" x14ac:dyDescent="0.3">
      <c r="B8" s="2">
        <v>58.2</v>
      </c>
      <c r="C8" s="2">
        <v>55.1</v>
      </c>
      <c r="D8" s="2">
        <v>43.2</v>
      </c>
      <c r="E8" s="2">
        <v>38.799999999999997</v>
      </c>
      <c r="F8" s="2">
        <v>53.3</v>
      </c>
      <c r="G8" s="2"/>
      <c r="I8" s="2" t="s">
        <v>4</v>
      </c>
      <c r="J8" s="2">
        <v>53.5</v>
      </c>
      <c r="K8" s="2">
        <v>50.5</v>
      </c>
      <c r="L8" s="2">
        <v>47.9</v>
      </c>
      <c r="M8" s="2">
        <v>53.3</v>
      </c>
      <c r="N8" s="2">
        <v>48.7</v>
      </c>
      <c r="O8" s="2">
        <f t="shared" si="0"/>
        <v>253.89999999999998</v>
      </c>
    </row>
    <row r="9" spans="1:15" x14ac:dyDescent="0.3">
      <c r="B9" s="2">
        <v>53</v>
      </c>
      <c r="C9" s="2">
        <v>41</v>
      </c>
      <c r="D9" s="2">
        <v>48.7</v>
      </c>
      <c r="E9" s="2">
        <v>54.6</v>
      </c>
      <c r="F9" s="2">
        <v>55.7</v>
      </c>
      <c r="G9" s="2"/>
      <c r="I9" s="2" t="s">
        <v>76</v>
      </c>
      <c r="J9" s="2">
        <v>41.8</v>
      </c>
      <c r="K9" s="2">
        <v>45.5</v>
      </c>
      <c r="L9" s="2"/>
      <c r="M9" s="2">
        <v>43.2</v>
      </c>
      <c r="N9" s="2">
        <v>53</v>
      </c>
      <c r="O9" s="2">
        <f>SUM(J9:N9)</f>
        <v>183.5</v>
      </c>
    </row>
    <row r="10" spans="1:15" x14ac:dyDescent="0.3">
      <c r="A10" t="s">
        <v>74</v>
      </c>
      <c r="B10" s="2"/>
      <c r="C10" s="2"/>
      <c r="D10" s="2"/>
      <c r="E10" s="2">
        <f>SUM(E5:E9)</f>
        <v>199.49999999999997</v>
      </c>
      <c r="F10" s="2"/>
      <c r="G10" s="2"/>
    </row>
    <row r="11" spans="1:15" ht="15" thickBot="1" x14ac:dyDescent="0.35"/>
    <row r="12" spans="1:15" ht="15" thickBot="1" x14ac:dyDescent="0.35">
      <c r="C12" s="2" t="s">
        <v>5</v>
      </c>
      <c r="D12" s="2">
        <f>SUM(B5:F9)</f>
        <v>1171.8999999999999</v>
      </c>
      <c r="I12" s="7" t="s">
        <v>77</v>
      </c>
      <c r="J12" s="8"/>
      <c r="K12" s="8"/>
      <c r="L12" s="8"/>
      <c r="M12" s="8"/>
      <c r="N12" s="8"/>
      <c r="O12" s="9"/>
    </row>
    <row r="13" spans="1:15" x14ac:dyDescent="0.3">
      <c r="C13" s="2" t="s">
        <v>78</v>
      </c>
      <c r="D13" s="2">
        <f>(5*(G7+E10+O9)-(2*D12))/12</f>
        <v>48.808333333333358</v>
      </c>
      <c r="I13" s="13"/>
      <c r="J13" s="13"/>
      <c r="K13" s="13"/>
      <c r="L13" s="13"/>
      <c r="M13" s="13"/>
      <c r="N13" s="13"/>
      <c r="O13" s="13" t="s">
        <v>75</v>
      </c>
    </row>
    <row r="14" spans="1:15" x14ac:dyDescent="0.3">
      <c r="C14" s="2" t="s">
        <v>79</v>
      </c>
      <c r="D14" s="2">
        <f>((G7+E10+4*O9 - D12)/12)^2</f>
        <v>8.7517361111109988</v>
      </c>
      <c r="I14" s="2" t="s">
        <v>1</v>
      </c>
      <c r="J14" s="2">
        <v>33.4</v>
      </c>
      <c r="K14" s="2">
        <v>31.9</v>
      </c>
      <c r="L14" s="2">
        <v>46.1</v>
      </c>
      <c r="M14" s="2">
        <v>38.799999999999997</v>
      </c>
      <c r="N14" s="2">
        <v>41</v>
      </c>
      <c r="O14" s="2">
        <v>191.2</v>
      </c>
    </row>
    <row r="15" spans="1:15" x14ac:dyDescent="0.3">
      <c r="C15" s="2" t="s">
        <v>80</v>
      </c>
      <c r="D15" s="2">
        <v>5</v>
      </c>
      <c r="I15" s="2" t="s">
        <v>2</v>
      </c>
      <c r="J15" s="2">
        <v>57.8</v>
      </c>
      <c r="K15" s="2">
        <v>52.6</v>
      </c>
      <c r="L15" s="2">
        <v>55.6</v>
      </c>
      <c r="M15" s="2">
        <v>55.1</v>
      </c>
      <c r="N15" s="2">
        <v>55.7</v>
      </c>
      <c r="O15" s="2">
        <v>276.8</v>
      </c>
    </row>
    <row r="16" spans="1:15" x14ac:dyDescent="0.3">
      <c r="I16" s="2" t="s">
        <v>3</v>
      </c>
      <c r="J16" s="2">
        <v>48.6</v>
      </c>
      <c r="K16" s="2">
        <v>51.8</v>
      </c>
      <c r="L16" s="2">
        <v>53.3</v>
      </c>
      <c r="M16" s="2">
        <v>58.2</v>
      </c>
      <c r="N16" s="2">
        <v>54.6</v>
      </c>
      <c r="O16" s="2">
        <f>SUM(J16:N16)</f>
        <v>266.5</v>
      </c>
    </row>
    <row r="17" spans="1:15" ht="15" thickBot="1" x14ac:dyDescent="0.35">
      <c r="I17" s="2" t="s">
        <v>4</v>
      </c>
      <c r="J17" s="2">
        <v>53.5</v>
      </c>
      <c r="K17" s="2">
        <v>50.5</v>
      </c>
      <c r="L17" s="2">
        <v>47.9</v>
      </c>
      <c r="M17" s="2">
        <v>53.3</v>
      </c>
      <c r="N17" s="2">
        <v>48.7</v>
      </c>
      <c r="O17" s="2">
        <v>253.89999999999998</v>
      </c>
    </row>
    <row r="18" spans="1:15" ht="15" thickBot="1" x14ac:dyDescent="0.35">
      <c r="A18" s="7" t="s">
        <v>81</v>
      </c>
      <c r="B18" s="8"/>
      <c r="C18" s="8"/>
      <c r="D18" s="8"/>
      <c r="E18" s="8"/>
      <c r="F18" s="8"/>
      <c r="G18" s="8"/>
      <c r="H18" s="9"/>
      <c r="I18" s="14" t="s">
        <v>76</v>
      </c>
      <c r="J18" s="2">
        <v>41.8</v>
      </c>
      <c r="K18" s="2">
        <v>45.5</v>
      </c>
      <c r="L18" s="2">
        <v>48.8</v>
      </c>
      <c r="M18" s="2">
        <v>43.2</v>
      </c>
      <c r="N18" s="2">
        <v>53</v>
      </c>
      <c r="O18" s="2">
        <f>SUM(J18:N18)</f>
        <v>232.3</v>
      </c>
    </row>
    <row r="19" spans="1:15" ht="15" thickBot="1" x14ac:dyDescent="0.35"/>
    <row r="20" spans="1:15" ht="15" thickBot="1" x14ac:dyDescent="0.35">
      <c r="G20" s="2" t="s">
        <v>74</v>
      </c>
      <c r="I20" s="15" t="s">
        <v>82</v>
      </c>
      <c r="J20" s="16"/>
      <c r="K20" s="16"/>
      <c r="L20" s="16"/>
      <c r="M20" s="17"/>
    </row>
    <row r="21" spans="1:15" x14ac:dyDescent="0.3">
      <c r="B21" s="2">
        <v>57.8</v>
      </c>
      <c r="C21" s="2">
        <v>48.6</v>
      </c>
      <c r="D21" s="2">
        <v>33.4</v>
      </c>
      <c r="E21" s="2">
        <v>53.5</v>
      </c>
      <c r="F21" s="18">
        <v>41.8</v>
      </c>
      <c r="G21" s="2">
        <f>SUM(B21:F21)</f>
        <v>235.10000000000002</v>
      </c>
      <c r="I21" s="13" t="s">
        <v>11</v>
      </c>
      <c r="J21" s="13" t="s">
        <v>12</v>
      </c>
      <c r="K21" s="13" t="s">
        <v>13</v>
      </c>
      <c r="L21" s="13" t="s">
        <v>83</v>
      </c>
      <c r="M21" s="13" t="s">
        <v>15</v>
      </c>
    </row>
    <row r="22" spans="1:15" x14ac:dyDescent="0.3">
      <c r="B22" s="2">
        <v>50.5</v>
      </c>
      <c r="C22" s="2">
        <v>45.5</v>
      </c>
      <c r="D22" s="2">
        <v>51.8</v>
      </c>
      <c r="E22" s="2">
        <v>52.6</v>
      </c>
      <c r="F22" s="18">
        <v>31.9</v>
      </c>
      <c r="G22" s="2">
        <f t="shared" ref="G22:G25" si="1">SUM(B22:F22)</f>
        <v>232.3</v>
      </c>
      <c r="I22" s="2" t="s">
        <v>84</v>
      </c>
      <c r="J22" s="2">
        <f>D15-1</f>
        <v>4</v>
      </c>
      <c r="K22" s="2">
        <f>1/D15*SUMSQ(G21:G25)-D29</f>
        <v>75.490400000031514</v>
      </c>
      <c r="L22" s="2">
        <f>K22/J22</f>
        <v>18.872600000007878</v>
      </c>
      <c r="M22" s="2">
        <f>L22/L25</f>
        <v>2.1598994745231335</v>
      </c>
    </row>
    <row r="23" spans="1:15" x14ac:dyDescent="0.3">
      <c r="B23" s="2">
        <v>46.1</v>
      </c>
      <c r="C23" s="2">
        <v>47.9</v>
      </c>
      <c r="D23" s="2">
        <v>55.6</v>
      </c>
      <c r="E23" s="2">
        <v>48.8</v>
      </c>
      <c r="F23" s="18">
        <v>53.3</v>
      </c>
      <c r="G23" s="2">
        <f t="shared" si="1"/>
        <v>251.7</v>
      </c>
      <c r="I23" s="2" t="s">
        <v>85</v>
      </c>
      <c r="J23" s="2">
        <f>D15-1</f>
        <v>4</v>
      </c>
      <c r="K23" s="2">
        <f>1/5*SUMSQ(B26:F26)-D29</f>
        <v>142.29040000002715</v>
      </c>
      <c r="L23" s="2">
        <f t="shared" ref="L23:L26" si="2">K23/J23</f>
        <v>35.572600000006787</v>
      </c>
      <c r="M23" s="2">
        <f>L23/L25</f>
        <v>4.0711528908260757</v>
      </c>
    </row>
    <row r="24" spans="1:15" x14ac:dyDescent="0.3">
      <c r="B24" s="2">
        <v>58.2</v>
      </c>
      <c r="C24" s="2">
        <v>55.1</v>
      </c>
      <c r="D24" s="2">
        <v>43.2</v>
      </c>
      <c r="E24" s="2">
        <v>38.799999999999997</v>
      </c>
      <c r="F24" s="18">
        <v>53.3</v>
      </c>
      <c r="G24" s="2">
        <f t="shared" si="1"/>
        <v>248.60000000000002</v>
      </c>
      <c r="I24" s="2" t="s">
        <v>21</v>
      </c>
      <c r="J24" s="2">
        <f>D15-1</f>
        <v>4</v>
      </c>
      <c r="K24" s="2">
        <f>(1/5*SUMSQ(O14:O18)-D29)-D14</f>
        <v>912.19466388891158</v>
      </c>
      <c r="L24" s="2">
        <f>(K24/J24)</f>
        <v>228.04866597222789</v>
      </c>
      <c r="M24" s="2">
        <f>L24/L25</f>
        <v>26.099328857651354</v>
      </c>
    </row>
    <row r="25" spans="1:15" x14ac:dyDescent="0.3">
      <c r="B25" s="19">
        <v>53</v>
      </c>
      <c r="C25" s="19">
        <v>41</v>
      </c>
      <c r="D25" s="19">
        <v>48.7</v>
      </c>
      <c r="E25" s="19">
        <v>54.6</v>
      </c>
      <c r="F25" s="20">
        <v>55.7</v>
      </c>
      <c r="G25" s="2">
        <f t="shared" si="1"/>
        <v>253</v>
      </c>
      <c r="I25" s="2" t="s">
        <v>22</v>
      </c>
      <c r="J25" s="2">
        <f>(D15-1)*(D15-2)-1</f>
        <v>11</v>
      </c>
      <c r="K25" s="2">
        <f>K26-(K22+K23+K24)</f>
        <v>96.11493611105243</v>
      </c>
      <c r="L25" s="2">
        <f>K25/J25</f>
        <v>8.7377214646411296</v>
      </c>
      <c r="M25" s="2"/>
    </row>
    <row r="26" spans="1:15" x14ac:dyDescent="0.3">
      <c r="A26" s="2" t="s">
        <v>74</v>
      </c>
      <c r="B26" s="2">
        <f>SUM(B21:B25)</f>
        <v>265.60000000000002</v>
      </c>
      <c r="C26" s="2">
        <f t="shared" ref="C26:F26" si="3">SUM(C21:C25)</f>
        <v>238.1</v>
      </c>
      <c r="D26" s="2">
        <f t="shared" si="3"/>
        <v>232.7</v>
      </c>
      <c r="E26" s="2">
        <f t="shared" si="3"/>
        <v>248.29999999999998</v>
      </c>
      <c r="F26" s="2">
        <f t="shared" si="3"/>
        <v>236</v>
      </c>
      <c r="I26" s="2" t="s">
        <v>0</v>
      </c>
      <c r="J26" s="2">
        <f>SUM(J22:J25)</f>
        <v>23</v>
      </c>
      <c r="K26" s="2">
        <f>D31-D29</f>
        <v>1226.0904000000228</v>
      </c>
      <c r="L26" s="2">
        <f t="shared" si="2"/>
        <v>53.308278260870559</v>
      </c>
      <c r="M26" s="2"/>
    </row>
    <row r="28" spans="1:15" x14ac:dyDescent="0.3">
      <c r="C28" s="2" t="s">
        <v>5</v>
      </c>
      <c r="D28" s="2">
        <f>SUM(B21:F25)</f>
        <v>1220.6999999999998</v>
      </c>
    </row>
    <row r="29" spans="1:15" x14ac:dyDescent="0.3">
      <c r="C29" s="2" t="s">
        <v>9</v>
      </c>
      <c r="D29" s="2">
        <f>(D28^2/D30)</f>
        <v>59604.339599999978</v>
      </c>
    </row>
    <row r="30" spans="1:15" x14ac:dyDescent="0.3">
      <c r="C30" s="2" t="s">
        <v>8</v>
      </c>
      <c r="D30" s="2">
        <f>COUNT(B21:F25)</f>
        <v>25</v>
      </c>
    </row>
    <row r="31" spans="1:15" x14ac:dyDescent="0.3">
      <c r="C31" s="2" t="s">
        <v>16</v>
      </c>
      <c r="D31" s="2">
        <f>SUMSQ(B21:F25)</f>
        <v>60830.43</v>
      </c>
    </row>
    <row r="32" spans="1:15" x14ac:dyDescent="0.3">
      <c r="C32" s="2" t="s">
        <v>19</v>
      </c>
      <c r="D32" s="2">
        <f>1/5*SUMSQ(O14:O18)-D29</f>
        <v>920.94640000002255</v>
      </c>
    </row>
  </sheetData>
  <mergeCells count="6">
    <mergeCell ref="A1:O1"/>
    <mergeCell ref="I3:O3"/>
    <mergeCell ref="B4:F4"/>
    <mergeCell ref="I12:O12"/>
    <mergeCell ref="A18:H18"/>
    <mergeCell ref="I20:M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6075-A3A6-4348-8173-6ABEC68B6BC1}">
  <dimension ref="A1:G30"/>
  <sheetViews>
    <sheetView workbookViewId="0">
      <selection activeCell="G35" sqref="G35"/>
    </sheetView>
  </sheetViews>
  <sheetFormatPr defaultRowHeight="14.4" x14ac:dyDescent="0.3"/>
  <sheetData>
    <row r="1" spans="1:7" x14ac:dyDescent="0.3">
      <c r="A1" s="24"/>
      <c r="B1" s="1" t="s">
        <v>116</v>
      </c>
      <c r="C1" s="1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4"/>
      <c r="B3" s="25">
        <v>405</v>
      </c>
      <c r="C3" s="25">
        <v>525</v>
      </c>
      <c r="D3" s="25">
        <v>463</v>
      </c>
      <c r="E3" s="25">
        <v>441</v>
      </c>
      <c r="F3" s="25">
        <v>481</v>
      </c>
      <c r="G3" s="26">
        <f>SUM(B3:F3)</f>
        <v>2315</v>
      </c>
    </row>
    <row r="4" spans="1:7" x14ac:dyDescent="0.3">
      <c r="A4" s="24"/>
      <c r="B4" s="25">
        <v>325</v>
      </c>
      <c r="C4" s="25">
        <v>445</v>
      </c>
      <c r="D4" s="25">
        <v>429</v>
      </c>
      <c r="E4" s="25">
        <v>413</v>
      </c>
      <c r="F4" s="25">
        <v>493</v>
      </c>
      <c r="G4" s="26">
        <f t="shared" ref="G4:G7" si="0">SUM(B4:F4)</f>
        <v>2105</v>
      </c>
    </row>
    <row r="5" spans="1:7" x14ac:dyDescent="0.3">
      <c r="A5" s="24"/>
      <c r="B5" s="25">
        <v>471</v>
      </c>
      <c r="C5" s="25">
        <v>492</v>
      </c>
      <c r="D5" s="25">
        <v>472</v>
      </c>
      <c r="E5" s="25">
        <v>381</v>
      </c>
      <c r="F5" s="25">
        <v>410</v>
      </c>
      <c r="G5" s="26">
        <f t="shared" si="0"/>
        <v>2226</v>
      </c>
    </row>
    <row r="6" spans="1:7" x14ac:dyDescent="0.3">
      <c r="A6" s="24"/>
      <c r="B6" s="25">
        <v>552</v>
      </c>
      <c r="C6" s="25">
        <v>431</v>
      </c>
      <c r="D6" s="25">
        <v>425</v>
      </c>
      <c r="E6" s="25">
        <v>572</v>
      </c>
      <c r="F6" s="25">
        <v>451</v>
      </c>
      <c r="G6" s="26">
        <f t="shared" si="0"/>
        <v>2431</v>
      </c>
    </row>
    <row r="7" spans="1:7" x14ac:dyDescent="0.3">
      <c r="A7" s="24"/>
      <c r="B7" s="25">
        <v>430</v>
      </c>
      <c r="C7" s="25">
        <v>469</v>
      </c>
      <c r="D7" s="25">
        <v>432</v>
      </c>
      <c r="E7" s="25">
        <v>467</v>
      </c>
      <c r="F7" s="25">
        <v>460</v>
      </c>
      <c r="G7" s="26">
        <f t="shared" si="0"/>
        <v>2258</v>
      </c>
    </row>
    <row r="8" spans="1:7" x14ac:dyDescent="0.3">
      <c r="A8" s="24"/>
      <c r="B8" s="26">
        <f>SUM(B3:B7)</f>
        <v>2183</v>
      </c>
      <c r="C8" s="26">
        <f t="shared" ref="C8:F8" si="1">SUM(C3:C7)</f>
        <v>2362</v>
      </c>
      <c r="D8" s="26">
        <f t="shared" si="1"/>
        <v>2221</v>
      </c>
      <c r="E8" s="26">
        <f t="shared" si="1"/>
        <v>2274</v>
      </c>
      <c r="F8" s="26">
        <f t="shared" si="1"/>
        <v>2295</v>
      </c>
      <c r="G8" s="24"/>
    </row>
    <row r="9" spans="1:7" x14ac:dyDescent="0.3">
      <c r="A9" s="24"/>
      <c r="B9" s="24"/>
      <c r="C9" s="24"/>
      <c r="D9" s="24"/>
      <c r="E9" s="24"/>
      <c r="F9" s="24"/>
      <c r="G9" s="24"/>
    </row>
    <row r="10" spans="1:7" x14ac:dyDescent="0.3">
      <c r="A10" s="24"/>
      <c r="B10" s="24"/>
      <c r="C10" s="26" t="s">
        <v>5</v>
      </c>
      <c r="D10" s="25">
        <f>SUM(B3:F7)</f>
        <v>11335</v>
      </c>
      <c r="E10" s="24"/>
      <c r="F10" s="24"/>
      <c r="G10" s="24"/>
    </row>
    <row r="11" spans="1:7" x14ac:dyDescent="0.3">
      <c r="A11" s="24"/>
      <c r="B11" s="24"/>
      <c r="C11" s="26" t="s">
        <v>8</v>
      </c>
      <c r="D11" s="25">
        <f>COUNT(B3:F7)</f>
        <v>25</v>
      </c>
      <c r="E11" s="24"/>
      <c r="F11" s="24"/>
      <c r="G11" s="24"/>
    </row>
    <row r="12" spans="1:7" x14ac:dyDescent="0.3">
      <c r="A12" s="24"/>
      <c r="B12" s="24"/>
      <c r="C12" s="25" t="s">
        <v>80</v>
      </c>
      <c r="D12" s="25">
        <v>5</v>
      </c>
      <c r="E12" s="24"/>
      <c r="F12" s="24"/>
      <c r="G12" s="24"/>
    </row>
    <row r="13" spans="1:7" x14ac:dyDescent="0.3">
      <c r="A13" s="24"/>
      <c r="B13" s="24"/>
      <c r="C13" s="26" t="s">
        <v>9</v>
      </c>
      <c r="D13" s="25">
        <f>D10^2/D11</f>
        <v>5139289</v>
      </c>
      <c r="E13" s="24"/>
      <c r="F13" s="24"/>
      <c r="G13" s="24"/>
    </row>
    <row r="14" spans="1:7" x14ac:dyDescent="0.3">
      <c r="A14" s="24"/>
      <c r="B14" s="24"/>
      <c r="C14" s="26" t="s">
        <v>90</v>
      </c>
      <c r="D14" s="25">
        <f>SUMSQ(G3:G7)/5-D13</f>
        <v>11441.200000000186</v>
      </c>
      <c r="E14" s="24"/>
      <c r="F14" s="24"/>
      <c r="G14" s="24"/>
    </row>
    <row r="15" spans="1:7" x14ac:dyDescent="0.3">
      <c r="A15" s="24"/>
      <c r="B15" s="24"/>
      <c r="C15" s="26" t="s">
        <v>91</v>
      </c>
      <c r="D15" s="25">
        <f>SUMSQ(B8:F8)/5-D13</f>
        <v>3806</v>
      </c>
      <c r="E15" s="25" t="s">
        <v>1</v>
      </c>
      <c r="F15" s="25">
        <f>C3+E4+D5+B6+F7</f>
        <v>2422</v>
      </c>
      <c r="G15" s="24"/>
    </row>
    <row r="16" spans="1:7" x14ac:dyDescent="0.3">
      <c r="A16" s="24"/>
      <c r="B16" s="24"/>
      <c r="C16" s="26" t="s">
        <v>19</v>
      </c>
      <c r="D16" s="25">
        <f>SUMSQ(F15:F19)/5-D13</f>
        <v>25100</v>
      </c>
      <c r="E16" s="25" t="s">
        <v>2</v>
      </c>
      <c r="F16" s="25">
        <f>B3+D4+C5+F6+E7</f>
        <v>2244</v>
      </c>
      <c r="G16" s="24"/>
    </row>
    <row r="17" spans="1:7" x14ac:dyDescent="0.3">
      <c r="A17" s="24"/>
      <c r="B17" s="24"/>
      <c r="C17" s="26" t="s">
        <v>16</v>
      </c>
      <c r="D17" s="25">
        <f>SUMSQ(B3:F7)</f>
        <v>5203969</v>
      </c>
      <c r="E17" s="25" t="s">
        <v>3</v>
      </c>
      <c r="F17" s="25">
        <f>F3+B4+E5+C6+D7</f>
        <v>2050</v>
      </c>
      <c r="G17" s="24"/>
    </row>
    <row r="18" spans="1:7" x14ac:dyDescent="0.3">
      <c r="A18" s="24"/>
      <c r="B18" s="24"/>
      <c r="C18" s="26" t="s">
        <v>17</v>
      </c>
      <c r="D18" s="25">
        <f>D17-D13</f>
        <v>64680</v>
      </c>
      <c r="E18" s="25" t="s">
        <v>4</v>
      </c>
      <c r="F18" s="25">
        <f>E3+C4+F5+D6+B7</f>
        <v>2151</v>
      </c>
      <c r="G18" s="24"/>
    </row>
    <row r="19" spans="1:7" x14ac:dyDescent="0.3">
      <c r="A19" s="24"/>
      <c r="B19" s="24"/>
      <c r="C19" s="26" t="s">
        <v>20</v>
      </c>
      <c r="D19" s="25">
        <f>D18-(D15+D16+D14)</f>
        <v>24332.799999999814</v>
      </c>
      <c r="E19" s="25" t="s">
        <v>76</v>
      </c>
      <c r="F19" s="25">
        <f>D3+F4+B5+E6+C7</f>
        <v>2468</v>
      </c>
      <c r="G19" s="24"/>
    </row>
    <row r="20" spans="1:7" x14ac:dyDescent="0.3">
      <c r="A20" s="24"/>
      <c r="B20" s="24"/>
      <c r="C20" s="24"/>
      <c r="D20" s="24"/>
      <c r="E20" s="24"/>
      <c r="F20" s="24"/>
      <c r="G20" s="24"/>
    </row>
    <row r="21" spans="1:7" x14ac:dyDescent="0.3">
      <c r="A21" s="24"/>
      <c r="B21" s="24"/>
      <c r="C21" s="24"/>
      <c r="D21" s="24"/>
      <c r="E21" s="24"/>
      <c r="F21" s="24"/>
      <c r="G21" s="24"/>
    </row>
    <row r="22" spans="1:7" x14ac:dyDescent="0.3">
      <c r="A22" s="24"/>
      <c r="B22" s="24"/>
      <c r="C22" s="24"/>
      <c r="D22" s="24"/>
      <c r="E22" s="24"/>
      <c r="F22" s="24"/>
      <c r="G22" s="24"/>
    </row>
    <row r="23" spans="1:7" x14ac:dyDescent="0.3">
      <c r="A23" s="24"/>
      <c r="B23" s="23"/>
      <c r="C23" s="1" t="s">
        <v>10</v>
      </c>
      <c r="D23" s="1"/>
      <c r="E23" s="23"/>
      <c r="F23" s="24"/>
      <c r="G23" s="24"/>
    </row>
    <row r="24" spans="1:7" x14ac:dyDescent="0.3">
      <c r="A24" s="24"/>
      <c r="B24" s="26" t="s">
        <v>11</v>
      </c>
      <c r="C24" s="26" t="s">
        <v>12</v>
      </c>
      <c r="D24" s="26" t="s">
        <v>13</v>
      </c>
      <c r="E24" s="26" t="s">
        <v>83</v>
      </c>
      <c r="F24" s="26" t="s">
        <v>15</v>
      </c>
      <c r="G24" s="24"/>
    </row>
    <row r="25" spans="1:7" x14ac:dyDescent="0.3">
      <c r="A25" s="24"/>
      <c r="B25" s="26" t="s">
        <v>21</v>
      </c>
      <c r="C25" s="25">
        <v>4</v>
      </c>
      <c r="D25" s="25">
        <f>D16</f>
        <v>25100</v>
      </c>
      <c r="E25" s="25">
        <f>D25/C25</f>
        <v>6275</v>
      </c>
      <c r="F25" s="25">
        <f>E25/E28</f>
        <v>2.0630589163598265</v>
      </c>
      <c r="G25" s="24"/>
    </row>
    <row r="26" spans="1:7" x14ac:dyDescent="0.3">
      <c r="A26" s="24"/>
      <c r="B26" s="26" t="s">
        <v>85</v>
      </c>
      <c r="C26" s="25">
        <v>4</v>
      </c>
      <c r="D26" s="25">
        <f>D15</f>
        <v>3806</v>
      </c>
      <c r="E26" s="25">
        <f t="shared" ref="E26:E27" si="2">D26/C26</f>
        <v>951.5</v>
      </c>
      <c r="F26" s="25">
        <f>E26/E28</f>
        <v>0.31282877432930278</v>
      </c>
      <c r="G26" s="24"/>
    </row>
    <row r="27" spans="1:7" x14ac:dyDescent="0.3">
      <c r="A27" s="24"/>
      <c r="B27" s="26" t="s">
        <v>84</v>
      </c>
      <c r="C27" s="25">
        <v>4</v>
      </c>
      <c r="D27" s="25">
        <f>D14</f>
        <v>11441.200000000186</v>
      </c>
      <c r="E27" s="25">
        <f t="shared" si="2"/>
        <v>2860.3000000000466</v>
      </c>
      <c r="F27" s="25">
        <f>E27/E28</f>
        <v>0.9403932140978658</v>
      </c>
      <c r="G27" s="24"/>
    </row>
    <row r="28" spans="1:7" x14ac:dyDescent="0.3">
      <c r="A28" s="24"/>
      <c r="B28" s="26" t="s">
        <v>22</v>
      </c>
      <c r="C28" s="25">
        <f>C29-16</f>
        <v>8</v>
      </c>
      <c r="D28" s="25">
        <f>D19</f>
        <v>24332.799999999814</v>
      </c>
      <c r="E28" s="25">
        <f>D28/C28</f>
        <v>3041.5999999999767</v>
      </c>
      <c r="F28" s="25"/>
      <c r="G28" s="24"/>
    </row>
    <row r="29" spans="1:7" x14ac:dyDescent="0.3">
      <c r="A29" s="24"/>
      <c r="B29" s="26" t="s">
        <v>0</v>
      </c>
      <c r="C29" s="25">
        <v>24</v>
      </c>
      <c r="D29" s="25">
        <f>D18</f>
        <v>64680</v>
      </c>
      <c r="E29" s="25"/>
      <c r="F29" s="25"/>
      <c r="G29" s="24"/>
    </row>
    <row r="30" spans="1:7" x14ac:dyDescent="0.3">
      <c r="A30" s="24"/>
      <c r="B30" s="24"/>
      <c r="C30" s="24"/>
      <c r="D30" s="24"/>
      <c r="E30" s="24"/>
      <c r="F30" s="24"/>
      <c r="G30" s="24"/>
    </row>
  </sheetData>
  <mergeCells count="2">
    <mergeCell ref="B1:C1"/>
    <mergeCell ref="C23:D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EA97-BA51-47B7-99E0-C6502D6D6954}">
  <dimension ref="A1:T24"/>
  <sheetViews>
    <sheetView workbookViewId="0">
      <selection activeCell="J22" sqref="J22"/>
    </sheetView>
  </sheetViews>
  <sheetFormatPr defaultRowHeight="14.4" x14ac:dyDescent="0.3"/>
  <sheetData>
    <row r="1" spans="1:20" x14ac:dyDescent="0.3">
      <c r="C1" s="1" t="s">
        <v>23</v>
      </c>
      <c r="D1" s="1"/>
      <c r="E1" s="1"/>
      <c r="F1" s="1"/>
      <c r="G1" s="1"/>
      <c r="H1" s="1"/>
      <c r="I1" s="1"/>
      <c r="L1" s="2"/>
      <c r="M1" s="3" t="s">
        <v>40</v>
      </c>
      <c r="N1" s="3" t="s">
        <v>41</v>
      </c>
      <c r="O1" s="1" t="s">
        <v>42</v>
      </c>
      <c r="P1" s="3" t="s">
        <v>43</v>
      </c>
      <c r="Q1" s="3" t="s">
        <v>44</v>
      </c>
      <c r="R1" s="1" t="s">
        <v>45</v>
      </c>
      <c r="S1" s="1" t="s">
        <v>46</v>
      </c>
      <c r="T1" s="1" t="s">
        <v>47</v>
      </c>
    </row>
    <row r="2" spans="1:20" x14ac:dyDescent="0.3">
      <c r="B2" s="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L2" s="2"/>
      <c r="M2" s="3"/>
      <c r="N2" s="3"/>
      <c r="O2" s="1"/>
      <c r="P2" s="3"/>
      <c r="Q2" s="3"/>
      <c r="R2" s="1"/>
      <c r="S2" s="1"/>
      <c r="T2" s="1"/>
    </row>
    <row r="3" spans="1:20" x14ac:dyDescent="0.3">
      <c r="A3" s="3" t="s">
        <v>48</v>
      </c>
      <c r="B3" s="4">
        <v>1</v>
      </c>
      <c r="C3" s="2">
        <v>2.1</v>
      </c>
      <c r="D3" s="2"/>
      <c r="E3" s="2"/>
      <c r="F3" s="2"/>
      <c r="G3" s="2">
        <v>1.85</v>
      </c>
      <c r="H3" s="2"/>
      <c r="I3" s="2">
        <v>3.54</v>
      </c>
      <c r="L3" s="4">
        <v>1</v>
      </c>
      <c r="M3" s="2">
        <f>SUM(C3:I3)</f>
        <v>7.49</v>
      </c>
      <c r="N3" s="2">
        <f>SUM(C3:C9)</f>
        <v>7.68</v>
      </c>
      <c r="O3" s="2">
        <f>N3^2</f>
        <v>58.982399999999998</v>
      </c>
      <c r="P3" s="2">
        <f>N3+N7+N9</f>
        <v>25.64</v>
      </c>
      <c r="Q3" s="2">
        <f>P3/C$14</f>
        <v>8.5466666666666669</v>
      </c>
      <c r="R3" s="2">
        <f>M3-Q3</f>
        <v>-1.0566666666666666</v>
      </c>
      <c r="S3" s="2">
        <f>R3^2</f>
        <v>1.1165444444444443</v>
      </c>
      <c r="T3" s="2">
        <f>M3^2</f>
        <v>56.100100000000005</v>
      </c>
    </row>
    <row r="4" spans="1:20" x14ac:dyDescent="0.3">
      <c r="A4" s="3"/>
      <c r="B4" s="4">
        <v>2</v>
      </c>
      <c r="C4" s="2">
        <v>2.67</v>
      </c>
      <c r="D4" s="2">
        <v>1.1399999999999999</v>
      </c>
      <c r="E4" s="2"/>
      <c r="F4" s="2"/>
      <c r="G4" s="2"/>
      <c r="H4" s="2">
        <v>1.82</v>
      </c>
      <c r="I4" s="2"/>
      <c r="L4" s="4">
        <v>2</v>
      </c>
      <c r="M4" s="2">
        <f t="shared" ref="M4:M9" si="0">SUM(C4:I4)</f>
        <v>5.63</v>
      </c>
      <c r="N4" s="5">
        <f>SUM(D3:D9)</f>
        <v>7.24</v>
      </c>
      <c r="O4" s="2">
        <f t="shared" ref="O4:O9" si="1">N4^2</f>
        <v>52.4176</v>
      </c>
      <c r="P4" s="2">
        <f>N3+N4+N8</f>
        <v>22.740000000000002</v>
      </c>
      <c r="Q4" s="2">
        <f t="shared" ref="Q4:Q9" si="2">P4/C$14</f>
        <v>7.580000000000001</v>
      </c>
      <c r="R4" s="2">
        <f t="shared" ref="R4:R9" si="3">M4-Q4</f>
        <v>-1.9500000000000011</v>
      </c>
      <c r="S4" s="2">
        <f t="shared" ref="S4:S9" si="4">R4^2</f>
        <v>3.8025000000000042</v>
      </c>
      <c r="T4" s="2">
        <f t="shared" ref="T4:T9" si="5">M4^2</f>
        <v>31.696899999999999</v>
      </c>
    </row>
    <row r="5" spans="1:20" x14ac:dyDescent="0.3">
      <c r="A5" s="3"/>
      <c r="B5" s="4">
        <v>3</v>
      </c>
      <c r="C5" s="2"/>
      <c r="D5" s="2">
        <v>3</v>
      </c>
      <c r="E5" s="2">
        <v>2.92</v>
      </c>
      <c r="F5" s="2"/>
      <c r="G5" s="2"/>
      <c r="H5" s="2"/>
      <c r="I5" s="2">
        <v>3.74</v>
      </c>
      <c r="L5" s="4">
        <v>3</v>
      </c>
      <c r="M5" s="2">
        <f t="shared" si="0"/>
        <v>9.66</v>
      </c>
      <c r="N5" s="2">
        <f>SUM(E3:E9)</f>
        <v>9.0500000000000007</v>
      </c>
      <c r="O5" s="2">
        <f t="shared" si="1"/>
        <v>81.902500000000018</v>
      </c>
      <c r="P5" s="2">
        <f>N4+N5+N9</f>
        <v>26.43</v>
      </c>
      <c r="Q5" s="2">
        <f t="shared" si="2"/>
        <v>8.81</v>
      </c>
      <c r="R5" s="2">
        <f t="shared" si="3"/>
        <v>0.84999999999999964</v>
      </c>
      <c r="S5" s="2">
        <f t="shared" si="4"/>
        <v>0.72249999999999936</v>
      </c>
      <c r="T5" s="2">
        <f t="shared" si="5"/>
        <v>93.315600000000003</v>
      </c>
    </row>
    <row r="6" spans="1:20" x14ac:dyDescent="0.3">
      <c r="A6" s="3"/>
      <c r="B6" s="4">
        <v>4</v>
      </c>
      <c r="C6" s="2">
        <v>2.91</v>
      </c>
      <c r="D6" s="2"/>
      <c r="E6" s="2">
        <v>3.14</v>
      </c>
      <c r="F6" s="2">
        <v>3.13</v>
      </c>
      <c r="G6" s="2"/>
      <c r="H6" s="2"/>
      <c r="I6" s="2"/>
      <c r="L6" s="4">
        <v>4</v>
      </c>
      <c r="M6" s="2">
        <f t="shared" si="0"/>
        <v>9.18</v>
      </c>
      <c r="N6" s="2">
        <f>SUM(F3:F9)</f>
        <v>8.51</v>
      </c>
      <c r="O6" s="2">
        <f t="shared" si="1"/>
        <v>72.420099999999991</v>
      </c>
      <c r="P6" s="2">
        <f>N3+N5+N6</f>
        <v>25.240000000000002</v>
      </c>
      <c r="Q6" s="2">
        <f t="shared" si="2"/>
        <v>8.413333333333334</v>
      </c>
      <c r="R6" s="2">
        <f t="shared" si="3"/>
        <v>0.76666666666666572</v>
      </c>
      <c r="S6" s="2">
        <f t="shared" si="4"/>
        <v>0.58777777777777629</v>
      </c>
      <c r="T6" s="2">
        <f t="shared" si="5"/>
        <v>84.27239999999999</v>
      </c>
    </row>
    <row r="7" spans="1:20" x14ac:dyDescent="0.3">
      <c r="A7" s="3"/>
      <c r="B7" s="4">
        <v>5</v>
      </c>
      <c r="C7" s="2"/>
      <c r="D7" s="2">
        <v>3.1</v>
      </c>
      <c r="E7" s="2"/>
      <c r="F7" s="2">
        <v>2.63</v>
      </c>
      <c r="G7" s="2">
        <v>2.84</v>
      </c>
      <c r="H7" s="2"/>
      <c r="I7" s="2"/>
      <c r="L7" s="4">
        <v>5</v>
      </c>
      <c r="M7" s="2">
        <f t="shared" si="0"/>
        <v>8.57</v>
      </c>
      <c r="N7" s="2">
        <f>SUM(G3:G9)</f>
        <v>7.8199999999999994</v>
      </c>
      <c r="O7" s="2">
        <f t="shared" si="1"/>
        <v>61.152399999999993</v>
      </c>
      <c r="P7" s="2">
        <f>N4+N6+N7</f>
        <v>23.57</v>
      </c>
      <c r="Q7" s="2">
        <f t="shared" si="2"/>
        <v>7.8566666666666665</v>
      </c>
      <c r="R7" s="2">
        <f t="shared" si="3"/>
        <v>0.71333333333333382</v>
      </c>
      <c r="S7" s="2">
        <f t="shared" si="4"/>
        <v>0.5088444444444451</v>
      </c>
      <c r="T7" s="2">
        <f t="shared" si="5"/>
        <v>73.444900000000004</v>
      </c>
    </row>
    <row r="8" spans="1:20" x14ac:dyDescent="0.3">
      <c r="A8" s="3"/>
      <c r="B8" s="4">
        <v>6</v>
      </c>
      <c r="C8" s="2"/>
      <c r="D8" s="2"/>
      <c r="E8" s="2">
        <v>2.99</v>
      </c>
      <c r="F8" s="2"/>
      <c r="G8" s="2">
        <v>3.13</v>
      </c>
      <c r="H8" s="2">
        <v>3.01</v>
      </c>
      <c r="I8" s="2"/>
      <c r="L8" s="4">
        <v>6</v>
      </c>
      <c r="M8" s="2">
        <f t="shared" si="0"/>
        <v>9.129999999999999</v>
      </c>
      <c r="N8" s="2">
        <f>SUM(H3:H9)</f>
        <v>7.82</v>
      </c>
      <c r="O8" s="2">
        <f t="shared" si="1"/>
        <v>61.152400000000007</v>
      </c>
      <c r="P8" s="2">
        <f>N5+N7+N8</f>
        <v>24.69</v>
      </c>
      <c r="Q8" s="2">
        <f t="shared" si="2"/>
        <v>8.23</v>
      </c>
      <c r="R8" s="2">
        <f t="shared" si="3"/>
        <v>0.89999999999999858</v>
      </c>
      <c r="S8" s="2">
        <f t="shared" si="4"/>
        <v>0.80999999999999739</v>
      </c>
      <c r="T8" s="2">
        <f t="shared" si="5"/>
        <v>83.356899999999982</v>
      </c>
    </row>
    <row r="9" spans="1:20" x14ac:dyDescent="0.3">
      <c r="A9" s="3"/>
      <c r="B9" s="4">
        <v>7</v>
      </c>
      <c r="C9" s="2"/>
      <c r="D9" s="2"/>
      <c r="E9" s="2"/>
      <c r="F9" s="2">
        <v>2.75</v>
      </c>
      <c r="G9" s="2"/>
      <c r="H9" s="2">
        <v>2.99</v>
      </c>
      <c r="I9" s="2">
        <v>2.86</v>
      </c>
      <c r="L9" s="4">
        <v>7</v>
      </c>
      <c r="M9" s="2">
        <f t="shared" si="0"/>
        <v>8.6</v>
      </c>
      <c r="N9" s="2">
        <f>SUM(I3:I9)</f>
        <v>10.14</v>
      </c>
      <c r="O9" s="2">
        <f t="shared" si="1"/>
        <v>102.81960000000001</v>
      </c>
      <c r="P9" s="2">
        <f>N6+N8+N9</f>
        <v>26.47</v>
      </c>
      <c r="Q9" s="2">
        <f t="shared" si="2"/>
        <v>8.8233333333333324</v>
      </c>
      <c r="R9" s="2">
        <f t="shared" si="3"/>
        <v>-0.22333333333333272</v>
      </c>
      <c r="S9" s="2">
        <f t="shared" si="4"/>
        <v>4.98777777777775E-2</v>
      </c>
      <c r="T9" s="2">
        <f t="shared" si="5"/>
        <v>73.959999999999994</v>
      </c>
    </row>
    <row r="11" spans="1:20" x14ac:dyDescent="0.3">
      <c r="B11" s="4" t="s">
        <v>49</v>
      </c>
      <c r="C11" s="2">
        <v>7</v>
      </c>
      <c r="E11" s="1" t="s">
        <v>50</v>
      </c>
      <c r="F11" s="1"/>
      <c r="G11" s="1"/>
      <c r="H11" s="1"/>
      <c r="I11" s="1"/>
      <c r="J11" s="1"/>
      <c r="L11" s="4" t="s">
        <v>51</v>
      </c>
      <c r="M11" s="2">
        <f>SUM(M3:M9)</f>
        <v>58.26</v>
      </c>
    </row>
    <row r="12" spans="1:20" x14ac:dyDescent="0.3">
      <c r="B12" s="4" t="s">
        <v>52</v>
      </c>
      <c r="C12" s="2">
        <v>7</v>
      </c>
      <c r="E12" s="6"/>
      <c r="F12" s="6"/>
      <c r="G12" s="6"/>
      <c r="H12" s="6"/>
      <c r="L12" s="4" t="s">
        <v>53</v>
      </c>
      <c r="M12" s="2">
        <f>C13*C11</f>
        <v>21</v>
      </c>
    </row>
    <row r="13" spans="1:20" x14ac:dyDescent="0.3">
      <c r="B13" s="4" t="s">
        <v>54</v>
      </c>
      <c r="C13" s="2">
        <v>3</v>
      </c>
      <c r="L13" s="4" t="s">
        <v>55</v>
      </c>
      <c r="M13" s="2">
        <f>M11^2/M12</f>
        <v>161.62988571428571</v>
      </c>
    </row>
    <row r="14" spans="1:20" x14ac:dyDescent="0.3">
      <c r="B14" s="4" t="s">
        <v>56</v>
      </c>
      <c r="C14" s="2">
        <v>3</v>
      </c>
      <c r="L14" s="4" t="s">
        <v>57</v>
      </c>
      <c r="M14" s="2">
        <f>SUMSQ(C3:I9)-M13</f>
        <v>7.1855142857143051</v>
      </c>
    </row>
    <row r="15" spans="1:20" x14ac:dyDescent="0.3">
      <c r="B15" s="4" t="s">
        <v>58</v>
      </c>
      <c r="C15" s="2">
        <v>1</v>
      </c>
      <c r="L15" s="4" t="s">
        <v>59</v>
      </c>
      <c r="M15" s="2">
        <f>(SUM(O3:O9)/C13)-M13</f>
        <v>1.9857809523809635</v>
      </c>
    </row>
    <row r="16" spans="1:20" x14ac:dyDescent="0.3">
      <c r="B16" s="4" t="s">
        <v>60</v>
      </c>
      <c r="C16" s="2">
        <f>(C15*C11)/(C13*C14)</f>
        <v>0.77777777777777779</v>
      </c>
      <c r="L16" s="4" t="s">
        <v>61</v>
      </c>
      <c r="M16" s="2">
        <f>SUM(S3:S9)/(C13*C16)</f>
        <v>3.2563047619047616</v>
      </c>
    </row>
    <row r="17" spans="3:13" x14ac:dyDescent="0.3">
      <c r="L17" s="4" t="s">
        <v>62</v>
      </c>
      <c r="M17" s="2">
        <f>M14-M15-M16</f>
        <v>1.9434285714285799</v>
      </c>
    </row>
    <row r="20" spans="3:13" x14ac:dyDescent="0.3">
      <c r="C20" s="4" t="s">
        <v>63</v>
      </c>
      <c r="D20" s="4" t="s">
        <v>64</v>
      </c>
      <c r="E20" s="4" t="s">
        <v>65</v>
      </c>
      <c r="F20" s="4" t="s">
        <v>66</v>
      </c>
      <c r="G20" s="4" t="s">
        <v>67</v>
      </c>
    </row>
    <row r="21" spans="3:13" x14ac:dyDescent="0.3">
      <c r="C21" s="4" t="s">
        <v>68</v>
      </c>
      <c r="D21" s="2">
        <f>C11-1</f>
        <v>6</v>
      </c>
      <c r="E21" s="2">
        <f>M16</f>
        <v>3.2563047619047616</v>
      </c>
      <c r="F21" s="2">
        <f>E21/D21</f>
        <v>0.54271746031746027</v>
      </c>
      <c r="G21" s="2">
        <f>F21/F23</f>
        <v>2.2340618772256424</v>
      </c>
      <c r="H21">
        <f>FINV(0.05,6,8)</f>
        <v>3.5805803197614603</v>
      </c>
    </row>
    <row r="22" spans="3:13" x14ac:dyDescent="0.3">
      <c r="C22" s="4" t="s">
        <v>69</v>
      </c>
      <c r="D22" s="2">
        <f>C12-1</f>
        <v>6</v>
      </c>
      <c r="E22" s="2">
        <f>M15</f>
        <v>1.9857809523809635</v>
      </c>
      <c r="F22" s="2">
        <f t="shared" ref="F22:F23" si="6">E22/D22</f>
        <v>0.3309634920634939</v>
      </c>
      <c r="G22" s="2">
        <f>F22/F23</f>
        <v>1.3623901466888839</v>
      </c>
    </row>
    <row r="23" spans="3:13" x14ac:dyDescent="0.3">
      <c r="C23" s="4" t="s">
        <v>70</v>
      </c>
      <c r="D23" s="2">
        <f>(21-1-D22-D21)</f>
        <v>8</v>
      </c>
      <c r="E23" s="2">
        <f>M17</f>
        <v>1.9434285714285799</v>
      </c>
      <c r="F23" s="2">
        <f t="shared" si="6"/>
        <v>0.24292857142857249</v>
      </c>
      <c r="G23" s="2"/>
    </row>
    <row r="24" spans="3:13" x14ac:dyDescent="0.3">
      <c r="C24" s="4" t="s">
        <v>71</v>
      </c>
      <c r="D24" s="2">
        <f>SUM(D21:D23)</f>
        <v>20</v>
      </c>
      <c r="E24" s="2"/>
      <c r="F24" s="2"/>
      <c r="G24" s="2"/>
    </row>
  </sheetData>
  <mergeCells count="11">
    <mergeCell ref="R1:R2"/>
    <mergeCell ref="S1:S2"/>
    <mergeCell ref="T1:T2"/>
    <mergeCell ref="A3:A9"/>
    <mergeCell ref="E11:J11"/>
    <mergeCell ref="C1:I1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5967-6DC7-4BBA-812D-FCC083E5880E}">
  <dimension ref="A1:Q21"/>
  <sheetViews>
    <sheetView workbookViewId="0">
      <selection activeCell="N22" sqref="N22"/>
    </sheetView>
  </sheetViews>
  <sheetFormatPr defaultRowHeight="14.4" x14ac:dyDescent="0.3"/>
  <sheetData>
    <row r="1" spans="1:17" x14ac:dyDescent="0.3">
      <c r="A1" s="24"/>
      <c r="B1" s="24" t="s">
        <v>117</v>
      </c>
      <c r="C1" s="24" t="s">
        <v>128</v>
      </c>
      <c r="D1" s="24" t="s">
        <v>129</v>
      </c>
      <c r="E1" s="24" t="s">
        <v>132</v>
      </c>
      <c r="F1" s="24"/>
      <c r="G1" s="24"/>
      <c r="H1" s="24"/>
      <c r="I1" s="24"/>
      <c r="J1" s="24"/>
      <c r="K1" s="22" t="s">
        <v>124</v>
      </c>
      <c r="L1" s="22"/>
      <c r="M1" s="22"/>
      <c r="N1" s="22"/>
      <c r="O1" s="24"/>
      <c r="P1" s="24"/>
      <c r="Q1" s="24"/>
    </row>
    <row r="2" spans="1:17" ht="57.6" x14ac:dyDescent="0.3">
      <c r="A2" s="24"/>
      <c r="B2" s="6" t="s">
        <v>125</v>
      </c>
      <c r="C2" s="6">
        <v>10</v>
      </c>
      <c r="D2" s="6" t="s">
        <v>126</v>
      </c>
      <c r="E2" s="6">
        <v>11</v>
      </c>
      <c r="F2" s="25" t="s">
        <v>23</v>
      </c>
      <c r="G2" s="24"/>
      <c r="H2" s="24"/>
      <c r="I2" s="24"/>
      <c r="J2" s="24"/>
      <c r="K2" s="33" t="s">
        <v>127</v>
      </c>
      <c r="L2" s="24"/>
      <c r="M2" s="24"/>
      <c r="N2" s="24"/>
      <c r="O2" s="24"/>
      <c r="P2" s="24"/>
      <c r="Q2" s="24"/>
    </row>
    <row r="3" spans="1:17" x14ac:dyDescent="0.3">
      <c r="A3" s="24" t="s">
        <v>23</v>
      </c>
      <c r="B3" s="24">
        <v>64</v>
      </c>
      <c r="C3" s="24">
        <v>25</v>
      </c>
      <c r="D3" s="24">
        <v>30</v>
      </c>
      <c r="E3" s="24">
        <v>6</v>
      </c>
      <c r="F3" s="25">
        <f>SUM(B3:E3)</f>
        <v>125</v>
      </c>
      <c r="G3" s="24"/>
      <c r="H3" s="24"/>
      <c r="I3" s="24"/>
      <c r="J3" s="24"/>
      <c r="K3" s="24" t="s">
        <v>117</v>
      </c>
      <c r="L3" s="24">
        <f>B7</f>
        <v>290</v>
      </c>
      <c r="M3" s="24">
        <f>L4+L3</f>
        <v>374</v>
      </c>
      <c r="N3" s="24">
        <f>M4+M3</f>
        <v>586</v>
      </c>
      <c r="O3" s="24">
        <f>N3^2</f>
        <v>343396</v>
      </c>
      <c r="P3" s="24"/>
      <c r="Q3" s="24"/>
    </row>
    <row r="4" spans="1:17" x14ac:dyDescent="0.3">
      <c r="A4" s="24"/>
      <c r="B4" s="24">
        <v>75</v>
      </c>
      <c r="C4" s="24">
        <v>14</v>
      </c>
      <c r="D4" s="24">
        <v>50</v>
      </c>
      <c r="E4" s="24">
        <v>33</v>
      </c>
      <c r="F4" s="25">
        <f t="shared" ref="F4:F6" si="0">SUM(B4:E4)</f>
        <v>172</v>
      </c>
      <c r="G4" s="24"/>
      <c r="H4" s="24"/>
      <c r="I4" s="24"/>
      <c r="J4" s="24"/>
      <c r="K4" s="24" t="s">
        <v>128</v>
      </c>
      <c r="L4" s="24">
        <f>C7</f>
        <v>84</v>
      </c>
      <c r="M4" s="24">
        <f>L6+L5</f>
        <v>212</v>
      </c>
      <c r="N4" s="24">
        <f>M6+M5</f>
        <v>-286</v>
      </c>
      <c r="O4" s="24">
        <f t="shared" ref="O4:O6" si="1">N4^2</f>
        <v>81796</v>
      </c>
      <c r="P4" s="24">
        <f>O4/(B$11)</f>
        <v>5112.25</v>
      </c>
      <c r="Q4" s="24"/>
    </row>
    <row r="5" spans="1:17" x14ac:dyDescent="0.3">
      <c r="A5" s="24"/>
      <c r="B5" s="24">
        <v>76</v>
      </c>
      <c r="C5" s="24">
        <v>12</v>
      </c>
      <c r="D5" s="24">
        <v>41</v>
      </c>
      <c r="E5" s="24">
        <v>17</v>
      </c>
      <c r="F5" s="25">
        <f t="shared" si="0"/>
        <v>146</v>
      </c>
      <c r="G5" s="24"/>
      <c r="H5" s="24"/>
      <c r="I5" s="24"/>
      <c r="J5" s="24"/>
      <c r="K5" s="24" t="s">
        <v>129</v>
      </c>
      <c r="L5" s="24">
        <f>D7</f>
        <v>146</v>
      </c>
      <c r="M5" s="24">
        <f>L4-L3</f>
        <v>-206</v>
      </c>
      <c r="N5" s="24">
        <f>M4-M3</f>
        <v>-162</v>
      </c>
      <c r="O5" s="24">
        <f t="shared" si="1"/>
        <v>26244</v>
      </c>
      <c r="P5" s="24">
        <f t="shared" ref="P5" si="2">O5/(B$11)</f>
        <v>1640.25</v>
      </c>
      <c r="Q5" s="24"/>
    </row>
    <row r="6" spans="1:17" x14ac:dyDescent="0.3">
      <c r="A6" s="24"/>
      <c r="B6" s="24">
        <v>75</v>
      </c>
      <c r="C6" s="24">
        <v>33</v>
      </c>
      <c r="D6" s="24">
        <v>25</v>
      </c>
      <c r="E6" s="24">
        <v>10</v>
      </c>
      <c r="F6" s="25">
        <f t="shared" si="0"/>
        <v>143</v>
      </c>
      <c r="G6" s="24"/>
      <c r="H6" s="24"/>
      <c r="I6" s="24"/>
      <c r="J6" s="24"/>
      <c r="K6" s="24" t="s">
        <v>132</v>
      </c>
      <c r="L6" s="24">
        <f>E7</f>
        <v>66</v>
      </c>
      <c r="M6" s="24">
        <f>L6-L5</f>
        <v>-80</v>
      </c>
      <c r="N6" s="24">
        <f>M6-M5</f>
        <v>126</v>
      </c>
      <c r="O6" s="24">
        <f t="shared" si="1"/>
        <v>15876</v>
      </c>
      <c r="P6" s="24">
        <f>O6/(B$11)</f>
        <v>992.25</v>
      </c>
      <c r="Q6" s="24"/>
    </row>
    <row r="7" spans="1:17" x14ac:dyDescent="0.3">
      <c r="A7" s="19" t="s">
        <v>21</v>
      </c>
      <c r="B7" s="19">
        <f>SUM(B3:B6)</f>
        <v>290</v>
      </c>
      <c r="C7" s="25">
        <f t="shared" ref="C7:E7" si="3">SUM(C3:C6)</f>
        <v>84</v>
      </c>
      <c r="D7" s="19">
        <f t="shared" si="3"/>
        <v>146</v>
      </c>
      <c r="E7" s="19">
        <f t="shared" si="3"/>
        <v>66</v>
      </c>
      <c r="F7" s="24"/>
      <c r="G7" s="24"/>
      <c r="H7" s="24"/>
      <c r="I7" s="24"/>
      <c r="J7" s="24"/>
      <c r="K7" s="24"/>
      <c r="L7" s="24"/>
      <c r="M7" s="24"/>
      <c r="N7" s="24"/>
      <c r="O7" s="24" t="s">
        <v>143</v>
      </c>
      <c r="P7" s="24">
        <f>SUM(P4:P6)</f>
        <v>7744.75</v>
      </c>
      <c r="Q7" s="24"/>
    </row>
    <row r="8" spans="1:17" x14ac:dyDescent="0.3">
      <c r="A8" s="28" t="s">
        <v>133</v>
      </c>
      <c r="B8" s="29">
        <f>SUM(B3:E6)</f>
        <v>586</v>
      </c>
      <c r="C8" s="24"/>
      <c r="D8" s="28" t="s">
        <v>134</v>
      </c>
      <c r="E8" s="29">
        <f>(B8^2)/B11</f>
        <v>21462.25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3">
      <c r="A9" s="28" t="s">
        <v>136</v>
      </c>
      <c r="B9" s="29">
        <v>4</v>
      </c>
      <c r="C9" s="24"/>
      <c r="D9" s="28" t="s">
        <v>137</v>
      </c>
      <c r="E9" s="29">
        <f>SUMSQ(B3:E6)</f>
        <v>30396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3">
      <c r="A10" s="28" t="s">
        <v>139</v>
      </c>
      <c r="B10" s="29">
        <v>4</v>
      </c>
      <c r="C10" s="24"/>
      <c r="D10" s="28" t="s">
        <v>140</v>
      </c>
      <c r="E10" s="29">
        <f>E9-E8</f>
        <v>8933.75</v>
      </c>
      <c r="F10" s="24"/>
      <c r="G10" s="24"/>
      <c r="H10" s="24"/>
      <c r="I10" s="24"/>
      <c r="J10" s="24"/>
      <c r="K10" s="24" t="s">
        <v>150</v>
      </c>
      <c r="L10" s="24" t="s">
        <v>151</v>
      </c>
      <c r="M10" s="24" t="s">
        <v>152</v>
      </c>
      <c r="N10" s="24" t="s">
        <v>153</v>
      </c>
      <c r="O10" s="31" t="s">
        <v>154</v>
      </c>
      <c r="P10" s="31"/>
      <c r="Q10" s="31"/>
    </row>
    <row r="11" spans="1:17" x14ac:dyDescent="0.3">
      <c r="A11" s="28" t="s">
        <v>142</v>
      </c>
      <c r="B11" s="29">
        <f>B9*B10</f>
        <v>16</v>
      </c>
      <c r="C11" s="24"/>
      <c r="D11" s="28" t="s">
        <v>143</v>
      </c>
      <c r="E11" s="29">
        <f>(SUMSQ(B7:E7)/B9)-E8</f>
        <v>7744.75</v>
      </c>
      <c r="F11" s="24"/>
      <c r="G11" s="24"/>
      <c r="H11" s="24"/>
      <c r="I11" s="24"/>
      <c r="J11" s="24"/>
      <c r="K11" s="24" t="s">
        <v>23</v>
      </c>
      <c r="L11" s="24">
        <f>B9-1</f>
        <v>3</v>
      </c>
      <c r="M11" s="24">
        <f>E12</f>
        <v>281.25</v>
      </c>
      <c r="N11" s="24">
        <f>M11/L11</f>
        <v>93.75</v>
      </c>
      <c r="O11" s="24">
        <f>N11/N$15</f>
        <v>0.9294960066097494</v>
      </c>
      <c r="P11" s="24"/>
      <c r="Q11" s="24"/>
    </row>
    <row r="12" spans="1:17" x14ac:dyDescent="0.3">
      <c r="A12" s="24"/>
      <c r="B12" s="24"/>
      <c r="C12" s="24"/>
      <c r="D12" s="28" t="s">
        <v>144</v>
      </c>
      <c r="E12" s="29">
        <f>(SUMSQ(F3:F6)/B10)-E8</f>
        <v>281.25</v>
      </c>
      <c r="F12" s="24"/>
      <c r="G12" s="24"/>
      <c r="H12" s="24"/>
      <c r="I12" s="24"/>
      <c r="J12" s="24"/>
      <c r="K12" s="24" t="s">
        <v>157</v>
      </c>
      <c r="L12" s="24">
        <f>1</f>
        <v>1</v>
      </c>
      <c r="M12" s="24">
        <f>P4</f>
        <v>5112.25</v>
      </c>
      <c r="N12" s="24">
        <f>M12/L12</f>
        <v>5112.25</v>
      </c>
      <c r="O12" s="24">
        <f t="shared" ref="O12:O14" si="4">N12/N$15</f>
        <v>50.68603690443404</v>
      </c>
      <c r="P12" s="24"/>
      <c r="Q12" s="24"/>
    </row>
    <row r="13" spans="1:17" x14ac:dyDescent="0.3">
      <c r="A13" s="24"/>
      <c r="B13" s="24"/>
      <c r="C13" s="24"/>
      <c r="D13" s="28" t="s">
        <v>145</v>
      </c>
      <c r="E13" s="29">
        <f>E10-E11-E12</f>
        <v>907.75</v>
      </c>
      <c r="F13" s="24"/>
      <c r="G13" s="24"/>
      <c r="H13" s="24"/>
      <c r="I13" s="24"/>
      <c r="J13" s="24"/>
      <c r="K13" s="24" t="s">
        <v>158</v>
      </c>
      <c r="L13" s="24">
        <v>1</v>
      </c>
      <c r="M13" s="24">
        <f>P5</f>
        <v>1640.25</v>
      </c>
      <c r="N13" s="24">
        <f t="shared" ref="N13:N14" si="5">M13/L13</f>
        <v>1640.25</v>
      </c>
      <c r="O13" s="24">
        <f t="shared" si="4"/>
        <v>16.262462131644174</v>
      </c>
      <c r="P13" s="24"/>
      <c r="Q13" s="24"/>
    </row>
    <row r="14" spans="1:17" ht="15" thickBot="1" x14ac:dyDescent="0.35">
      <c r="A14" s="24"/>
      <c r="B14" s="24" t="s">
        <v>146</v>
      </c>
      <c r="C14" s="24"/>
      <c r="D14" s="24"/>
      <c r="E14" s="24"/>
      <c r="F14" s="24"/>
      <c r="G14" s="24"/>
      <c r="H14" s="24"/>
      <c r="I14" s="24"/>
      <c r="J14" s="24"/>
      <c r="K14" s="24" t="s">
        <v>167</v>
      </c>
      <c r="L14" s="24">
        <v>1</v>
      </c>
      <c r="M14" s="24">
        <f>P6</f>
        <v>992.25</v>
      </c>
      <c r="N14" s="24">
        <f t="shared" si="5"/>
        <v>992.25</v>
      </c>
      <c r="O14" s="24">
        <f t="shared" si="4"/>
        <v>9.8377857339575865</v>
      </c>
      <c r="P14" s="24"/>
      <c r="Q14" s="24"/>
    </row>
    <row r="15" spans="1:17" x14ac:dyDescent="0.3">
      <c r="A15" s="24"/>
      <c r="B15" s="30" t="s">
        <v>147</v>
      </c>
      <c r="C15" s="30" t="s">
        <v>13</v>
      </c>
      <c r="D15" s="30" t="s">
        <v>12</v>
      </c>
      <c r="E15" s="30" t="s">
        <v>14</v>
      </c>
      <c r="F15" s="30" t="s">
        <v>93</v>
      </c>
      <c r="G15" s="30" t="s">
        <v>148</v>
      </c>
      <c r="H15" s="30" t="s">
        <v>149</v>
      </c>
      <c r="I15" s="24"/>
      <c r="J15" s="24"/>
      <c r="K15" s="31" t="s">
        <v>22</v>
      </c>
      <c r="L15" s="24">
        <f>L16-L11-L12-L13-L14</f>
        <v>9</v>
      </c>
      <c r="M15" s="24">
        <f>M16-(M12+M13+M14+M11)</f>
        <v>907.75</v>
      </c>
      <c r="N15" s="24">
        <f>M15/L15</f>
        <v>100.86111111111111</v>
      </c>
      <c r="O15" s="24"/>
      <c r="P15" s="24"/>
      <c r="Q15" s="24"/>
    </row>
    <row r="16" spans="1:17" x14ac:dyDescent="0.3">
      <c r="A16" s="24"/>
      <c r="B16" s="24" t="s">
        <v>23</v>
      </c>
      <c r="C16" s="24">
        <v>281.25</v>
      </c>
      <c r="D16" s="24">
        <v>3</v>
      </c>
      <c r="E16" s="24">
        <v>93.75</v>
      </c>
      <c r="F16" s="24">
        <v>0.9294960066097494</v>
      </c>
      <c r="G16" s="24">
        <v>0.46541320088824423</v>
      </c>
      <c r="H16" s="24">
        <v>3.8625483576247648</v>
      </c>
      <c r="I16" s="24"/>
      <c r="J16" s="24"/>
      <c r="K16" s="24" t="s">
        <v>0</v>
      </c>
      <c r="L16" s="24">
        <f>B11-1</f>
        <v>15</v>
      </c>
      <c r="M16" s="24">
        <f>E10</f>
        <v>8933.75</v>
      </c>
      <c r="N16" s="24"/>
      <c r="O16" s="24"/>
      <c r="P16" s="24"/>
      <c r="Q16" s="24"/>
    </row>
    <row r="17" spans="1:17" x14ac:dyDescent="0.3">
      <c r="A17" s="24"/>
      <c r="B17" s="24" t="s">
        <v>21</v>
      </c>
      <c r="C17" s="24">
        <v>7744.75</v>
      </c>
      <c r="D17" s="24">
        <v>3</v>
      </c>
      <c r="E17" s="24">
        <v>2581.5833333333335</v>
      </c>
      <c r="F17" s="24">
        <v>25.595428256678602</v>
      </c>
      <c r="G17" s="24">
        <v>9.7047884849555289E-5</v>
      </c>
      <c r="H17" s="24">
        <v>3.8625483576247648</v>
      </c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3">
      <c r="A18" s="24"/>
      <c r="B18" s="24" t="s">
        <v>22</v>
      </c>
      <c r="C18" s="24">
        <v>907.75</v>
      </c>
      <c r="D18" s="24">
        <v>9</v>
      </c>
      <c r="E18" s="24">
        <v>100.86111111111111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ht="15" thickBot="1" x14ac:dyDescent="0.35">
      <c r="A20" s="24"/>
      <c r="B20" s="32" t="s">
        <v>0</v>
      </c>
      <c r="C20" s="32">
        <v>8933.75</v>
      </c>
      <c r="D20" s="32">
        <v>15</v>
      </c>
      <c r="E20" s="32"/>
      <c r="F20" s="32"/>
      <c r="G20" s="32"/>
      <c r="H20" s="32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</sheetData>
  <mergeCells count="1">
    <mergeCell ref="K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9DC8-08EA-42E6-969B-25AF8A5B8AB6}">
  <dimension ref="A1:S28"/>
  <sheetViews>
    <sheetView workbookViewId="0">
      <selection activeCell="S20" sqref="S20"/>
    </sheetView>
  </sheetViews>
  <sheetFormatPr defaultRowHeight="14.4" x14ac:dyDescent="0.3"/>
  <sheetData>
    <row r="1" spans="1:19" x14ac:dyDescent="0.3">
      <c r="A1" s="24"/>
      <c r="B1" s="24" t="s">
        <v>117</v>
      </c>
      <c r="C1" s="24" t="s">
        <v>128</v>
      </c>
      <c r="D1" s="24" t="s">
        <v>129</v>
      </c>
      <c r="E1" s="24" t="s">
        <v>130</v>
      </c>
      <c r="F1" s="24" t="s">
        <v>132</v>
      </c>
      <c r="G1" s="24" t="s">
        <v>135</v>
      </c>
      <c r="H1" s="24" t="s">
        <v>138</v>
      </c>
      <c r="I1" s="24" t="s">
        <v>141</v>
      </c>
      <c r="J1" s="24"/>
      <c r="K1" s="24"/>
      <c r="L1" s="24"/>
      <c r="M1" s="22" t="s">
        <v>124</v>
      </c>
      <c r="N1" s="22"/>
      <c r="O1" s="22"/>
      <c r="P1" s="22"/>
      <c r="Q1" s="24"/>
      <c r="R1" s="24"/>
      <c r="S1" s="24"/>
    </row>
    <row r="2" spans="1:19" x14ac:dyDescent="0.3">
      <c r="A2" s="24"/>
      <c r="B2" s="6" t="s">
        <v>125</v>
      </c>
      <c r="C2" s="6">
        <v>10</v>
      </c>
      <c r="D2" s="6" t="s">
        <v>126</v>
      </c>
      <c r="E2" s="6">
        <v>11</v>
      </c>
      <c r="F2" s="6"/>
      <c r="G2" s="6"/>
      <c r="H2" s="6"/>
      <c r="I2" s="6"/>
      <c r="J2" s="25" t="s">
        <v>115</v>
      </c>
      <c r="K2" s="24"/>
      <c r="L2" s="24"/>
      <c r="M2" s="24" t="s">
        <v>127</v>
      </c>
      <c r="N2" s="24"/>
      <c r="O2" s="24"/>
      <c r="P2" s="24"/>
      <c r="Q2" s="24"/>
      <c r="R2" s="24"/>
      <c r="S2" s="24"/>
    </row>
    <row r="3" spans="1:19" x14ac:dyDescent="0.3">
      <c r="A3" s="24" t="s">
        <v>23</v>
      </c>
      <c r="B3" s="24">
        <v>28</v>
      </c>
      <c r="C3" s="24">
        <v>42</v>
      </c>
      <c r="D3" s="24">
        <v>31</v>
      </c>
      <c r="E3" s="24">
        <v>38</v>
      </c>
      <c r="F3" s="24">
        <v>37</v>
      </c>
      <c r="G3" s="24">
        <v>30</v>
      </c>
      <c r="H3" s="24">
        <v>23</v>
      </c>
      <c r="I3" s="24">
        <v>47</v>
      </c>
      <c r="J3" s="25">
        <f>SUM(B3:I3)</f>
        <v>276</v>
      </c>
      <c r="K3" s="24"/>
      <c r="L3" s="24"/>
      <c r="M3" s="24" t="s">
        <v>117</v>
      </c>
      <c r="N3" s="24">
        <f t="array" ref="N3:N10">TRANSPOSE(B7:I7)</f>
        <v>102</v>
      </c>
      <c r="O3" s="24">
        <f>N4+N3</f>
        <v>259</v>
      </c>
      <c r="P3" s="24">
        <f>O4+O3</f>
        <v>525</v>
      </c>
      <c r="Q3" s="24">
        <f>P4+P3</f>
        <v>1091</v>
      </c>
      <c r="R3" s="24">
        <f>Q3^2</f>
        <v>1190281</v>
      </c>
      <c r="S3" s="24"/>
    </row>
    <row r="4" spans="1:19" x14ac:dyDescent="0.3">
      <c r="A4" s="24"/>
      <c r="B4" s="24">
        <v>24</v>
      </c>
      <c r="C4" s="24">
        <v>39</v>
      </c>
      <c r="D4" s="24">
        <v>27</v>
      </c>
      <c r="E4" s="24">
        <v>33</v>
      </c>
      <c r="F4" s="24">
        <v>34</v>
      </c>
      <c r="G4" s="24">
        <v>42</v>
      </c>
      <c r="H4" s="24">
        <v>41</v>
      </c>
      <c r="I4" s="24">
        <v>32</v>
      </c>
      <c r="J4" s="25">
        <f>SUM(B4:I4)</f>
        <v>272</v>
      </c>
      <c r="K4" s="24"/>
      <c r="L4" s="24"/>
      <c r="M4" s="24" t="s">
        <v>128</v>
      </c>
      <c r="N4" s="24">
        <v>157</v>
      </c>
      <c r="O4" s="24">
        <f>N6+N5</f>
        <v>266</v>
      </c>
      <c r="P4" s="24">
        <f>O6+O5</f>
        <v>566</v>
      </c>
      <c r="Q4" s="24">
        <f>P6+P5</f>
        <v>119</v>
      </c>
      <c r="R4" s="24">
        <f t="shared" ref="R4:R10" si="0">Q4^2</f>
        <v>14161</v>
      </c>
      <c r="S4" s="24">
        <f>R4/B$11</f>
        <v>442.53125</v>
      </c>
    </row>
    <row r="5" spans="1:19" x14ac:dyDescent="0.3">
      <c r="A5" s="24"/>
      <c r="B5" s="24">
        <v>27</v>
      </c>
      <c r="C5" s="24">
        <v>32</v>
      </c>
      <c r="D5" s="24">
        <v>28</v>
      </c>
      <c r="E5" s="24">
        <v>35</v>
      </c>
      <c r="F5" s="24">
        <v>33</v>
      </c>
      <c r="G5" s="24">
        <v>36</v>
      </c>
      <c r="H5" s="24">
        <v>27</v>
      </c>
      <c r="I5" s="24">
        <v>37</v>
      </c>
      <c r="J5" s="25">
        <f>SUM(B5:I5)</f>
        <v>255</v>
      </c>
      <c r="K5" s="24"/>
      <c r="L5" s="24"/>
      <c r="M5" s="24" t="s">
        <v>129</v>
      </c>
      <c r="N5" s="24">
        <v>119</v>
      </c>
      <c r="O5" s="24">
        <f>SUM(N7:N8)</f>
        <v>278</v>
      </c>
      <c r="P5" s="24">
        <f>SUM(O7:O8)</f>
        <v>83</v>
      </c>
      <c r="Q5" s="24">
        <f>SUM(P7:P8)</f>
        <v>17</v>
      </c>
      <c r="R5" s="24">
        <f t="shared" si="0"/>
        <v>289</v>
      </c>
      <c r="S5" s="24">
        <f t="shared" ref="S5:S10" si="1">R5/B$11</f>
        <v>9.03125</v>
      </c>
    </row>
    <row r="6" spans="1:19" x14ac:dyDescent="0.3">
      <c r="A6" s="24"/>
      <c r="B6" s="24">
        <v>23</v>
      </c>
      <c r="C6" s="24">
        <v>44</v>
      </c>
      <c r="D6" s="24">
        <v>33</v>
      </c>
      <c r="E6" s="24">
        <v>41</v>
      </c>
      <c r="F6" s="24">
        <v>32</v>
      </c>
      <c r="G6" s="24">
        <v>34</v>
      </c>
      <c r="H6" s="24">
        <v>38</v>
      </c>
      <c r="I6" s="24">
        <v>43</v>
      </c>
      <c r="J6" s="25">
        <f>SUM(B6:I6)</f>
        <v>288</v>
      </c>
      <c r="K6" s="24"/>
      <c r="L6" s="24"/>
      <c r="M6" s="24" t="s">
        <v>130</v>
      </c>
      <c r="N6" s="24">
        <v>147</v>
      </c>
      <c r="O6" s="24">
        <f>SUM(N9:N10)</f>
        <v>288</v>
      </c>
      <c r="P6" s="24">
        <f>SUM(O9:O10)</f>
        <v>36</v>
      </c>
      <c r="Q6" s="24">
        <f>SUM(P9:P10)</f>
        <v>-3</v>
      </c>
      <c r="R6" s="24">
        <f t="shared" si="0"/>
        <v>9</v>
      </c>
      <c r="S6" s="24">
        <f t="shared" si="1"/>
        <v>0.28125</v>
      </c>
    </row>
    <row r="7" spans="1:19" x14ac:dyDescent="0.3">
      <c r="A7" s="19" t="s">
        <v>131</v>
      </c>
      <c r="B7" s="19">
        <f>SUM(B3:B6)</f>
        <v>102</v>
      </c>
      <c r="C7" s="25">
        <f t="shared" ref="C7:I7" si="2">SUM(C3:C6)</f>
        <v>157</v>
      </c>
      <c r="D7" s="19">
        <f t="shared" si="2"/>
        <v>119</v>
      </c>
      <c r="E7" s="19">
        <f t="shared" si="2"/>
        <v>147</v>
      </c>
      <c r="F7" s="19">
        <f t="shared" si="2"/>
        <v>136</v>
      </c>
      <c r="G7" s="19">
        <f t="shared" si="2"/>
        <v>142</v>
      </c>
      <c r="H7" s="19">
        <f t="shared" si="2"/>
        <v>129</v>
      </c>
      <c r="I7" s="19">
        <f t="shared" si="2"/>
        <v>159</v>
      </c>
      <c r="J7" s="24"/>
      <c r="K7" s="24"/>
      <c r="L7" s="24"/>
      <c r="M7" s="24" t="s">
        <v>132</v>
      </c>
      <c r="N7" s="24">
        <v>136</v>
      </c>
      <c r="O7" s="24">
        <f>N4-N3</f>
        <v>55</v>
      </c>
      <c r="P7" s="24">
        <f>O4-O3</f>
        <v>7</v>
      </c>
      <c r="Q7" s="24">
        <f>P4-P3</f>
        <v>41</v>
      </c>
      <c r="R7" s="24">
        <f t="shared" si="0"/>
        <v>1681</v>
      </c>
      <c r="S7" s="24">
        <f>R7/B$11</f>
        <v>52.53125</v>
      </c>
    </row>
    <row r="8" spans="1:19" x14ac:dyDescent="0.3">
      <c r="A8" s="28" t="s">
        <v>133</v>
      </c>
      <c r="B8" s="29">
        <f>SUM(B3:I6)</f>
        <v>1091</v>
      </c>
      <c r="C8" s="24"/>
      <c r="D8" s="28" t="s">
        <v>134</v>
      </c>
      <c r="E8" s="29">
        <f>(B8^2)/B11</f>
        <v>37196.28125</v>
      </c>
      <c r="F8" s="24"/>
      <c r="G8" s="24"/>
      <c r="H8" s="24"/>
      <c r="I8" s="24"/>
      <c r="J8" s="24"/>
      <c r="K8" s="24"/>
      <c r="L8" s="24"/>
      <c r="M8" s="24" t="s">
        <v>135</v>
      </c>
      <c r="N8" s="24">
        <v>142</v>
      </c>
      <c r="O8" s="24">
        <f>N6-N5</f>
        <v>28</v>
      </c>
      <c r="P8" s="24">
        <f>O6-O5</f>
        <v>10</v>
      </c>
      <c r="Q8" s="24">
        <f>P6-P5</f>
        <v>-47</v>
      </c>
      <c r="R8" s="24">
        <f t="shared" si="0"/>
        <v>2209</v>
      </c>
      <c r="S8" s="24">
        <f t="shared" si="1"/>
        <v>69.03125</v>
      </c>
    </row>
    <row r="9" spans="1:19" x14ac:dyDescent="0.3">
      <c r="A9" s="28" t="s">
        <v>136</v>
      </c>
      <c r="B9" s="29">
        <v>4</v>
      </c>
      <c r="C9" s="24"/>
      <c r="D9" s="28" t="s">
        <v>137</v>
      </c>
      <c r="E9" s="29">
        <f>SUMSQ(B3:I6)</f>
        <v>38453</v>
      </c>
      <c r="F9" s="24"/>
      <c r="G9" s="24"/>
      <c r="H9" s="24"/>
      <c r="I9" s="24"/>
      <c r="J9" s="24"/>
      <c r="K9" s="24"/>
      <c r="L9" s="24"/>
      <c r="M9" s="24" t="s">
        <v>138</v>
      </c>
      <c r="N9" s="24">
        <v>129</v>
      </c>
      <c r="O9" s="24">
        <f>N8-N7</f>
        <v>6</v>
      </c>
      <c r="P9" s="24">
        <f>O8-O7</f>
        <v>-27</v>
      </c>
      <c r="Q9" s="24">
        <f>P8-P7</f>
        <v>3</v>
      </c>
      <c r="R9" s="24">
        <f t="shared" si="0"/>
        <v>9</v>
      </c>
      <c r="S9" s="24">
        <f t="shared" si="1"/>
        <v>0.28125</v>
      </c>
    </row>
    <row r="10" spans="1:19" x14ac:dyDescent="0.3">
      <c r="A10" s="28" t="s">
        <v>139</v>
      </c>
      <c r="B10" s="29">
        <v>8</v>
      </c>
      <c r="C10" s="24"/>
      <c r="D10" s="28" t="s">
        <v>140</v>
      </c>
      <c r="E10" s="29">
        <f>E9-E8</f>
        <v>1256.71875</v>
      </c>
      <c r="F10" s="24"/>
      <c r="G10" s="24"/>
      <c r="H10" s="24"/>
      <c r="I10" s="24"/>
      <c r="J10" s="24"/>
      <c r="K10" s="24"/>
      <c r="L10" s="24"/>
      <c r="M10" s="24" t="s">
        <v>141</v>
      </c>
      <c r="N10" s="24">
        <v>159</v>
      </c>
      <c r="O10" s="24">
        <f>N10-N9</f>
        <v>30</v>
      </c>
      <c r="P10" s="24">
        <f>O10-O9</f>
        <v>24</v>
      </c>
      <c r="Q10" s="24">
        <f>P10-P9</f>
        <v>51</v>
      </c>
      <c r="R10" s="24">
        <f t="shared" si="0"/>
        <v>2601</v>
      </c>
      <c r="S10" s="24">
        <f t="shared" si="1"/>
        <v>81.28125</v>
      </c>
    </row>
    <row r="11" spans="1:19" x14ac:dyDescent="0.3">
      <c r="A11" s="28" t="s">
        <v>142</v>
      </c>
      <c r="B11" s="29">
        <f>B9*B10</f>
        <v>32</v>
      </c>
      <c r="C11" s="24"/>
      <c r="D11" s="28" t="s">
        <v>143</v>
      </c>
      <c r="E11" s="29">
        <f>(SUMSQ(B7:I7)/B9)-E8</f>
        <v>654.96875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 t="s">
        <v>143</v>
      </c>
      <c r="S11" s="24">
        <f>SUM(S4:S10)</f>
        <v>654.96875</v>
      </c>
    </row>
    <row r="12" spans="1:19" x14ac:dyDescent="0.3">
      <c r="A12" s="24"/>
      <c r="B12" s="24"/>
      <c r="C12" s="24"/>
      <c r="D12" s="28" t="s">
        <v>144</v>
      </c>
      <c r="E12" s="29">
        <f>(SUMSQ(J3:J6)/B10)-E8</f>
        <v>69.84375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3">
      <c r="A13" s="24"/>
      <c r="B13" s="24"/>
      <c r="C13" s="24"/>
      <c r="D13" s="28" t="s">
        <v>145</v>
      </c>
      <c r="E13" s="29">
        <f>E10-E11-E12</f>
        <v>531.90625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15" thickBot="1" x14ac:dyDescent="0.35">
      <c r="A15" s="24" t="s">
        <v>146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3">
      <c r="A16" s="30" t="s">
        <v>147</v>
      </c>
      <c r="B16" s="30" t="s">
        <v>13</v>
      </c>
      <c r="C16" s="30" t="s">
        <v>12</v>
      </c>
      <c r="D16" s="30" t="s">
        <v>14</v>
      </c>
      <c r="E16" s="30" t="s">
        <v>93</v>
      </c>
      <c r="F16" s="30" t="s">
        <v>148</v>
      </c>
      <c r="G16" s="30" t="s">
        <v>149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24" t="s">
        <v>166</v>
      </c>
      <c r="B17" s="24">
        <v>69.84375</v>
      </c>
      <c r="C17" s="24">
        <v>3</v>
      </c>
      <c r="D17" s="24">
        <v>23.28125</v>
      </c>
      <c r="E17" s="24">
        <v>0.91915868632865283</v>
      </c>
      <c r="F17" s="24">
        <v>0.4486652224694212</v>
      </c>
      <c r="G17" s="24">
        <v>3.0724669863968779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3">
      <c r="A18" s="24" t="s">
        <v>21</v>
      </c>
      <c r="B18" s="24">
        <v>654.96875</v>
      </c>
      <c r="C18" s="24">
        <v>7</v>
      </c>
      <c r="D18" s="24">
        <v>93.566964285714292</v>
      </c>
      <c r="E18" s="24">
        <v>3.6940837788614069</v>
      </c>
      <c r="F18" s="24">
        <v>9.3074396486054894E-3</v>
      </c>
      <c r="G18" s="24">
        <v>2.487577703722041</v>
      </c>
      <c r="H18" s="24"/>
      <c r="I18" s="24"/>
      <c r="J18" s="24"/>
      <c r="K18" s="24"/>
      <c r="L18" s="24"/>
      <c r="M18" s="24" t="s">
        <v>150</v>
      </c>
      <c r="N18" s="24" t="s">
        <v>151</v>
      </c>
      <c r="O18" s="24" t="s">
        <v>152</v>
      </c>
      <c r="P18" s="24" t="s">
        <v>153</v>
      </c>
      <c r="Q18" s="31" t="s">
        <v>154</v>
      </c>
      <c r="R18" s="31"/>
      <c r="S18" s="24"/>
    </row>
    <row r="19" spans="1:19" x14ac:dyDescent="0.3">
      <c r="A19" s="24" t="s">
        <v>22</v>
      </c>
      <c r="B19" s="24">
        <v>531.90625</v>
      </c>
      <c r="C19" s="24">
        <v>21</v>
      </c>
      <c r="D19" s="24">
        <v>25.328869047619047</v>
      </c>
      <c r="E19" s="24"/>
      <c r="F19" s="24"/>
      <c r="G19" s="24"/>
      <c r="H19" s="24"/>
      <c r="I19" s="24"/>
      <c r="J19" s="24"/>
      <c r="K19" s="24"/>
      <c r="L19" s="24"/>
      <c r="M19" s="24" t="s">
        <v>23</v>
      </c>
      <c r="N19" s="24">
        <f>B9-1</f>
        <v>3</v>
      </c>
      <c r="O19" s="24">
        <f>E12</f>
        <v>69.84375</v>
      </c>
      <c r="P19" s="24">
        <f>O19/N19</f>
        <v>23.28125</v>
      </c>
      <c r="Q19" s="24">
        <f>P19/P$27</f>
        <v>0.91915868632865283</v>
      </c>
      <c r="R19" s="24"/>
      <c r="S19" s="24"/>
    </row>
    <row r="20" spans="1:19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 t="s">
        <v>157</v>
      </c>
      <c r="N20" s="24">
        <v>1</v>
      </c>
      <c r="O20" s="24">
        <f t="shared" ref="O20:O26" si="3">S4</f>
        <v>442.53125</v>
      </c>
      <c r="P20" s="24">
        <f t="shared" ref="P20:P27" si="4">O20/N20</f>
        <v>442.53125</v>
      </c>
      <c r="Q20" s="24">
        <f t="shared" ref="Q20:Q26" si="5">P20/P$27</f>
        <v>17.471417660536982</v>
      </c>
      <c r="R20" s="24"/>
      <c r="S20" s="24"/>
    </row>
    <row r="21" spans="1:19" ht="15" thickBot="1" x14ac:dyDescent="0.35">
      <c r="A21" s="32" t="s">
        <v>0</v>
      </c>
      <c r="B21" s="32">
        <v>1256.71875</v>
      </c>
      <c r="C21" s="32">
        <v>31</v>
      </c>
      <c r="D21" s="32"/>
      <c r="E21" s="32"/>
      <c r="F21" s="32"/>
      <c r="G21" s="32"/>
      <c r="H21" s="24"/>
      <c r="I21" s="24"/>
      <c r="J21" s="24"/>
      <c r="K21" s="24"/>
      <c r="L21" s="24"/>
      <c r="M21" s="24" t="s">
        <v>158</v>
      </c>
      <c r="N21" s="24">
        <v>1</v>
      </c>
      <c r="O21" s="24">
        <f t="shared" si="3"/>
        <v>9.03125</v>
      </c>
      <c r="P21" s="24">
        <f t="shared" si="4"/>
        <v>9.03125</v>
      </c>
      <c r="Q21" s="24">
        <f t="shared" si="5"/>
        <v>0.3565595440925915</v>
      </c>
      <c r="R21" s="24"/>
      <c r="S21" s="24"/>
    </row>
    <row r="22" spans="1:19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 t="s">
        <v>159</v>
      </c>
      <c r="N22" s="24">
        <v>1</v>
      </c>
      <c r="O22" s="24">
        <f t="shared" si="3"/>
        <v>0.28125</v>
      </c>
      <c r="P22" s="24">
        <f t="shared" si="4"/>
        <v>0.28125</v>
      </c>
      <c r="Q22" s="24">
        <f t="shared" si="5"/>
        <v>1.1103930438869631E-2</v>
      </c>
      <c r="R22" s="24"/>
      <c r="S22" s="24"/>
    </row>
    <row r="23" spans="1:19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 t="s">
        <v>160</v>
      </c>
      <c r="N23" s="24">
        <v>1</v>
      </c>
      <c r="O23" s="24">
        <f t="shared" si="3"/>
        <v>52.53125</v>
      </c>
      <c r="P23" s="24">
        <f t="shared" si="4"/>
        <v>52.53125</v>
      </c>
      <c r="Q23" s="24">
        <f t="shared" si="5"/>
        <v>2.0739674519710944</v>
      </c>
      <c r="R23" s="24"/>
      <c r="S23" s="24"/>
    </row>
    <row r="24" spans="1:19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 t="s">
        <v>161</v>
      </c>
      <c r="N24" s="24">
        <v>1</v>
      </c>
      <c r="O24" s="24">
        <f t="shared" si="3"/>
        <v>69.03125</v>
      </c>
      <c r="P24" s="24">
        <f t="shared" si="4"/>
        <v>69.03125</v>
      </c>
      <c r="Q24" s="24">
        <f t="shared" si="5"/>
        <v>2.7253980377181128</v>
      </c>
      <c r="R24" s="24"/>
      <c r="S24" s="24"/>
    </row>
    <row r="25" spans="1:19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 t="s">
        <v>162</v>
      </c>
      <c r="N25" s="24">
        <v>1</v>
      </c>
      <c r="O25" s="24">
        <f t="shared" si="3"/>
        <v>0.28125</v>
      </c>
      <c r="P25" s="24">
        <f t="shared" si="4"/>
        <v>0.28125</v>
      </c>
      <c r="Q25" s="24">
        <f t="shared" si="5"/>
        <v>1.1103930438869631E-2</v>
      </c>
      <c r="R25" s="24"/>
      <c r="S25" s="24"/>
    </row>
    <row r="26" spans="1:19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 t="s">
        <v>163</v>
      </c>
      <c r="N26" s="24">
        <v>1</v>
      </c>
      <c r="O26" s="24">
        <f t="shared" si="3"/>
        <v>81.28125</v>
      </c>
      <c r="P26" s="24">
        <f t="shared" si="4"/>
        <v>81.28125</v>
      </c>
      <c r="Q26" s="24">
        <f t="shared" si="5"/>
        <v>3.2090358968333237</v>
      </c>
      <c r="R26" s="24"/>
      <c r="S26" s="24"/>
    </row>
    <row r="27" spans="1:19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 t="s">
        <v>22</v>
      </c>
      <c r="N27" s="24">
        <f>N28-SUM(N19:N26)</f>
        <v>21</v>
      </c>
      <c r="O27" s="24">
        <f>O28-SUM(O19:O26)</f>
        <v>531.90625</v>
      </c>
      <c r="P27" s="24">
        <f t="shared" si="4"/>
        <v>25.328869047619047</v>
      </c>
      <c r="Q27" s="24"/>
      <c r="R27" s="24"/>
      <c r="S27" s="24"/>
    </row>
    <row r="28" spans="1:19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 t="s">
        <v>0</v>
      </c>
      <c r="N28" s="24">
        <f>B11-1</f>
        <v>31</v>
      </c>
      <c r="O28" s="24">
        <f>E10</f>
        <v>1256.71875</v>
      </c>
      <c r="P28" s="24"/>
      <c r="Q28" s="24"/>
      <c r="R28" s="24"/>
      <c r="S28" s="24"/>
    </row>
  </sheetData>
  <mergeCells count="1">
    <mergeCell ref="M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9FCC-BE3A-4A21-9D27-35E1D3F5FFC2}">
  <dimension ref="A1:M27"/>
  <sheetViews>
    <sheetView workbookViewId="0">
      <selection activeCell="M21" sqref="M21"/>
    </sheetView>
  </sheetViews>
  <sheetFormatPr defaultRowHeight="14.4" x14ac:dyDescent="0.3"/>
  <sheetData>
    <row r="1" spans="1:13" x14ac:dyDescent="0.3">
      <c r="A1" s="24"/>
      <c r="B1" s="24" t="s">
        <v>117</v>
      </c>
      <c r="C1" s="24" t="s">
        <v>164</v>
      </c>
      <c r="D1" s="24" t="s">
        <v>88</v>
      </c>
      <c r="E1" s="24" t="s">
        <v>165</v>
      </c>
      <c r="F1" s="24"/>
      <c r="G1" s="24"/>
      <c r="H1" s="22" t="s">
        <v>124</v>
      </c>
      <c r="I1" s="22"/>
      <c r="J1" s="22"/>
      <c r="K1" s="22"/>
      <c r="L1" s="24"/>
      <c r="M1" s="24"/>
    </row>
    <row r="2" spans="1:13" ht="57.6" x14ac:dyDescent="0.3">
      <c r="A2" s="24"/>
      <c r="B2" s="6" t="s">
        <v>125</v>
      </c>
      <c r="C2" s="6">
        <v>10</v>
      </c>
      <c r="D2" s="6" t="s">
        <v>126</v>
      </c>
      <c r="E2" s="6">
        <v>11</v>
      </c>
      <c r="F2" s="25" t="s">
        <v>23</v>
      </c>
      <c r="G2" s="24"/>
      <c r="H2" s="33" t="s">
        <v>127</v>
      </c>
      <c r="I2" s="24"/>
      <c r="J2" s="24"/>
      <c r="K2" s="24"/>
      <c r="L2" s="24"/>
      <c r="M2" s="24"/>
    </row>
    <row r="3" spans="1:13" x14ac:dyDescent="0.3">
      <c r="A3" s="24" t="s">
        <v>23</v>
      </c>
      <c r="B3" s="24">
        <v>117</v>
      </c>
      <c r="C3" s="24">
        <v>106</v>
      </c>
      <c r="D3" s="24">
        <v>114</v>
      </c>
      <c r="E3" s="24">
        <v>109</v>
      </c>
      <c r="F3" s="25">
        <f>SUM(B3:E3)</f>
        <v>446</v>
      </c>
      <c r="G3" s="24"/>
      <c r="H3" s="24" t="s">
        <v>117</v>
      </c>
      <c r="I3" s="24">
        <f t="array" ref="I3:I6">TRANSPOSE(B9:E9)</f>
        <v>610</v>
      </c>
      <c r="J3" s="24">
        <f>I4+I3</f>
        <v>1273</v>
      </c>
      <c r="K3" s="24">
        <f>J4+J3</f>
        <v>2437</v>
      </c>
      <c r="L3" s="24">
        <f>K3^2</f>
        <v>5938969</v>
      </c>
      <c r="M3" s="24"/>
    </row>
    <row r="4" spans="1:13" x14ac:dyDescent="0.3">
      <c r="A4" s="24"/>
      <c r="B4" s="24">
        <v>120</v>
      </c>
      <c r="C4" s="24">
        <v>117</v>
      </c>
      <c r="D4" s="24">
        <v>114</v>
      </c>
      <c r="E4" s="24">
        <v>114</v>
      </c>
      <c r="F4" s="25">
        <f t="shared" ref="F4:F8" si="0">SUM(B4:E4)</f>
        <v>465</v>
      </c>
      <c r="G4" s="24"/>
      <c r="H4" s="24" t="s">
        <v>128</v>
      </c>
      <c r="I4" s="24">
        <v>663</v>
      </c>
      <c r="J4" s="24">
        <f>I6+I5</f>
        <v>1164</v>
      </c>
      <c r="K4" s="24">
        <f>J6+J5</f>
        <v>93</v>
      </c>
      <c r="L4" s="24">
        <f t="shared" ref="L4:L6" si="1">K4^2</f>
        <v>8649</v>
      </c>
      <c r="M4" s="24">
        <f>L4/(B$13)</f>
        <v>360.375</v>
      </c>
    </row>
    <row r="5" spans="1:13" x14ac:dyDescent="0.3">
      <c r="A5" s="24"/>
      <c r="B5" s="24">
        <v>111</v>
      </c>
      <c r="C5" s="24">
        <v>114</v>
      </c>
      <c r="D5" s="24">
        <v>117</v>
      </c>
      <c r="E5" s="24">
        <v>106</v>
      </c>
      <c r="F5" s="25">
        <f t="shared" si="0"/>
        <v>448</v>
      </c>
      <c r="G5" s="24"/>
      <c r="H5" s="24" t="s">
        <v>129</v>
      </c>
      <c r="I5" s="24">
        <v>562</v>
      </c>
      <c r="J5" s="24">
        <f>I4-I3</f>
        <v>53</v>
      </c>
      <c r="K5" s="24">
        <f>J4-J3</f>
        <v>-109</v>
      </c>
      <c r="L5" s="24">
        <f t="shared" si="1"/>
        <v>11881</v>
      </c>
      <c r="M5" s="24">
        <f t="shared" ref="M5:M6" si="2">L5/(B$13)</f>
        <v>495.04166666666669</v>
      </c>
    </row>
    <row r="6" spans="1:13" x14ac:dyDescent="0.3">
      <c r="A6" s="24"/>
      <c r="B6" s="24">
        <v>108</v>
      </c>
      <c r="C6" s="24">
        <v>112</v>
      </c>
      <c r="D6" s="24">
        <v>121</v>
      </c>
      <c r="E6" s="24">
        <v>93</v>
      </c>
      <c r="F6" s="25">
        <f t="shared" si="0"/>
        <v>434</v>
      </c>
      <c r="G6" s="24"/>
      <c r="H6" s="24" t="s">
        <v>132</v>
      </c>
      <c r="I6" s="24">
        <v>602</v>
      </c>
      <c r="J6" s="24">
        <f>I6-I5</f>
        <v>40</v>
      </c>
      <c r="K6" s="24">
        <f>J6-J5</f>
        <v>-13</v>
      </c>
      <c r="L6" s="24">
        <f t="shared" si="1"/>
        <v>169</v>
      </c>
      <c r="M6" s="24">
        <f t="shared" si="2"/>
        <v>7.041666666666667</v>
      </c>
    </row>
    <row r="7" spans="1:13" x14ac:dyDescent="0.3">
      <c r="A7" s="24"/>
      <c r="B7" s="24">
        <v>73</v>
      </c>
      <c r="C7" s="24">
        <v>97</v>
      </c>
      <c r="D7" s="24">
        <v>38</v>
      </c>
      <c r="E7" s="24">
        <v>75</v>
      </c>
      <c r="F7" s="25">
        <f t="shared" si="0"/>
        <v>283</v>
      </c>
      <c r="G7" s="24"/>
      <c r="H7" s="24"/>
      <c r="I7" s="24"/>
      <c r="J7" s="24"/>
      <c r="K7" s="24"/>
      <c r="L7" s="24" t="s">
        <v>143</v>
      </c>
      <c r="M7" s="24">
        <f>SUM(M4:M6)</f>
        <v>862.45833333333337</v>
      </c>
    </row>
    <row r="8" spans="1:13" x14ac:dyDescent="0.3">
      <c r="A8" s="24"/>
      <c r="B8" s="24">
        <v>81</v>
      </c>
      <c r="C8" s="24">
        <v>117</v>
      </c>
      <c r="D8" s="24">
        <v>58</v>
      </c>
      <c r="E8" s="24">
        <v>105</v>
      </c>
      <c r="F8" s="25">
        <f t="shared" si="0"/>
        <v>361</v>
      </c>
      <c r="G8" s="24"/>
      <c r="H8" s="24"/>
      <c r="I8" s="24"/>
      <c r="J8" s="24"/>
      <c r="K8" s="24"/>
      <c r="L8" s="24"/>
      <c r="M8" s="24"/>
    </row>
    <row r="9" spans="1:13" x14ac:dyDescent="0.3">
      <c r="A9" s="19" t="s">
        <v>21</v>
      </c>
      <c r="B9" s="19">
        <f>SUM(B3:B8)</f>
        <v>610</v>
      </c>
      <c r="C9" s="19">
        <f t="shared" ref="C9:D9" si="3">SUM(C3:C8)</f>
        <v>663</v>
      </c>
      <c r="D9" s="19">
        <f t="shared" si="3"/>
        <v>562</v>
      </c>
      <c r="E9" s="19">
        <f>SUM(E3:E8)</f>
        <v>602</v>
      </c>
      <c r="F9" s="24"/>
      <c r="G9" s="24"/>
      <c r="H9" s="24"/>
      <c r="I9" s="24"/>
      <c r="J9" s="24"/>
      <c r="K9" s="24"/>
      <c r="L9" s="24"/>
      <c r="M9" s="24"/>
    </row>
    <row r="10" spans="1:13" x14ac:dyDescent="0.3">
      <c r="A10" s="28" t="s">
        <v>133</v>
      </c>
      <c r="B10" s="29">
        <f>SUM(B3:E8)</f>
        <v>2437</v>
      </c>
      <c r="C10" s="24"/>
      <c r="D10" s="28" t="s">
        <v>134</v>
      </c>
      <c r="E10" s="29">
        <f>(B10^2)/B13</f>
        <v>247457.04166666666</v>
      </c>
      <c r="F10" s="24"/>
      <c r="G10" s="24"/>
      <c r="H10" s="24"/>
      <c r="I10" s="24"/>
      <c r="J10" s="24"/>
      <c r="K10" s="24"/>
      <c r="L10" s="24"/>
      <c r="M10" s="24"/>
    </row>
    <row r="11" spans="1:13" x14ac:dyDescent="0.3">
      <c r="A11" s="28" t="s">
        <v>136</v>
      </c>
      <c r="B11" s="29">
        <v>6</v>
      </c>
      <c r="C11" s="24"/>
      <c r="D11" s="28" t="s">
        <v>137</v>
      </c>
      <c r="E11" s="29">
        <f>SUMSQ(B3:E8)</f>
        <v>258069</v>
      </c>
      <c r="F11" s="24"/>
      <c r="G11" s="24"/>
      <c r="H11" s="24"/>
      <c r="I11" s="24"/>
      <c r="J11" s="24"/>
      <c r="K11" s="24"/>
      <c r="L11" s="24"/>
      <c r="M11" s="24"/>
    </row>
    <row r="12" spans="1:13" x14ac:dyDescent="0.3">
      <c r="A12" s="28" t="s">
        <v>139</v>
      </c>
      <c r="B12" s="29">
        <v>4</v>
      </c>
      <c r="C12" s="24"/>
      <c r="D12" s="28" t="s">
        <v>140</v>
      </c>
      <c r="E12" s="29">
        <f>E11-E10</f>
        <v>10611.958333333343</v>
      </c>
      <c r="F12" s="24"/>
      <c r="G12" s="24"/>
      <c r="H12" s="24"/>
      <c r="I12" s="24"/>
      <c r="J12" s="24"/>
      <c r="K12" s="24"/>
      <c r="L12" s="24"/>
      <c r="M12" s="24"/>
    </row>
    <row r="13" spans="1:13" x14ac:dyDescent="0.3">
      <c r="A13" s="28" t="s">
        <v>142</v>
      </c>
      <c r="B13" s="29">
        <f>B11*B12</f>
        <v>24</v>
      </c>
      <c r="C13" s="24"/>
      <c r="D13" s="28" t="s">
        <v>143</v>
      </c>
      <c r="E13" s="29">
        <f>(SUMSQ(B9:E9)/B11)-E10</f>
        <v>862.45833333334303</v>
      </c>
      <c r="F13" s="24"/>
      <c r="G13" s="24"/>
      <c r="H13" s="24"/>
      <c r="I13" s="24"/>
      <c r="J13" s="24"/>
      <c r="K13" s="24"/>
      <c r="L13" s="24"/>
      <c r="M13" s="24"/>
    </row>
    <row r="14" spans="1:13" x14ac:dyDescent="0.3">
      <c r="A14" s="24"/>
      <c r="B14" s="24"/>
      <c r="C14" s="24"/>
      <c r="D14" s="28" t="s">
        <v>144</v>
      </c>
      <c r="E14" s="29">
        <f>(SUMSQ(F3:F8)/B12)-E10</f>
        <v>6195.708333333343</v>
      </c>
      <c r="F14" s="24"/>
      <c r="G14" s="24"/>
      <c r="H14" s="24"/>
      <c r="I14" s="24"/>
      <c r="J14" s="24"/>
      <c r="K14" s="24"/>
      <c r="L14" s="24"/>
      <c r="M14" s="24"/>
    </row>
    <row r="15" spans="1:13" x14ac:dyDescent="0.3">
      <c r="A15" s="24"/>
      <c r="B15" s="24"/>
      <c r="C15" s="24"/>
      <c r="D15" s="28" t="s">
        <v>145</v>
      </c>
      <c r="E15" s="29">
        <f>E12-E13-E14</f>
        <v>3553.791666666657</v>
      </c>
      <c r="F15" s="24"/>
      <c r="G15" s="24"/>
      <c r="H15" s="24"/>
      <c r="I15" s="24"/>
      <c r="J15" s="24"/>
      <c r="K15" s="24"/>
      <c r="L15" s="24"/>
      <c r="M15" s="24"/>
    </row>
    <row r="16" spans="1:13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15" thickBot="1" x14ac:dyDescent="0.35">
      <c r="A21" s="24" t="s">
        <v>146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3">
      <c r="A22" s="30" t="s">
        <v>147</v>
      </c>
      <c r="B22" s="30" t="s">
        <v>13</v>
      </c>
      <c r="C22" s="30" t="s">
        <v>12</v>
      </c>
      <c r="D22" s="30" t="s">
        <v>14</v>
      </c>
      <c r="E22" s="30" t="s">
        <v>93</v>
      </c>
      <c r="F22" s="30" t="s">
        <v>148</v>
      </c>
      <c r="G22" s="30" t="s">
        <v>149</v>
      </c>
      <c r="H22" s="24"/>
      <c r="I22" s="24"/>
      <c r="J22" s="24"/>
      <c r="K22" s="24"/>
      <c r="L22" s="24"/>
      <c r="M22" s="24"/>
    </row>
    <row r="23" spans="1:13" x14ac:dyDescent="0.3">
      <c r="A23" s="24" t="s">
        <v>155</v>
      </c>
      <c r="B23" s="24">
        <v>6195.7083333333321</v>
      </c>
      <c r="C23" s="24">
        <v>5</v>
      </c>
      <c r="D23" s="24">
        <v>1239.1416666666664</v>
      </c>
      <c r="E23" s="24">
        <v>5.2302235874828495</v>
      </c>
      <c r="F23" s="24">
        <v>5.6164954961963054E-3</v>
      </c>
      <c r="G23" s="24">
        <v>2.90129453623616</v>
      </c>
      <c r="H23" s="24"/>
      <c r="I23" s="24"/>
      <c r="J23" s="24"/>
      <c r="K23" s="24"/>
      <c r="L23" s="24"/>
      <c r="M23" s="24"/>
    </row>
    <row r="24" spans="1:13" x14ac:dyDescent="0.3">
      <c r="A24" s="24" t="s">
        <v>156</v>
      </c>
      <c r="B24" s="24">
        <v>862.45833333333212</v>
      </c>
      <c r="C24" s="24">
        <v>3</v>
      </c>
      <c r="D24" s="24">
        <v>287.48611111111069</v>
      </c>
      <c r="E24" s="24">
        <v>1.2134340082775417</v>
      </c>
      <c r="F24" s="24">
        <v>0.3389843530834391</v>
      </c>
      <c r="G24" s="24">
        <v>3.2873821046365093</v>
      </c>
      <c r="H24" s="24"/>
      <c r="I24" s="24"/>
      <c r="J24" s="24"/>
      <c r="K24" s="24"/>
      <c r="L24" s="24"/>
      <c r="M24" s="24"/>
    </row>
    <row r="25" spans="1:13" x14ac:dyDescent="0.3">
      <c r="A25" s="24" t="s">
        <v>22</v>
      </c>
      <c r="B25" s="24">
        <v>3553.7916666666679</v>
      </c>
      <c r="C25" s="24">
        <v>15</v>
      </c>
      <c r="D25" s="24">
        <v>236.91944444444454</v>
      </c>
      <c r="E25" s="24"/>
      <c r="F25" s="24"/>
      <c r="G25" s="24"/>
      <c r="H25" s="24"/>
      <c r="I25" s="24"/>
      <c r="J25" s="24"/>
      <c r="K25" s="24"/>
      <c r="L25" s="24"/>
      <c r="M25" s="24"/>
    </row>
    <row r="26" spans="1:13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 ht="15" thickBot="1" x14ac:dyDescent="0.35">
      <c r="A27" s="32" t="s">
        <v>0</v>
      </c>
      <c r="B27" s="32">
        <v>10611.958333333332</v>
      </c>
      <c r="C27" s="32">
        <v>23</v>
      </c>
      <c r="D27" s="32"/>
      <c r="E27" s="32"/>
      <c r="F27" s="32"/>
      <c r="G27" s="32"/>
      <c r="H27" s="24"/>
      <c r="I27" s="24"/>
      <c r="J27" s="24"/>
      <c r="K27" s="24"/>
      <c r="L27" s="24"/>
      <c r="M27" s="24"/>
    </row>
  </sheetData>
  <mergeCells count="1">
    <mergeCell ref="H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653-D6F2-4CBA-876D-48A37019DB59}">
  <dimension ref="A3:S31"/>
  <sheetViews>
    <sheetView tabSelected="1" topLeftCell="A3" workbookViewId="0">
      <selection activeCell="I25" sqref="I25"/>
    </sheetView>
  </sheetViews>
  <sheetFormatPr defaultRowHeight="14.4" x14ac:dyDescent="0.3"/>
  <sheetData>
    <row r="3" spans="1:19" x14ac:dyDescent="0.3">
      <c r="A3" s="24"/>
      <c r="B3" s="25" t="s">
        <v>117</v>
      </c>
      <c r="C3" s="25" t="s">
        <v>118</v>
      </c>
      <c r="D3" s="25" t="s">
        <v>119</v>
      </c>
      <c r="E3" s="25" t="s">
        <v>88</v>
      </c>
      <c r="F3" s="25" t="s">
        <v>120</v>
      </c>
      <c r="G3" s="25" t="s">
        <v>121</v>
      </c>
      <c r="H3" s="25" t="s">
        <v>122</v>
      </c>
      <c r="I3" s="25" t="s">
        <v>123</v>
      </c>
      <c r="J3" s="24"/>
      <c r="K3" s="24"/>
      <c r="L3" s="24"/>
      <c r="M3" s="22" t="s">
        <v>124</v>
      </c>
      <c r="N3" s="22"/>
      <c r="O3" s="22"/>
      <c r="P3" s="22"/>
      <c r="Q3" s="24"/>
      <c r="R3" s="24"/>
      <c r="S3" s="24"/>
    </row>
    <row r="4" spans="1:19" x14ac:dyDescent="0.3">
      <c r="A4" s="24"/>
      <c r="B4" s="6" t="s">
        <v>125</v>
      </c>
      <c r="C4" s="6">
        <v>10</v>
      </c>
      <c r="D4" s="6" t="s">
        <v>126</v>
      </c>
      <c r="E4" s="6">
        <v>11</v>
      </c>
      <c r="F4" s="6"/>
      <c r="G4" s="6"/>
      <c r="H4" s="6"/>
      <c r="I4" s="6"/>
      <c r="J4" s="25" t="s">
        <v>115</v>
      </c>
      <c r="K4" s="24"/>
      <c r="L4" s="24"/>
      <c r="M4" s="24" t="s">
        <v>127</v>
      </c>
      <c r="N4" s="24"/>
      <c r="O4" s="24"/>
      <c r="P4" s="24"/>
      <c r="Q4" s="24"/>
      <c r="R4" s="24"/>
      <c r="S4" s="24"/>
    </row>
    <row r="5" spans="1:19" x14ac:dyDescent="0.3">
      <c r="A5" s="24" t="s">
        <v>23</v>
      </c>
      <c r="B5" s="24">
        <v>47.2</v>
      </c>
      <c r="C5" s="24">
        <v>45.3</v>
      </c>
      <c r="D5" s="24">
        <v>44.7</v>
      </c>
      <c r="E5" s="24">
        <v>62.7</v>
      </c>
      <c r="F5" s="24">
        <v>50.6</v>
      </c>
      <c r="G5" s="24">
        <v>57.9</v>
      </c>
      <c r="H5" s="24">
        <v>63.4</v>
      </c>
      <c r="I5" s="24">
        <v>49.3</v>
      </c>
      <c r="J5" s="25">
        <f>SUM(B5:I5)</f>
        <v>421.09999999999997</v>
      </c>
      <c r="K5" s="24"/>
      <c r="L5" s="24"/>
      <c r="M5" s="24" t="s">
        <v>117</v>
      </c>
      <c r="N5" s="24">
        <f t="array" ref="N5:N12">TRANSPOSE(B9:I9)</f>
        <v>192.7</v>
      </c>
      <c r="O5" s="24">
        <f>N6+N5</f>
        <v>403.19999999999993</v>
      </c>
      <c r="P5" s="24">
        <f>O6+O5</f>
        <v>864.39999999999986</v>
      </c>
      <c r="Q5" s="24">
        <f>P6+P5</f>
        <v>1729.2999999999997</v>
      </c>
      <c r="R5" s="24">
        <f>Q5^2</f>
        <v>2990478.4899999988</v>
      </c>
      <c r="S5" s="24"/>
    </row>
    <row r="6" spans="1:19" x14ac:dyDescent="0.3">
      <c r="A6" s="24"/>
      <c r="B6" s="24">
        <v>51.2</v>
      </c>
      <c r="C6" s="24">
        <v>55.8</v>
      </c>
      <c r="D6" s="24">
        <v>56.6</v>
      </c>
      <c r="E6" s="24">
        <v>60.3</v>
      </c>
      <c r="F6" s="24">
        <v>47.7</v>
      </c>
      <c r="G6" s="24">
        <v>50.2</v>
      </c>
      <c r="H6" s="24">
        <v>52.3</v>
      </c>
      <c r="I6" s="24">
        <v>59.8</v>
      </c>
      <c r="J6" s="25">
        <f>SUM(B6:I6)</f>
        <v>433.9</v>
      </c>
      <c r="K6" s="24"/>
      <c r="L6" s="24"/>
      <c r="M6" s="24" t="s">
        <v>128</v>
      </c>
      <c r="N6" s="24">
        <v>210.49999999999997</v>
      </c>
      <c r="O6" s="24">
        <f>N8+N7</f>
        <v>461.2</v>
      </c>
      <c r="P6" s="24">
        <f>O8+O7</f>
        <v>864.89999999999986</v>
      </c>
      <c r="Q6" s="24">
        <f>P8+P7</f>
        <v>79.299999999999898</v>
      </c>
      <c r="R6" s="24">
        <f t="shared" ref="R6:R12" si="0">Q6^2</f>
        <v>6288.4899999999834</v>
      </c>
      <c r="S6" s="24">
        <f>R6/B$11</f>
        <v>1572.1224999999959</v>
      </c>
    </row>
    <row r="7" spans="1:19" x14ac:dyDescent="0.3">
      <c r="A7" s="24"/>
      <c r="B7" s="24">
        <v>51.1</v>
      </c>
      <c r="C7" s="24">
        <v>57.3</v>
      </c>
      <c r="D7" s="24">
        <v>63.2</v>
      </c>
      <c r="E7" s="24">
        <v>70.2</v>
      </c>
      <c r="F7" s="24">
        <v>53.2</v>
      </c>
      <c r="G7" s="24">
        <v>55.3</v>
      </c>
      <c r="H7" s="24">
        <v>59.8</v>
      </c>
      <c r="I7" s="24">
        <v>56.8</v>
      </c>
      <c r="J7" s="25">
        <f>SUM(B7:I7)</f>
        <v>466.90000000000003</v>
      </c>
      <c r="K7" s="24"/>
      <c r="L7" s="24"/>
      <c r="M7" s="24" t="s">
        <v>129</v>
      </c>
      <c r="N7" s="24">
        <v>206.8</v>
      </c>
      <c r="O7" s="24">
        <f>SUM(N9:N10)</f>
        <v>420.79999999999995</v>
      </c>
      <c r="P7" s="24">
        <f>SUM(O9:O10)</f>
        <v>65.399999999999949</v>
      </c>
      <c r="Q7" s="24">
        <f>SUM(P9:P10)</f>
        <v>81.300000000000068</v>
      </c>
      <c r="R7" s="24">
        <f t="shared" si="0"/>
        <v>6609.6900000000114</v>
      </c>
      <c r="S7" s="24">
        <f t="shared" ref="S7:S12" si="1">R7/B$11</f>
        <v>1652.4225000000029</v>
      </c>
    </row>
    <row r="8" spans="1:19" x14ac:dyDescent="0.3">
      <c r="A8" s="24"/>
      <c r="B8" s="24">
        <v>43.2</v>
      </c>
      <c r="C8" s="24">
        <v>52.1</v>
      </c>
      <c r="D8" s="24">
        <v>42.3</v>
      </c>
      <c r="E8" s="24">
        <v>61.2</v>
      </c>
      <c r="F8" s="24">
        <v>48.3</v>
      </c>
      <c r="G8" s="24">
        <v>57.6</v>
      </c>
      <c r="H8" s="24">
        <v>50.2</v>
      </c>
      <c r="I8" s="24">
        <v>52.5</v>
      </c>
      <c r="J8" s="25">
        <f>SUM(B8:I8)</f>
        <v>407.40000000000003</v>
      </c>
      <c r="K8" s="24"/>
      <c r="L8" s="24"/>
      <c r="M8" s="24" t="s">
        <v>130</v>
      </c>
      <c r="N8" s="24">
        <v>254.39999999999998</v>
      </c>
      <c r="O8" s="24">
        <f>SUM(N11:N12)</f>
        <v>444.09999999999997</v>
      </c>
      <c r="P8" s="24">
        <f>SUM(O11:O12)</f>
        <v>13.899999999999949</v>
      </c>
      <c r="Q8" s="24">
        <f>SUM(P11:P12)</f>
        <v>1.3000000000000114</v>
      </c>
      <c r="R8" s="24">
        <f t="shared" si="0"/>
        <v>1.6900000000000295</v>
      </c>
      <c r="S8" s="24">
        <f t="shared" si="1"/>
        <v>0.42250000000000737</v>
      </c>
    </row>
    <row r="9" spans="1:19" x14ac:dyDescent="0.3">
      <c r="A9" s="19" t="s">
        <v>131</v>
      </c>
      <c r="B9" s="19">
        <f>SUM(B5:B8)</f>
        <v>192.7</v>
      </c>
      <c r="C9" s="25">
        <f t="shared" ref="C9:I9" si="2">SUM(C5:C8)</f>
        <v>210.49999999999997</v>
      </c>
      <c r="D9" s="19">
        <f t="shared" si="2"/>
        <v>206.8</v>
      </c>
      <c r="E9" s="19">
        <f t="shared" si="2"/>
        <v>254.39999999999998</v>
      </c>
      <c r="F9" s="19">
        <f t="shared" si="2"/>
        <v>199.8</v>
      </c>
      <c r="G9" s="19">
        <f t="shared" si="2"/>
        <v>220.99999999999997</v>
      </c>
      <c r="H9" s="19">
        <f t="shared" si="2"/>
        <v>225.7</v>
      </c>
      <c r="I9" s="19">
        <f t="shared" si="2"/>
        <v>218.39999999999998</v>
      </c>
      <c r="J9" s="24"/>
      <c r="K9" s="24"/>
      <c r="L9" s="24"/>
      <c r="M9" s="24" t="s">
        <v>132</v>
      </c>
      <c r="N9" s="24">
        <v>199.8</v>
      </c>
      <c r="O9" s="24">
        <f>N6-N5</f>
        <v>17.799999999999983</v>
      </c>
      <c r="P9" s="24">
        <f>O6-O5</f>
        <v>58.000000000000057</v>
      </c>
      <c r="Q9" s="24">
        <f>P6-P5</f>
        <v>0.5</v>
      </c>
      <c r="R9" s="24">
        <f t="shared" si="0"/>
        <v>0.25</v>
      </c>
      <c r="S9" s="24">
        <f>R9/B$11</f>
        <v>6.25E-2</v>
      </c>
    </row>
    <row r="10" spans="1:19" x14ac:dyDescent="0.3">
      <c r="A10" s="28" t="s">
        <v>133</v>
      </c>
      <c r="B10" s="29">
        <f>SUM(B5:I8)</f>
        <v>1729.2999999999997</v>
      </c>
      <c r="C10" s="24"/>
      <c r="D10" s="28" t="s">
        <v>134</v>
      </c>
      <c r="E10" s="29">
        <f>(B10^2)/B13</f>
        <v>93452.452812499963</v>
      </c>
      <c r="F10" s="24"/>
      <c r="G10" s="24"/>
      <c r="H10" s="24"/>
      <c r="I10" s="24"/>
      <c r="J10" s="24"/>
      <c r="K10" s="24"/>
      <c r="L10" s="24"/>
      <c r="M10" s="24" t="s">
        <v>135</v>
      </c>
      <c r="N10" s="24">
        <v>220.99999999999997</v>
      </c>
      <c r="O10" s="24">
        <f>N8-N7</f>
        <v>47.599999999999966</v>
      </c>
      <c r="P10" s="24">
        <f>O8-O7</f>
        <v>23.300000000000011</v>
      </c>
      <c r="Q10" s="24">
        <f>P8-P7</f>
        <v>-51.5</v>
      </c>
      <c r="R10" s="24">
        <f t="shared" si="0"/>
        <v>2652.25</v>
      </c>
      <c r="S10" s="24">
        <f t="shared" si="1"/>
        <v>663.0625</v>
      </c>
    </row>
    <row r="11" spans="1:19" x14ac:dyDescent="0.3">
      <c r="A11" s="28" t="s">
        <v>136</v>
      </c>
      <c r="B11" s="29">
        <v>4</v>
      </c>
      <c r="C11" s="24"/>
      <c r="D11" s="28" t="s">
        <v>137</v>
      </c>
      <c r="E11" s="29">
        <f>SUMSQ(B5:I8)</f>
        <v>94803.23</v>
      </c>
      <c r="F11" s="24"/>
      <c r="G11" s="24"/>
      <c r="H11" s="24"/>
      <c r="I11" s="24"/>
      <c r="J11" s="24"/>
      <c r="K11" s="24"/>
      <c r="L11" s="24"/>
      <c r="M11" s="24" t="s">
        <v>138</v>
      </c>
      <c r="N11" s="24">
        <v>225.7</v>
      </c>
      <c r="O11" s="24">
        <f>N10-N9</f>
        <v>21.19999999999996</v>
      </c>
      <c r="P11" s="24">
        <f>O10-O9</f>
        <v>29.799999999999983</v>
      </c>
      <c r="Q11" s="24">
        <f>P10-P9</f>
        <v>-34.700000000000045</v>
      </c>
      <c r="R11" s="24">
        <f t="shared" si="0"/>
        <v>1204.0900000000031</v>
      </c>
      <c r="S11" s="24">
        <f t="shared" si="1"/>
        <v>301.02250000000078</v>
      </c>
    </row>
    <row r="12" spans="1:19" x14ac:dyDescent="0.3">
      <c r="A12" s="28" t="s">
        <v>139</v>
      </c>
      <c r="B12" s="29">
        <v>8</v>
      </c>
      <c r="C12" s="24"/>
      <c r="D12" s="28" t="s">
        <v>140</v>
      </c>
      <c r="E12" s="29">
        <f>E11-E10</f>
        <v>1350.7771875000326</v>
      </c>
      <c r="F12" s="24"/>
      <c r="G12" s="24"/>
      <c r="H12" s="24"/>
      <c r="I12" s="24"/>
      <c r="J12" s="24"/>
      <c r="K12" s="24"/>
      <c r="L12" s="24"/>
      <c r="M12" s="24" t="s">
        <v>141</v>
      </c>
      <c r="N12" s="24">
        <v>218.39999999999998</v>
      </c>
      <c r="O12" s="24">
        <f>N12-N11</f>
        <v>-7.3000000000000114</v>
      </c>
      <c r="P12" s="24">
        <f>O12-O11</f>
        <v>-28.499999999999972</v>
      </c>
      <c r="Q12" s="24">
        <f>P12-P11</f>
        <v>-58.299999999999955</v>
      </c>
      <c r="R12" s="24">
        <f t="shared" si="0"/>
        <v>3398.8899999999949</v>
      </c>
      <c r="S12" s="24">
        <f t="shared" si="1"/>
        <v>849.72249999999872</v>
      </c>
    </row>
    <row r="13" spans="1:19" x14ac:dyDescent="0.3">
      <c r="A13" s="28" t="s">
        <v>142</v>
      </c>
      <c r="B13" s="29">
        <f>B11*B12</f>
        <v>32</v>
      </c>
      <c r="C13" s="24"/>
      <c r="D13" s="28" t="s">
        <v>143</v>
      </c>
      <c r="E13" s="29">
        <f>(SUMSQ(B9:I9)/B11)-E10</f>
        <v>629.85468750001746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 t="s">
        <v>143</v>
      </c>
      <c r="S13" s="24">
        <f>SUM(S6:S12)</f>
        <v>5038.8374999999987</v>
      </c>
    </row>
    <row r="14" spans="1:19" x14ac:dyDescent="0.3">
      <c r="A14" s="24"/>
      <c r="B14" s="24"/>
      <c r="C14" s="24"/>
      <c r="D14" s="28" t="s">
        <v>144</v>
      </c>
      <c r="E14" s="29">
        <f>(SUMSQ(J5:J8)/B12)-E10</f>
        <v>243.14593750004133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A15" s="24"/>
      <c r="B15" s="24"/>
      <c r="C15" s="24"/>
      <c r="D15" s="28" t="s">
        <v>145</v>
      </c>
      <c r="E15" s="29">
        <f>E12-E13-E14</f>
        <v>477.77656249997381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15" thickBot="1" x14ac:dyDescent="0.35">
      <c r="A19" s="24" t="s">
        <v>146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3">
      <c r="A20" s="30" t="s">
        <v>147</v>
      </c>
      <c r="B20" s="30" t="s">
        <v>13</v>
      </c>
      <c r="C20" s="30" t="s">
        <v>12</v>
      </c>
      <c r="D20" s="30" t="s">
        <v>14</v>
      </c>
      <c r="E20" s="30" t="s">
        <v>93</v>
      </c>
      <c r="F20" s="30" t="s">
        <v>148</v>
      </c>
      <c r="G20" s="30" t="s">
        <v>149</v>
      </c>
      <c r="H20" s="24"/>
      <c r="I20" s="24"/>
      <c r="J20" s="24"/>
      <c r="K20" s="24"/>
      <c r="L20" s="24"/>
      <c r="M20" s="24" t="s">
        <v>150</v>
      </c>
      <c r="N20" s="24" t="s">
        <v>151</v>
      </c>
      <c r="O20" s="24" t="s">
        <v>152</v>
      </c>
      <c r="P20" s="24" t="s">
        <v>153</v>
      </c>
      <c r="Q20" s="31" t="s">
        <v>154</v>
      </c>
      <c r="R20" s="31"/>
      <c r="S20" s="24"/>
    </row>
    <row r="21" spans="1:19" x14ac:dyDescent="0.3">
      <c r="A21" s="24" t="s">
        <v>155</v>
      </c>
      <c r="B21" s="24">
        <v>243.14593749999972</v>
      </c>
      <c r="C21" s="24">
        <v>3</v>
      </c>
      <c r="D21" s="24">
        <v>81.048645833333239</v>
      </c>
      <c r="E21" s="24">
        <v>3.5623797734950573</v>
      </c>
      <c r="F21" s="24">
        <v>3.1583624652459535E-2</v>
      </c>
      <c r="G21" s="24">
        <v>3.0724669863968779</v>
      </c>
      <c r="H21" s="24"/>
      <c r="I21" s="24"/>
      <c r="J21" s="24"/>
      <c r="K21" s="24"/>
      <c r="L21" s="24"/>
      <c r="M21" s="24" t="s">
        <v>23</v>
      </c>
      <c r="N21" s="24">
        <f>B11-1</f>
        <v>3</v>
      </c>
      <c r="O21" s="24">
        <f>E14</f>
        <v>243.14593750004133</v>
      </c>
      <c r="P21" s="24">
        <f>O21/N21</f>
        <v>81.048645833347109</v>
      </c>
      <c r="Q21" s="24">
        <f>P21/P$27</f>
        <v>0.26924447784915378</v>
      </c>
      <c r="R21" s="24"/>
      <c r="S21" s="24"/>
    </row>
    <row r="22" spans="1:19" x14ac:dyDescent="0.3">
      <c r="A22" s="24" t="s">
        <v>156</v>
      </c>
      <c r="B22" s="24">
        <v>629.85468749999984</v>
      </c>
      <c r="C22" s="24">
        <v>7</v>
      </c>
      <c r="D22" s="24">
        <v>89.979241071428547</v>
      </c>
      <c r="E22" s="24">
        <v>3.9549115858942923</v>
      </c>
      <c r="F22" s="24">
        <v>6.6374860101582767E-3</v>
      </c>
      <c r="G22" s="24">
        <v>2.487577703722041</v>
      </c>
      <c r="H22" s="24"/>
      <c r="I22" s="24"/>
      <c r="J22" s="24"/>
      <c r="K22" s="24"/>
      <c r="L22" s="24"/>
      <c r="M22" s="24" t="s">
        <v>157</v>
      </c>
      <c r="N22" s="24">
        <v>1</v>
      </c>
      <c r="O22" s="24">
        <f t="shared" ref="O22:O28" si="3">S6</f>
        <v>1572.1224999999959</v>
      </c>
      <c r="P22" s="24">
        <f t="shared" ref="P22:P29" si="4">O22/N22</f>
        <v>1572.1224999999959</v>
      </c>
      <c r="Q22" s="24">
        <f t="shared" ref="Q22:Q28" si="5">P22/P$27</f>
        <v>5.222607944588832</v>
      </c>
      <c r="R22" s="24"/>
      <c r="S22" s="24"/>
    </row>
    <row r="23" spans="1:19" x14ac:dyDescent="0.3">
      <c r="A23" s="24" t="s">
        <v>22</v>
      </c>
      <c r="B23" s="24">
        <v>477.7765625000003</v>
      </c>
      <c r="C23" s="24">
        <v>21</v>
      </c>
      <c r="D23" s="24">
        <v>22.751264880952395</v>
      </c>
      <c r="E23" s="24"/>
      <c r="F23" s="24"/>
      <c r="G23" s="24"/>
      <c r="H23" s="24"/>
      <c r="I23" s="24"/>
      <c r="J23" s="24"/>
      <c r="K23" s="24"/>
      <c r="L23" s="24"/>
      <c r="M23" s="24" t="s">
        <v>158</v>
      </c>
      <c r="N23" s="24">
        <v>1</v>
      </c>
      <c r="O23" s="24">
        <f t="shared" si="3"/>
        <v>1652.4225000000029</v>
      </c>
      <c r="P23" s="24">
        <f t="shared" si="4"/>
        <v>1652.4225000000029</v>
      </c>
      <c r="Q23" s="24">
        <f t="shared" si="5"/>
        <v>5.489365412884414</v>
      </c>
      <c r="R23" s="24"/>
      <c r="S23" s="24"/>
    </row>
    <row r="24" spans="1:19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 t="s">
        <v>159</v>
      </c>
      <c r="N24" s="24">
        <v>1</v>
      </c>
      <c r="O24" s="24">
        <f t="shared" si="3"/>
        <v>0.42250000000000737</v>
      </c>
      <c r="P24" s="24">
        <f t="shared" si="4"/>
        <v>0.42250000000000737</v>
      </c>
      <c r="Q24" s="24">
        <f t="shared" si="5"/>
        <v>1.4035495685538666E-3</v>
      </c>
      <c r="R24" s="24"/>
      <c r="S24" s="24"/>
    </row>
    <row r="25" spans="1:19" ht="15" thickBot="1" x14ac:dyDescent="0.35">
      <c r="A25" s="32" t="s">
        <v>0</v>
      </c>
      <c r="B25" s="32">
        <v>1350.7771874999999</v>
      </c>
      <c r="C25" s="32">
        <v>31</v>
      </c>
      <c r="D25" s="32"/>
      <c r="E25" s="32"/>
      <c r="F25" s="32"/>
      <c r="G25" s="32"/>
      <c r="H25" s="24"/>
      <c r="I25" s="24"/>
      <c r="J25" s="24"/>
      <c r="K25" s="24"/>
      <c r="L25" s="24"/>
      <c r="M25" s="24" t="s">
        <v>160</v>
      </c>
      <c r="N25" s="24">
        <v>1</v>
      </c>
      <c r="O25" s="24">
        <f t="shared" si="3"/>
        <v>6.25E-2</v>
      </c>
      <c r="P25" s="24">
        <f t="shared" si="4"/>
        <v>6.25E-2</v>
      </c>
      <c r="Q25" s="24">
        <f t="shared" si="5"/>
        <v>2.0762567582157426E-4</v>
      </c>
      <c r="R25" s="24"/>
      <c r="S25" s="24"/>
    </row>
    <row r="26" spans="1:19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 t="s">
        <v>161</v>
      </c>
      <c r="N26" s="24">
        <v>1</v>
      </c>
      <c r="O26" s="24">
        <f t="shared" si="3"/>
        <v>663.0625</v>
      </c>
      <c r="P26" s="24">
        <f t="shared" si="4"/>
        <v>663.0625</v>
      </c>
      <c r="Q26" s="24">
        <f t="shared" si="5"/>
        <v>2.2027007947910815</v>
      </c>
      <c r="R26" s="24"/>
      <c r="S26" s="24"/>
    </row>
    <row r="27" spans="1:19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 t="s">
        <v>162</v>
      </c>
      <c r="N27" s="24">
        <v>1</v>
      </c>
      <c r="O27" s="24">
        <f t="shared" si="3"/>
        <v>301.02250000000078</v>
      </c>
      <c r="P27" s="24">
        <f t="shared" si="4"/>
        <v>301.02250000000078</v>
      </c>
      <c r="Q27" s="24">
        <f t="shared" si="5"/>
        <v>1</v>
      </c>
      <c r="R27" s="24"/>
      <c r="S27" s="24"/>
    </row>
    <row r="28" spans="1:19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 t="s">
        <v>163</v>
      </c>
      <c r="N28" s="24">
        <v>1</v>
      </c>
      <c r="O28" s="24">
        <f t="shared" si="3"/>
        <v>849.72249999999872</v>
      </c>
      <c r="P28" s="24">
        <f t="shared" si="4"/>
        <v>849.72249999999872</v>
      </c>
      <c r="Q28" s="24">
        <f t="shared" si="5"/>
        <v>2.8227873331727578</v>
      </c>
      <c r="R28" s="24"/>
      <c r="S28" s="24"/>
    </row>
    <row r="29" spans="1:19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 t="s">
        <v>22</v>
      </c>
      <c r="N29" s="24">
        <f>N30-SUM(N21:N28)</f>
        <v>21</v>
      </c>
      <c r="O29" s="24">
        <f>O30-SUM(O21:O28)</f>
        <v>-3931.2062500000075</v>
      </c>
      <c r="P29" s="24">
        <f t="shared" si="4"/>
        <v>-187.20029761904797</v>
      </c>
      <c r="Q29" s="24"/>
      <c r="R29" s="24"/>
      <c r="S29" s="24"/>
    </row>
    <row r="30" spans="1:19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 t="s">
        <v>0</v>
      </c>
      <c r="N30" s="24">
        <f>B13-1</f>
        <v>31</v>
      </c>
      <c r="O30" s="24">
        <f>E12</f>
        <v>1350.7771875000326</v>
      </c>
      <c r="P30" s="24"/>
      <c r="Q30" s="24"/>
      <c r="R30" s="24"/>
      <c r="S30" s="24"/>
    </row>
    <row r="31" spans="1:19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</sheetData>
  <mergeCells count="1"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Prac-1</vt:lpstr>
      <vt:lpstr>Prac-2</vt:lpstr>
      <vt:lpstr>Pracc-3</vt:lpstr>
      <vt:lpstr>Prac-4</vt:lpstr>
      <vt:lpstr>Prac-5</vt:lpstr>
      <vt:lpstr>Prac-6</vt:lpstr>
      <vt:lpstr>prac-7</vt:lpstr>
      <vt:lpstr>Prac-8</vt:lpstr>
      <vt:lpstr>Prac-9</vt:lpstr>
      <vt:lpstr>prac-10</vt:lpstr>
      <vt:lpstr>Prac-11</vt:lpstr>
      <vt:lpstr>Prac-12</vt:lpstr>
      <vt:lpstr>Prac-13</vt:lpstr>
      <vt:lpstr>Prac-14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LAB102</dc:creator>
  <cp:lastModifiedBy>20211231 Pragya Gupta B.Sc. (H) Statistics</cp:lastModifiedBy>
  <dcterms:created xsi:type="dcterms:W3CDTF">2024-02-27T05:32:24Z</dcterms:created>
  <dcterms:modified xsi:type="dcterms:W3CDTF">2024-05-12T13:46:49Z</dcterms:modified>
</cp:coreProperties>
</file>