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notes\Sem 6\Bio Stats\"/>
    </mc:Choice>
  </mc:AlternateContent>
  <xr:revisionPtr revIDLastSave="0" documentId="13_ncr:1_{2EA5E648-B8FC-425E-A477-6E1FEC0FE53E}" xr6:coauthVersionLast="47" xr6:coauthVersionMax="47" xr10:uidLastSave="{00000000-0000-0000-0000-000000000000}"/>
  <bookViews>
    <workbookView xWindow="432" yWindow="1056" windowWidth="17280" windowHeight="8964" firstSheet="1" activeTab="12" xr2:uid="{D1FC292B-2B73-4698-8090-2FDF7EEF79B3}"/>
  </bookViews>
  <sheets>
    <sheet name="Prac 1" sheetId="1" r:id="rId1"/>
    <sheet name="Prac 2" sheetId="2" r:id="rId2"/>
    <sheet name="Prac 2(b)" sheetId="3" r:id="rId3"/>
    <sheet name="Prac 3" sheetId="4" r:id="rId4"/>
    <sheet name="Prac 4" sheetId="6" r:id="rId5"/>
    <sheet name="PraC 5" sheetId="7" r:id="rId6"/>
    <sheet name="Prac 6" sheetId="8" r:id="rId7"/>
    <sheet name="Prac 7" sheetId="9" r:id="rId8"/>
    <sheet name="Prac 8" sheetId="11" r:id="rId9"/>
    <sheet name="Prac 9" sheetId="12" r:id="rId10"/>
    <sheet name="Prac 10" sheetId="13" r:id="rId11"/>
    <sheet name="Prac 11" sheetId="14" r:id="rId12"/>
    <sheet name="Prac 12" sheetId="15" r:id="rId13"/>
  </sheets>
  <definedNames>
    <definedName name="d">'Prac 11'!$O$2</definedName>
    <definedName name="lamda">'Prac 2(b)'!$F$2</definedName>
    <definedName name="lamda_1">'Prac 2(b)'!$F$13</definedName>
    <definedName name="lamda_2">'Prac 2(b)'!$F$23</definedName>
    <definedName name="n">'Prac 11'!$O$3</definedName>
    <definedName name="td">'Prac 11'!$O$4</definedName>
    <definedName name="total">'Prac 11'!$M$11</definedName>
    <definedName name="yeta">'Prac 2(b)'!$F$3</definedName>
    <definedName name="yeta_2">'Prac 2(b)'!$F$14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E14" i="15" s="1"/>
  <c r="I11" i="13"/>
  <c r="I12" i="13"/>
  <c r="I13" i="13"/>
  <c r="I14" i="13"/>
  <c r="I15" i="13"/>
  <c r="I10" i="13"/>
  <c r="H11" i="13"/>
  <c r="H12" i="13"/>
  <c r="H13" i="13"/>
  <c r="H14" i="13"/>
  <c r="H15" i="13"/>
  <c r="H10" i="13"/>
  <c r="E9" i="12"/>
  <c r="E7" i="12"/>
  <c r="B10" i="12"/>
  <c r="E4" i="12" s="1"/>
  <c r="O5" i="14"/>
  <c r="O6" i="14" s="1"/>
  <c r="O3" i="14"/>
  <c r="O2" i="14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" i="14"/>
  <c r="L3" i="14"/>
  <c r="L4" i="14" s="1"/>
  <c r="M2" i="14"/>
  <c r="F3" i="14"/>
  <c r="F2" i="14"/>
  <c r="C3" i="14"/>
  <c r="C4" i="14" s="1"/>
  <c r="D2" i="14"/>
  <c r="H3" i="11"/>
  <c r="H4" i="11"/>
  <c r="H5" i="11"/>
  <c r="D6" i="11"/>
  <c r="C6" i="11"/>
  <c r="B6" i="11"/>
  <c r="E6" i="11"/>
  <c r="G3" i="11"/>
  <c r="G6" i="11" s="1"/>
  <c r="G4" i="11"/>
  <c r="G5" i="11"/>
  <c r="G2" i="11"/>
  <c r="I2" i="11" s="1"/>
  <c r="F3" i="11"/>
  <c r="F4" i="11"/>
  <c r="F5" i="11"/>
  <c r="F2" i="11"/>
  <c r="H2" i="11" s="1"/>
  <c r="H6" i="11" s="1"/>
  <c r="J2" i="11" s="1"/>
  <c r="B15" i="9"/>
  <c r="E14" i="9" s="1"/>
  <c r="B14" i="9"/>
  <c r="J9" i="8"/>
  <c r="J10" i="8"/>
  <c r="J11" i="8"/>
  <c r="J8" i="8"/>
  <c r="D9" i="8"/>
  <c r="E9" i="8" s="1"/>
  <c r="D10" i="8"/>
  <c r="E10" i="8" s="1"/>
  <c r="D11" i="8"/>
  <c r="E11" i="8" s="1"/>
  <c r="D8" i="8"/>
  <c r="E8" i="8" s="1"/>
  <c r="G4" i="7"/>
  <c r="H4" i="7" s="1"/>
  <c r="G12" i="7"/>
  <c r="H12" i="7" s="1"/>
  <c r="F3" i="7"/>
  <c r="G3" i="7" s="1"/>
  <c r="H3" i="7" s="1"/>
  <c r="F4" i="7"/>
  <c r="F7" i="7"/>
  <c r="G7" i="7" s="1"/>
  <c r="H7" i="7" s="1"/>
  <c r="F12" i="7"/>
  <c r="F23" i="7"/>
  <c r="G23" i="7" s="1"/>
  <c r="H23" i="7" s="1"/>
  <c r="F24" i="7"/>
  <c r="G24" i="7" s="1"/>
  <c r="H24" i="7" s="1"/>
  <c r="D2" i="7"/>
  <c r="C26" i="7"/>
  <c r="C2" i="7"/>
  <c r="A3" i="7"/>
  <c r="A4" i="7" s="1"/>
  <c r="A5" i="7" s="1"/>
  <c r="D3" i="6"/>
  <c r="D4" i="6"/>
  <c r="E4" i="6" s="1"/>
  <c r="D5" i="6"/>
  <c r="E5" i="6" s="1"/>
  <c r="D6" i="6"/>
  <c r="E6" i="6" s="1"/>
  <c r="D7" i="6"/>
  <c r="E7" i="6" s="1"/>
  <c r="D8" i="6"/>
  <c r="D9" i="6"/>
  <c r="E9" i="6" s="1"/>
  <c r="D10" i="6"/>
  <c r="E10" i="6" s="1"/>
  <c r="D11" i="6"/>
  <c r="D12" i="6"/>
  <c r="D13" i="6"/>
  <c r="E13" i="6" s="1"/>
  <c r="D14" i="6"/>
  <c r="E14" i="6" s="1"/>
  <c r="D15" i="6"/>
  <c r="E15" i="6" s="1"/>
  <c r="D16" i="6"/>
  <c r="E16" i="6" s="1"/>
  <c r="D2" i="6"/>
  <c r="E2" i="6" s="1"/>
  <c r="E3" i="6"/>
  <c r="E8" i="6"/>
  <c r="E11" i="6"/>
  <c r="E12" i="6"/>
  <c r="F2" i="4"/>
  <c r="G2" i="4" s="1"/>
  <c r="A29" i="4"/>
  <c r="A30" i="4" s="1"/>
  <c r="A31" i="4" s="1"/>
  <c r="A3" i="4"/>
  <c r="E3" i="4" s="1"/>
  <c r="F3" i="4" s="1"/>
  <c r="E2" i="4"/>
  <c r="A6" i="7" l="1"/>
  <c r="C5" i="7"/>
  <c r="D5" i="7" s="1"/>
  <c r="F8" i="8"/>
  <c r="I8" i="8"/>
  <c r="G8" i="8" s="1"/>
  <c r="I11" i="8"/>
  <c r="G11" i="8" s="1"/>
  <c r="F11" i="8"/>
  <c r="E16" i="9"/>
  <c r="E15" i="9"/>
  <c r="I10" i="8"/>
  <c r="G10" i="8" s="1"/>
  <c r="F10" i="8"/>
  <c r="C5" i="14"/>
  <c r="D4" i="14"/>
  <c r="I9" i="8"/>
  <c r="G9" i="8" s="1"/>
  <c r="F9" i="8"/>
  <c r="G3" i="4"/>
  <c r="F6" i="11"/>
  <c r="E15" i="15"/>
  <c r="A4" i="4"/>
  <c r="E2" i="7"/>
  <c r="F2" i="7" s="1"/>
  <c r="G2" i="7" s="1"/>
  <c r="H2" i="7" s="1"/>
  <c r="D3" i="14"/>
  <c r="E12" i="15"/>
  <c r="E13" i="15"/>
  <c r="M4" i="14"/>
  <c r="L5" i="14"/>
  <c r="M3" i="14"/>
  <c r="H3" i="4"/>
  <c r="H2" i="4"/>
  <c r="I2" i="4" s="1"/>
  <c r="J2" i="4" s="1"/>
  <c r="I3" i="4" l="1"/>
  <c r="J3" i="4" s="1"/>
  <c r="C6" i="14"/>
  <c r="D5" i="14"/>
  <c r="E5" i="7"/>
  <c r="F5" i="7" s="1"/>
  <c r="G5" i="7" s="1"/>
  <c r="H5" i="7" s="1"/>
  <c r="E4" i="4"/>
  <c r="F4" i="4" s="1"/>
  <c r="A5" i="4"/>
  <c r="A7" i="7"/>
  <c r="A8" i="7" s="1"/>
  <c r="C6" i="7"/>
  <c r="D6" i="7" s="1"/>
  <c r="M5" i="14"/>
  <c r="L6" i="14"/>
  <c r="E5" i="4" l="1"/>
  <c r="F5" i="4" s="1"/>
  <c r="A6" i="4"/>
  <c r="A7" i="4" s="1"/>
  <c r="C7" i="14"/>
  <c r="D6" i="14"/>
  <c r="E8" i="7"/>
  <c r="F8" i="7" s="1"/>
  <c r="G8" i="7" s="1"/>
  <c r="H8" i="7" s="1"/>
  <c r="E6" i="7"/>
  <c r="F6" i="7" s="1"/>
  <c r="G6" i="7" s="1"/>
  <c r="H6" i="7" s="1"/>
  <c r="G4" i="4"/>
  <c r="H4" i="4" s="1"/>
  <c r="I4" i="4" s="1"/>
  <c r="J4" i="4" s="1"/>
  <c r="A9" i="7"/>
  <c r="C8" i="7"/>
  <c r="D8" i="7" s="1"/>
  <c r="M6" i="14"/>
  <c r="L7" i="14"/>
  <c r="D7" i="14" l="1"/>
  <c r="C8" i="14"/>
  <c r="A8" i="4"/>
  <c r="E7" i="4"/>
  <c r="F7" i="4" s="1"/>
  <c r="A10" i="7"/>
  <c r="C9" i="7"/>
  <c r="D9" i="7" s="1"/>
  <c r="G5" i="4"/>
  <c r="H5" i="4" s="1"/>
  <c r="I5" i="4" s="1"/>
  <c r="J5" i="4" s="1"/>
  <c r="L8" i="14"/>
  <c r="M7" i="14"/>
  <c r="A11" i="7" l="1"/>
  <c r="C10" i="7"/>
  <c r="D10" i="7" s="1"/>
  <c r="E8" i="4"/>
  <c r="F8" i="4" s="1"/>
  <c r="G8" i="4" s="1"/>
  <c r="H8" i="4" s="1"/>
  <c r="I8" i="4" s="1"/>
  <c r="J8" i="4" s="1"/>
  <c r="A9" i="4"/>
  <c r="D8" i="14"/>
  <c r="C9" i="14"/>
  <c r="E10" i="7"/>
  <c r="F10" i="7" s="1"/>
  <c r="G10" i="7" s="1"/>
  <c r="H10" i="7" s="1"/>
  <c r="E9" i="7"/>
  <c r="F9" i="7" s="1"/>
  <c r="G9" i="7" s="1"/>
  <c r="H9" i="7" s="1"/>
  <c r="G7" i="4"/>
  <c r="H7" i="4" s="1"/>
  <c r="I7" i="4" s="1"/>
  <c r="J7" i="4" s="1"/>
  <c r="M8" i="14"/>
  <c r="L9" i="14"/>
  <c r="A10" i="4" l="1"/>
  <c r="E9" i="4"/>
  <c r="F9" i="4" s="1"/>
  <c r="D9" i="14"/>
  <c r="C10" i="14"/>
  <c r="E11" i="7"/>
  <c r="F11" i="7" s="1"/>
  <c r="G11" i="7" s="1"/>
  <c r="H11" i="7" s="1"/>
  <c r="A12" i="7"/>
  <c r="A13" i="7" s="1"/>
  <c r="C11" i="7"/>
  <c r="D11" i="7" s="1"/>
  <c r="G9" i="4"/>
  <c r="H9" i="4" s="1"/>
  <c r="I9" i="4" s="1"/>
  <c r="J9" i="4" s="1"/>
  <c r="L10" i="14"/>
  <c r="M9" i="14"/>
  <c r="A14" i="7" l="1"/>
  <c r="C13" i="7"/>
  <c r="D13" i="7" s="1"/>
  <c r="D10" i="14"/>
  <c r="C11" i="14"/>
  <c r="A11" i="4"/>
  <c r="E10" i="4"/>
  <c r="F10" i="4" s="1"/>
  <c r="M10" i="14"/>
  <c r="E13" i="7" l="1"/>
  <c r="F13" i="7" s="1"/>
  <c r="G13" i="7" s="1"/>
  <c r="H13" i="7" s="1"/>
  <c r="D11" i="14"/>
  <c r="C12" i="14"/>
  <c r="A15" i="7"/>
  <c r="C14" i="7"/>
  <c r="D14" i="7" s="1"/>
  <c r="E11" i="4"/>
  <c r="F11" i="4" s="1"/>
  <c r="G11" i="4" s="1"/>
  <c r="H11" i="4" s="1"/>
  <c r="I11" i="4" s="1"/>
  <c r="J11" i="4" s="1"/>
  <c r="A12" i="4"/>
  <c r="A13" i="4" s="1"/>
  <c r="G10" i="4"/>
  <c r="H10" i="4" s="1"/>
  <c r="I10" i="4" s="1"/>
  <c r="J10" i="4" s="1"/>
  <c r="A16" i="7" l="1"/>
  <c r="C15" i="7"/>
  <c r="D15" i="7" s="1"/>
  <c r="C13" i="14"/>
  <c r="D12" i="14"/>
  <c r="E15" i="7"/>
  <c r="F15" i="7" s="1"/>
  <c r="G15" i="7" s="1"/>
  <c r="H15" i="7" s="1"/>
  <c r="A14" i="4"/>
  <c r="A15" i="4" s="1"/>
  <c r="E13" i="4"/>
  <c r="F13" i="4" s="1"/>
  <c r="E14" i="7"/>
  <c r="F14" i="7" s="1"/>
  <c r="G14" i="7" s="1"/>
  <c r="H14" i="7" s="1"/>
  <c r="E15" i="4" l="1"/>
  <c r="F15" i="4" s="1"/>
  <c r="A16" i="4"/>
  <c r="G13" i="4"/>
  <c r="H13" i="4" s="1"/>
  <c r="I13" i="4" s="1"/>
  <c r="J13" i="4" s="1"/>
  <c r="G15" i="4"/>
  <c r="H15" i="4" s="1"/>
  <c r="I15" i="4" s="1"/>
  <c r="J15" i="4" s="1"/>
  <c r="C14" i="14"/>
  <c r="D13" i="14"/>
  <c r="A17" i="7"/>
  <c r="C16" i="7"/>
  <c r="D16" i="7" s="1"/>
  <c r="E16" i="7" s="1"/>
  <c r="F16" i="7" s="1"/>
  <c r="G16" i="7" s="1"/>
  <c r="H16" i="7" s="1"/>
  <c r="C15" i="14" l="1"/>
  <c r="D15" i="14" s="1"/>
  <c r="D14" i="14"/>
  <c r="A18" i="7"/>
  <c r="C17" i="7"/>
  <c r="D17" i="7" s="1"/>
  <c r="E16" i="4"/>
  <c r="F16" i="4" s="1"/>
  <c r="G16" i="4" s="1"/>
  <c r="H16" i="4" s="1"/>
  <c r="I16" i="4" s="1"/>
  <c r="J16" i="4" s="1"/>
  <c r="A17" i="4"/>
  <c r="E17" i="4" l="1"/>
  <c r="F17" i="4" s="1"/>
  <c r="G17" i="4" s="1"/>
  <c r="H17" i="4" s="1"/>
  <c r="I17" i="4" s="1"/>
  <c r="J17" i="4" s="1"/>
  <c r="A18" i="4"/>
  <c r="A19" i="7"/>
  <c r="C18" i="7"/>
  <c r="D18" i="7" s="1"/>
  <c r="E18" i="7" s="1"/>
  <c r="F18" i="7" s="1"/>
  <c r="G18" i="7" s="1"/>
  <c r="H18" i="7" s="1"/>
  <c r="E17" i="7"/>
  <c r="F17" i="7" s="1"/>
  <c r="G17" i="7" s="1"/>
  <c r="H17" i="7" s="1"/>
  <c r="D16" i="14"/>
  <c r="F5" i="14" s="1"/>
  <c r="F6" i="14" s="1"/>
  <c r="A20" i="7" l="1"/>
  <c r="C19" i="7"/>
  <c r="D19" i="7" s="1"/>
  <c r="E19" i="7" s="1"/>
  <c r="F19" i="7" s="1"/>
  <c r="G19" i="7" s="1"/>
  <c r="H19" i="7" s="1"/>
  <c r="E18" i="4"/>
  <c r="F18" i="4" s="1"/>
  <c r="G18" i="4" s="1"/>
  <c r="H18" i="4" s="1"/>
  <c r="I18" i="4" s="1"/>
  <c r="J18" i="4" s="1"/>
  <c r="A19" i="4"/>
  <c r="A20" i="4" l="1"/>
  <c r="E19" i="4"/>
  <c r="F19" i="4" s="1"/>
  <c r="G19" i="4" s="1"/>
  <c r="H19" i="4" s="1"/>
  <c r="I19" i="4" s="1"/>
  <c r="J19" i="4" s="1"/>
  <c r="A21" i="7"/>
  <c r="C20" i="7"/>
  <c r="D20" i="7" s="1"/>
  <c r="E20" i="7" s="1"/>
  <c r="F20" i="7" s="1"/>
  <c r="G20" i="7" s="1"/>
  <c r="H20" i="7" s="1"/>
  <c r="A22" i="7" l="1"/>
  <c r="C21" i="7"/>
  <c r="D21" i="7" s="1"/>
  <c r="E21" i="7" s="1"/>
  <c r="F21" i="7" s="1"/>
  <c r="G21" i="7" s="1"/>
  <c r="H21" i="7" s="1"/>
  <c r="A21" i="4"/>
  <c r="E20" i="4"/>
  <c r="F20" i="4" s="1"/>
  <c r="G20" i="4" s="1"/>
  <c r="H20" i="4" s="1"/>
  <c r="I20" i="4" s="1"/>
  <c r="J20" i="4" s="1"/>
  <c r="A22" i="4" l="1"/>
  <c r="A23" i="4" s="1"/>
  <c r="E21" i="4"/>
  <c r="F21" i="4" s="1"/>
  <c r="G21" i="4" s="1"/>
  <c r="H21" i="4" s="1"/>
  <c r="I21" i="4" s="1"/>
  <c r="J21" i="4" s="1"/>
  <c r="A23" i="7"/>
  <c r="A24" i="7" s="1"/>
  <c r="A25" i="7" s="1"/>
  <c r="C25" i="7" s="1"/>
  <c r="D25" i="7" s="1"/>
  <c r="C22" i="7"/>
  <c r="D22" i="7" s="1"/>
  <c r="E25" i="7" l="1"/>
  <c r="F25" i="7" s="1"/>
  <c r="G25" i="7" s="1"/>
  <c r="H25" i="7" s="1"/>
  <c r="E22" i="7"/>
  <c r="F22" i="7" s="1"/>
  <c r="G22" i="7" s="1"/>
  <c r="H22" i="7" s="1"/>
  <c r="A24" i="4"/>
  <c r="E23" i="4"/>
  <c r="F23" i="4" s="1"/>
  <c r="G23" i="4" s="1"/>
  <c r="H23" i="4" s="1"/>
  <c r="I23" i="4" s="1"/>
  <c r="J23" i="4" s="1"/>
  <c r="A25" i="4" l="1"/>
  <c r="E24" i="4"/>
  <c r="F24" i="4" s="1"/>
  <c r="G24" i="4" s="1"/>
  <c r="H24" i="4" s="1"/>
  <c r="I24" i="4" s="1"/>
  <c r="J24" i="4" s="1"/>
  <c r="F25" i="3"/>
  <c r="F24" i="3"/>
  <c r="C24" i="3"/>
  <c r="C25" i="3"/>
  <c r="C26" i="3"/>
  <c r="C27" i="3"/>
  <c r="C28" i="3"/>
  <c r="C29" i="3"/>
  <c r="C30" i="3"/>
  <c r="C31" i="3"/>
  <c r="C23" i="3"/>
  <c r="F6" i="3"/>
  <c r="B24" i="3"/>
  <c r="B13" i="3"/>
  <c r="C13" i="3"/>
  <c r="A14" i="3"/>
  <c r="B14" i="3" s="1"/>
  <c r="C14" i="3"/>
  <c r="A15" i="3"/>
  <c r="A16" i="3" s="1"/>
  <c r="B15" i="3"/>
  <c r="C15" i="3"/>
  <c r="F5" i="3"/>
  <c r="F4" i="3"/>
  <c r="B2" i="3"/>
  <c r="A25" i="3"/>
  <c r="C2" i="3"/>
  <c r="A3" i="3"/>
  <c r="B3" i="3" s="1"/>
  <c r="E3" i="2"/>
  <c r="F3" i="2" s="1"/>
  <c r="E4" i="2"/>
  <c r="E5" i="2"/>
  <c r="E6" i="2"/>
  <c r="E7" i="2"/>
  <c r="E8" i="2"/>
  <c r="E9" i="2"/>
  <c r="E10" i="2"/>
  <c r="E11" i="2"/>
  <c r="E12" i="2"/>
  <c r="E2" i="2"/>
  <c r="D2" i="2"/>
  <c r="B3" i="2"/>
  <c r="D3" i="2" s="1"/>
  <c r="E4" i="1"/>
  <c r="E3" i="1"/>
  <c r="E2" i="1"/>
  <c r="D2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D20" i="1" s="1"/>
  <c r="B3" i="1"/>
  <c r="D3" i="1" s="1"/>
  <c r="B4" i="2" l="1"/>
  <c r="A4" i="3"/>
  <c r="C3" i="3"/>
  <c r="E25" i="4"/>
  <c r="F25" i="4" s="1"/>
  <c r="G25" i="4" s="1"/>
  <c r="H25" i="4" s="1"/>
  <c r="I25" i="4" s="1"/>
  <c r="J25" i="4" s="1"/>
  <c r="A26" i="4"/>
  <c r="A26" i="3"/>
  <c r="A27" i="3" s="1"/>
  <c r="B27" i="3" s="1"/>
  <c r="B25" i="3"/>
  <c r="B16" i="3"/>
  <c r="C16" i="3"/>
  <c r="A17" i="3"/>
  <c r="F2" i="2"/>
  <c r="D15" i="1"/>
  <c r="D7" i="1"/>
  <c r="D14" i="1"/>
  <c r="D6" i="1"/>
  <c r="D4" i="1"/>
  <c r="D19" i="1"/>
  <c r="D11" i="1"/>
  <c r="D12" i="1"/>
  <c r="D18" i="1"/>
  <c r="D10" i="1"/>
  <c r="D5" i="1"/>
  <c r="D17" i="1"/>
  <c r="D9" i="1"/>
  <c r="D13" i="1"/>
  <c r="D16" i="1"/>
  <c r="D8" i="1"/>
  <c r="F3" i="1"/>
  <c r="A5" i="3" l="1"/>
  <c r="B4" i="3"/>
  <c r="C4" i="3"/>
  <c r="E26" i="4"/>
  <c r="F26" i="4" s="1"/>
  <c r="G26" i="4" s="1"/>
  <c r="H26" i="4" s="1"/>
  <c r="I26" i="4" s="1"/>
  <c r="J26" i="4" s="1"/>
  <c r="A27" i="4"/>
  <c r="B5" i="2"/>
  <c r="D4" i="2"/>
  <c r="F4" i="2" s="1"/>
  <c r="A28" i="3"/>
  <c r="B28" i="3" s="1"/>
  <c r="B26" i="3"/>
  <c r="A18" i="3"/>
  <c r="B17" i="3"/>
  <c r="C17" i="3"/>
  <c r="B6" i="2" l="1"/>
  <c r="D5" i="2"/>
  <c r="F5" i="2" s="1"/>
  <c r="A29" i="3"/>
  <c r="B29" i="3" s="1"/>
  <c r="A6" i="3"/>
  <c r="B5" i="3"/>
  <c r="C5" i="3"/>
  <c r="C18" i="3"/>
  <c r="A19" i="3"/>
  <c r="B18" i="3"/>
  <c r="F4" i="1"/>
  <c r="A30" i="3" l="1"/>
  <c r="B30" i="3" s="1"/>
  <c r="A7" i="3"/>
  <c r="B6" i="3"/>
  <c r="C6" i="3"/>
  <c r="B7" i="2"/>
  <c r="D6" i="2"/>
  <c r="F6" i="2" s="1"/>
  <c r="B19" i="3"/>
  <c r="A20" i="3"/>
  <c r="C19" i="3"/>
  <c r="A31" i="3"/>
  <c r="B31" i="3" s="1"/>
  <c r="F5" i="1"/>
  <c r="B8" i="2" l="1"/>
  <c r="D7" i="2"/>
  <c r="F7" i="2" s="1"/>
  <c r="A8" i="3"/>
  <c r="B7" i="3"/>
  <c r="C7" i="3"/>
  <c r="B20" i="3"/>
  <c r="C20" i="3"/>
  <c r="F6" i="1"/>
  <c r="A9" i="3" l="1"/>
  <c r="B8" i="3"/>
  <c r="C8" i="3"/>
  <c r="B9" i="2"/>
  <c r="D8" i="2"/>
  <c r="F8" i="2" s="1"/>
  <c r="F7" i="1"/>
  <c r="B10" i="2" l="1"/>
  <c r="D9" i="2"/>
  <c r="F9" i="2" s="1"/>
  <c r="C9" i="3"/>
  <c r="B9" i="3"/>
  <c r="F8" i="1"/>
  <c r="B11" i="2" l="1"/>
  <c r="D10" i="2"/>
  <c r="F10" i="2" s="1"/>
  <c r="F9" i="1"/>
  <c r="B12" i="2" l="1"/>
  <c r="D12" i="2" s="1"/>
  <c r="F12" i="2" s="1"/>
  <c r="D11" i="2"/>
  <c r="F11" i="2" s="1"/>
  <c r="F10" i="1"/>
  <c r="F11" i="1" l="1"/>
  <c r="F12" i="1" l="1"/>
  <c r="F13" i="1" l="1"/>
  <c r="F14" i="1" l="1"/>
  <c r="F15" i="1" l="1"/>
  <c r="F16" i="1" l="1"/>
  <c r="F17" i="1" l="1"/>
  <c r="F18" i="1" l="1"/>
  <c r="F19" i="1" l="1"/>
  <c r="M11" i="14"/>
</calcChain>
</file>

<file path=xl/sharedStrings.xml><?xml version="1.0" encoding="utf-8"?>
<sst xmlns="http://schemas.openxmlformats.org/spreadsheetml/2006/main" count="224" uniqueCount="139">
  <si>
    <t>Age</t>
  </si>
  <si>
    <t>No. of living at
beginning</t>
  </si>
  <si>
    <t>No. of dying 
in the interval</t>
  </si>
  <si>
    <t>0-1</t>
  </si>
  <si>
    <t>5-10</t>
  </si>
  <si>
    <t>1-5</t>
  </si>
  <si>
    <t>10-15</t>
  </si>
  <si>
    <t>15-20</t>
  </si>
  <si>
    <t>20-25</t>
  </si>
  <si>
    <t>25-30</t>
  </si>
  <si>
    <t>30-35</t>
  </si>
  <si>
    <t>35-50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</si>
  <si>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</si>
  <si>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</si>
  <si>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</si>
  <si>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</si>
  <si>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</si>
  <si>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</si>
  <si>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</si>
  <si>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</si>
  <si>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</si>
  <si>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</si>
  <si>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85-more</t>
  </si>
  <si>
    <t>s(t)</t>
  </si>
  <si>
    <t>f(t)</t>
  </si>
  <si>
    <t>h(t)</t>
  </si>
  <si>
    <t>50-more</t>
  </si>
  <si>
    <t>0-5</t>
  </si>
  <si>
    <t>t</t>
  </si>
  <si>
    <t>Weibull Distn</t>
  </si>
  <si>
    <t>lamda</t>
  </si>
  <si>
    <t>yeta</t>
  </si>
  <si>
    <t>mean</t>
  </si>
  <si>
    <t>var</t>
  </si>
  <si>
    <t>coeff</t>
  </si>
  <si>
    <t>exponential</t>
  </si>
  <si>
    <t>`</t>
  </si>
  <si>
    <t>S.no</t>
  </si>
  <si>
    <t>+9</t>
  </si>
  <si>
    <t>+10</t>
  </si>
  <si>
    <t>n</t>
  </si>
  <si>
    <t>st</t>
  </si>
  <si>
    <t>pi</t>
  </si>
  <si>
    <t>Survival time(ti)</t>
  </si>
  <si>
    <t>Censored data</t>
  </si>
  <si>
    <t>ri</t>
  </si>
  <si>
    <t>S(ti)</t>
  </si>
  <si>
    <t>S(ti)^2</t>
  </si>
  <si>
    <t>V(S(ti)</t>
  </si>
  <si>
    <t>S(t)</t>
  </si>
  <si>
    <t>S.no.</t>
  </si>
  <si>
    <t>T(years</t>
  </si>
  <si>
    <t>PDF</t>
  </si>
  <si>
    <t>CDF</t>
  </si>
  <si>
    <t>ht</t>
  </si>
  <si>
    <t>TI</t>
  </si>
  <si>
    <t>+20</t>
  </si>
  <si>
    <t>+40</t>
  </si>
  <si>
    <t>+110</t>
  </si>
  <si>
    <t>110</t>
  </si>
  <si>
    <t>+130</t>
  </si>
  <si>
    <t>st^2</t>
  </si>
  <si>
    <t>vst</t>
  </si>
  <si>
    <t>stk</t>
  </si>
  <si>
    <t>No. of death
due to R1</t>
  </si>
  <si>
    <t>25-35</t>
  </si>
  <si>
    <t>35-45</t>
  </si>
  <si>
    <t>45-55</t>
  </si>
  <si>
    <t>55-65</t>
  </si>
  <si>
    <t>No. of death r2</t>
  </si>
  <si>
    <t>No. of death r3</t>
  </si>
  <si>
    <r>
      <t xml:space="preserve">No. of patients alive 
at the beginning of interval </t>
    </r>
    <r>
      <rPr>
        <b/>
        <sz val="11"/>
        <color theme="1"/>
        <rFont val="Calibri"/>
        <family val="2"/>
        <scheme val="minor"/>
      </rPr>
      <t>(li)</t>
    </r>
  </si>
  <si>
    <r>
      <t>No. of dying 
in interval</t>
    </r>
    <r>
      <rPr>
        <b/>
        <sz val="11"/>
        <color theme="1"/>
        <rFont val="Calibri"/>
        <family val="2"/>
        <scheme val="minor"/>
      </rPr>
      <t>(di)</t>
    </r>
  </si>
  <si>
    <t>li+1</t>
  </si>
  <si>
    <t>pi^hat</t>
  </si>
  <si>
    <t>Qi^hat(R1)</t>
  </si>
  <si>
    <t>Qidelta^hat</t>
  </si>
  <si>
    <t>di part</t>
  </si>
  <si>
    <t>li part</t>
  </si>
  <si>
    <t>total</t>
  </si>
  <si>
    <t>d</t>
  </si>
  <si>
    <t>td</t>
  </si>
  <si>
    <t>meu^cap</t>
  </si>
  <si>
    <t>Lambda^cap</t>
  </si>
  <si>
    <t>time interval</t>
  </si>
  <si>
    <r>
      <t xml:space="preserve">time lost
to follow up </t>
    </r>
    <r>
      <rPr>
        <b/>
        <sz val="11"/>
        <color theme="1"/>
        <rFont val="Calibri"/>
        <family val="2"/>
        <scheme val="minor"/>
      </rPr>
      <t>(li)</t>
    </r>
  </si>
  <si>
    <r>
      <t xml:space="preserve">no. withdrawn
</t>
    </r>
    <r>
      <rPr>
        <b/>
        <sz val="11"/>
        <color theme="1"/>
        <rFont val="Calibri"/>
        <family val="2"/>
        <scheme val="minor"/>
      </rPr>
      <t>(wi)</t>
    </r>
  </si>
  <si>
    <r>
      <t xml:space="preserve">no. dying
</t>
    </r>
    <r>
      <rPr>
        <b/>
        <sz val="11"/>
        <color theme="1"/>
        <rFont val="Calibri"/>
        <family val="2"/>
        <scheme val="minor"/>
      </rPr>
      <t>(di)</t>
    </r>
  </si>
  <si>
    <r>
      <t xml:space="preserve">no. entering
</t>
    </r>
    <r>
      <rPr>
        <b/>
        <sz val="11"/>
        <color theme="1"/>
        <rFont val="Calibri"/>
        <family val="2"/>
        <scheme val="minor"/>
      </rPr>
      <t>(ni)</t>
    </r>
  </si>
  <si>
    <t>ni'</t>
  </si>
  <si>
    <t>di/ni'(ni'-di)</t>
  </si>
  <si>
    <t>vstk</t>
  </si>
  <si>
    <t>DOUBT</t>
  </si>
  <si>
    <t>Doubt</t>
  </si>
  <si>
    <t>Age 
interval</t>
  </si>
  <si>
    <t>Mid year
population</t>
  </si>
  <si>
    <t>Death due
to covid-19</t>
  </si>
  <si>
    <t>Death due
to Road accident</t>
  </si>
  <si>
    <t>death due to
cvd</t>
  </si>
  <si>
    <t>death due to
thoalssium</t>
  </si>
  <si>
    <t>20-35</t>
  </si>
  <si>
    <t>10-20</t>
  </si>
  <si>
    <t>50-70</t>
  </si>
  <si>
    <t>Patient no.</t>
  </si>
  <si>
    <t>survival time 
(days)</t>
  </si>
  <si>
    <t>lamda^cap</t>
  </si>
  <si>
    <t>diti</t>
  </si>
  <si>
    <t>s.no for 
a month</t>
  </si>
  <si>
    <t>S.n0.</t>
  </si>
  <si>
    <t>Oral toothpaste</t>
  </si>
  <si>
    <t>genotypes</t>
  </si>
  <si>
    <t>freq</t>
  </si>
  <si>
    <t>aa</t>
  </si>
  <si>
    <t>a0</t>
  </si>
  <si>
    <t>ab</t>
  </si>
  <si>
    <t>bb</t>
  </si>
  <si>
    <t>b0</t>
  </si>
  <si>
    <t>oo</t>
  </si>
  <si>
    <t>pA</t>
  </si>
  <si>
    <t>pb</t>
  </si>
  <si>
    <t>p0</t>
  </si>
  <si>
    <t>li</t>
  </si>
  <si>
    <t>di1</t>
  </si>
  <si>
    <t>di2</t>
  </si>
  <si>
    <t>di3</t>
  </si>
  <si>
    <t>di4</t>
  </si>
  <si>
    <t>Qi1</t>
  </si>
  <si>
    <t>Qi4</t>
  </si>
  <si>
    <t>g1</t>
  </si>
  <si>
    <t>g2</t>
  </si>
  <si>
    <t>g3</t>
  </si>
  <si>
    <t>g4</t>
  </si>
  <si>
    <t xml:space="preserve">matrix </t>
  </si>
  <si>
    <t>delta_0</t>
  </si>
  <si>
    <t>det</t>
  </si>
  <si>
    <t>g11</t>
  </si>
  <si>
    <t>g23</t>
  </si>
  <si>
    <t>g35</t>
  </si>
  <si>
    <t>g47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</si>
</sst>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/>
    </xf>
    <xf numFmtId="0" fontId="1" fillId="0" borderId="0" xfId="0" applyFont="1"/>
    <xf numFmtId="49" fontId="0" fillId="0" borderId="5" xfId="0" applyNumberFormat="1" applyBorder="1" applyAlignment="1">
      <alignment wrapText="1"/>
    </xf>
    <xf numFmtId="49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wrapText="1"/>
    </xf>
    <xf numFmtId="49" fontId="0" fillId="0" borderId="5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1'!$D$1</c:f>
              <c:strCache>
                <c:ptCount val="1"/>
                <c:pt idx="0">
                  <c:v>s(t)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 1'!$A$2:$A$20</c:f>
              <c:strCache>
                <c:ptCount val="19"/>
                <c:pt idx="0">
                  <c:v>0-1</c:v>
                </c:pt>
                <c:pt idx="1">
                  <c:v>1-5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60-65</c:v>
                </c:pt>
                <c:pt idx="14">
                  <c:v>65-70</c:v>
                </c:pt>
                <c:pt idx="15">
                  <c:v>70-75</c:v>
                </c:pt>
                <c:pt idx="16">
                  <c:v>75-80</c:v>
                </c:pt>
                <c:pt idx="17">
                  <c:v>80-85</c:v>
                </c:pt>
                <c:pt idx="18">
                  <c:v>85-more</c:v>
                </c:pt>
              </c:strCache>
            </c:strRef>
          </c:cat>
          <c:val>
            <c:numRef>
              <c:f>'Prac 1'!$D$2:$D$20</c:f>
              <c:numCache>
                <c:formatCode>General</c:formatCode>
                <c:ptCount val="19"/>
                <c:pt idx="0">
                  <c:v>1</c:v>
                </c:pt>
                <c:pt idx="1">
                  <c:v>0.97406999999999999</c:v>
                </c:pt>
                <c:pt idx="2">
                  <c:v>0.96997999999999995</c:v>
                </c:pt>
                <c:pt idx="3">
                  <c:v>0.96765000000000001</c:v>
                </c:pt>
                <c:pt idx="4">
                  <c:v>0.96550999999999998</c:v>
                </c:pt>
                <c:pt idx="5">
                  <c:v>0.96111000000000002</c:v>
                </c:pt>
                <c:pt idx="6">
                  <c:v>0.95516999999999996</c:v>
                </c:pt>
                <c:pt idx="7">
                  <c:v>0.94904999999999995</c:v>
                </c:pt>
                <c:pt idx="8">
                  <c:v>0.94144000000000005</c:v>
                </c:pt>
                <c:pt idx="9">
                  <c:v>0.93064000000000002</c:v>
                </c:pt>
                <c:pt idx="10">
                  <c:v>0.91378000000000004</c:v>
                </c:pt>
                <c:pt idx="11">
                  <c:v>0.88756000000000002</c:v>
                </c:pt>
                <c:pt idx="12">
                  <c:v>0.84711000000000003</c:v>
                </c:pt>
                <c:pt idx="13">
                  <c:v>0.79066999999999998</c:v>
                </c:pt>
                <c:pt idx="14">
                  <c:v>0.71147000000000005</c:v>
                </c:pt>
                <c:pt idx="15">
                  <c:v>0.60857000000000006</c:v>
                </c:pt>
                <c:pt idx="16">
                  <c:v>0.48170000000000002</c:v>
                </c:pt>
                <c:pt idx="17">
                  <c:v>0.33576</c:v>
                </c:pt>
                <c:pt idx="18">
                  <c:v>0.18542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0-4DE7-AF21-266B82CD90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94329135"/>
        <c:axId val="1694329615"/>
      </c:lineChart>
      <c:catAx>
        <c:axId val="16943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29615"/>
        <c:crosses val="autoZero"/>
        <c:auto val="1"/>
        <c:lblAlgn val="ctr"/>
        <c:lblOffset val="100"/>
        <c:noMultiLvlLbl val="0"/>
      </c:catAx>
      <c:valAx>
        <c:axId val="1694329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432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1'!$E$1</c:f>
              <c:strCache>
                <c:ptCount val="1"/>
                <c:pt idx="0">
                  <c:v>f(t)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'Prac 1'!$A$2:$A$20</c:f>
              <c:strCache>
                <c:ptCount val="19"/>
                <c:pt idx="0">
                  <c:v>0-1</c:v>
                </c:pt>
                <c:pt idx="1">
                  <c:v>1-5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60-65</c:v>
                </c:pt>
                <c:pt idx="14">
                  <c:v>65-70</c:v>
                </c:pt>
                <c:pt idx="15">
                  <c:v>70-75</c:v>
                </c:pt>
                <c:pt idx="16">
                  <c:v>75-80</c:v>
                </c:pt>
                <c:pt idx="17">
                  <c:v>80-85</c:v>
                </c:pt>
                <c:pt idx="18">
                  <c:v>85-more</c:v>
                </c:pt>
              </c:strCache>
            </c:strRef>
          </c:cat>
          <c:val>
            <c:numRef>
              <c:f>'Prac 1'!$E$2:$E$20</c:f>
              <c:numCache>
                <c:formatCode>General</c:formatCode>
                <c:ptCount val="19"/>
                <c:pt idx="0">
                  <c:v>2.5930000000000002E-2</c:v>
                </c:pt>
                <c:pt idx="1">
                  <c:v>1.0225E-3</c:v>
                </c:pt>
                <c:pt idx="2">
                  <c:v>4.66E-4</c:v>
                </c:pt>
                <c:pt idx="3">
                  <c:v>4.28E-4</c:v>
                </c:pt>
                <c:pt idx="4">
                  <c:v>8.8000000000000003E-4</c:v>
                </c:pt>
                <c:pt idx="5">
                  <c:v>1.188E-3</c:v>
                </c:pt>
                <c:pt idx="6">
                  <c:v>1.224E-3</c:v>
                </c:pt>
                <c:pt idx="7">
                  <c:v>1.5219999999999999E-3</c:v>
                </c:pt>
                <c:pt idx="8">
                  <c:v>2.16E-3</c:v>
                </c:pt>
                <c:pt idx="9">
                  <c:v>3.372E-3</c:v>
                </c:pt>
                <c:pt idx="10">
                  <c:v>5.2440000000000004E-3</c:v>
                </c:pt>
                <c:pt idx="11">
                  <c:v>8.09E-3</c:v>
                </c:pt>
                <c:pt idx="12">
                  <c:v>1.1287999999999999E-2</c:v>
                </c:pt>
                <c:pt idx="13">
                  <c:v>1.584E-2</c:v>
                </c:pt>
                <c:pt idx="14">
                  <c:v>2.0580000000000001E-2</c:v>
                </c:pt>
                <c:pt idx="15">
                  <c:v>2.5374000000000001E-2</c:v>
                </c:pt>
                <c:pt idx="16">
                  <c:v>2.9187999999999999E-2</c:v>
                </c:pt>
                <c:pt idx="17">
                  <c:v>3.0068000000000001E-2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1-4B6D-B4E5-2D3D83ED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94854463"/>
        <c:axId val="1694848703"/>
      </c:lineChart>
      <c:catAx>
        <c:axId val="16948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8703"/>
        <c:crosses val="autoZero"/>
        <c:auto val="1"/>
        <c:lblAlgn val="ctr"/>
        <c:lblOffset val="100"/>
        <c:noMultiLvlLbl val="0"/>
      </c:catAx>
      <c:valAx>
        <c:axId val="169484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1'!$F$1</c:f>
              <c:strCache>
                <c:ptCount val="1"/>
                <c:pt idx="0">
                  <c:v>h(t)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'Prac 1'!$A$2:$A$20</c:f>
              <c:strCache>
                <c:ptCount val="19"/>
                <c:pt idx="0">
                  <c:v>0-1</c:v>
                </c:pt>
                <c:pt idx="1">
                  <c:v>1-5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60-65</c:v>
                </c:pt>
                <c:pt idx="14">
                  <c:v>65-70</c:v>
                </c:pt>
                <c:pt idx="15">
                  <c:v>70-75</c:v>
                </c:pt>
                <c:pt idx="16">
                  <c:v>75-80</c:v>
                </c:pt>
                <c:pt idx="17">
                  <c:v>80-85</c:v>
                </c:pt>
                <c:pt idx="18">
                  <c:v>85-more</c:v>
                </c:pt>
              </c:strCache>
            </c:strRef>
          </c:cat>
          <c:val>
            <c:numRef>
              <c:f>'Prac 1'!$F$2:$F$20</c:f>
              <c:numCache>
                <c:formatCode>General</c:formatCode>
                <c:ptCount val="19"/>
                <c:pt idx="0">
                  <c:v>2.5930000000000002E-2</c:v>
                </c:pt>
                <c:pt idx="1">
                  <c:v>1.0497192193579517E-3</c:v>
                </c:pt>
                <c:pt idx="2">
                  <c:v>4.8042227674797419E-4</c:v>
                </c:pt>
                <c:pt idx="3">
                  <c:v>4.4230868599183591E-4</c:v>
                </c:pt>
                <c:pt idx="4">
                  <c:v>9.1143540719412547E-4</c:v>
                </c:pt>
                <c:pt idx="5">
                  <c:v>1.2360707931454256E-3</c:v>
                </c:pt>
                <c:pt idx="6">
                  <c:v>1.2814472816357299E-3</c:v>
                </c:pt>
                <c:pt idx="7">
                  <c:v>1.6037089721300248E-3</c:v>
                </c:pt>
                <c:pt idx="8">
                  <c:v>2.2943575798776341E-3</c:v>
                </c:pt>
                <c:pt idx="9">
                  <c:v>3.6233129889108569E-3</c:v>
                </c:pt>
                <c:pt idx="10">
                  <c:v>5.7387992733480709E-3</c:v>
                </c:pt>
                <c:pt idx="11">
                  <c:v>9.1148767407273866E-3</c:v>
                </c:pt>
                <c:pt idx="12">
                  <c:v>1.3325306040537827E-2</c:v>
                </c:pt>
                <c:pt idx="13">
                  <c:v>2.0033642353952975E-2</c:v>
                </c:pt>
                <c:pt idx="14">
                  <c:v>2.8926026396053243E-2</c:v>
                </c:pt>
                <c:pt idx="15">
                  <c:v>4.1694464071511901E-2</c:v>
                </c:pt>
                <c:pt idx="16">
                  <c:v>6.0593730537679046E-2</c:v>
                </c:pt>
                <c:pt idx="17">
                  <c:v>8.9552060995949492E-2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7A4-9E78-4D77EB0F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0605151"/>
        <c:axId val="60603231"/>
      </c:lineChart>
      <c:catAx>
        <c:axId val="606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231"/>
        <c:crosses val="autoZero"/>
        <c:auto val="1"/>
        <c:lblAlgn val="ctr"/>
        <c:lblOffset val="100"/>
        <c:noMultiLvlLbl val="0"/>
      </c:catAx>
      <c:valAx>
        <c:axId val="6060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2'!$D$1</c:f>
              <c:strCache>
                <c:ptCount val="1"/>
                <c:pt idx="0">
                  <c:v>s(t)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'Prac 2'!$A$2:$A$12</c:f>
              <c:strCache>
                <c:ptCount val="11"/>
                <c:pt idx="0">
                  <c:v>0-1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50-more</c:v>
                </c:pt>
              </c:strCache>
            </c:strRef>
          </c:cat>
          <c:val>
            <c:numRef>
              <c:f>'Prac 2'!$D$2:$D$12</c:f>
              <c:numCache>
                <c:formatCode>General</c:formatCode>
                <c:ptCount val="11"/>
                <c:pt idx="0">
                  <c:v>1</c:v>
                </c:pt>
                <c:pt idx="1">
                  <c:v>0.875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0.45</c:v>
                </c:pt>
                <c:pt idx="5">
                  <c:v>0.32500000000000001</c:v>
                </c:pt>
                <c:pt idx="6">
                  <c:v>0.22500000000000001</c:v>
                </c:pt>
                <c:pt idx="7">
                  <c:v>0.125</c:v>
                </c:pt>
                <c:pt idx="8">
                  <c:v>0.125</c:v>
                </c:pt>
                <c:pt idx="9">
                  <c:v>7.4999999999999997E-2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A-465F-9049-E73D2623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33922623"/>
        <c:axId val="1933921663"/>
      </c:lineChart>
      <c:catAx>
        <c:axId val="19339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21663"/>
        <c:crosses val="autoZero"/>
        <c:auto val="1"/>
        <c:lblAlgn val="ctr"/>
        <c:lblOffset val="100"/>
        <c:noMultiLvlLbl val="0"/>
      </c:catAx>
      <c:valAx>
        <c:axId val="193392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2'!$E$1</c:f>
              <c:strCache>
                <c:ptCount val="1"/>
                <c:pt idx="0">
                  <c:v>f(t)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'Prac 2'!$A$2:$A$12</c:f>
              <c:strCache>
                <c:ptCount val="11"/>
                <c:pt idx="0">
                  <c:v>0-1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50-more</c:v>
                </c:pt>
              </c:strCache>
            </c:strRef>
          </c:cat>
          <c:val>
            <c:numRef>
              <c:f>'Prac 2'!$E$2:$E$12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3.5000000000000003E-2</c:v>
                </c:pt>
                <c:pt idx="2">
                  <c:v>0.03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A-453D-AA26-611309E5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94331055"/>
        <c:axId val="1925807807"/>
      </c:lineChart>
      <c:catAx>
        <c:axId val="16943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7807"/>
        <c:crosses val="autoZero"/>
        <c:auto val="1"/>
        <c:lblAlgn val="ctr"/>
        <c:lblOffset val="100"/>
        <c:noMultiLvlLbl val="0"/>
      </c:catAx>
      <c:valAx>
        <c:axId val="192580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2'!$F$1</c:f>
              <c:strCache>
                <c:ptCount val="1"/>
                <c:pt idx="0">
                  <c:v>h(t)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'Prac 2'!$A$2:$A$12</c:f>
              <c:strCache>
                <c:ptCount val="11"/>
                <c:pt idx="0">
                  <c:v>0-1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50-more</c:v>
                </c:pt>
              </c:strCache>
            </c:strRef>
          </c:cat>
          <c:val>
            <c:numRef>
              <c:f>'Prac 2'!$F$2:$F$12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0.04</c:v>
                </c:pt>
                <c:pt idx="2">
                  <c:v>4.2857142857142858E-2</c:v>
                </c:pt>
                <c:pt idx="3">
                  <c:v>3.6363636363636362E-2</c:v>
                </c:pt>
                <c:pt idx="4">
                  <c:v>5.5555555555555559E-2</c:v>
                </c:pt>
                <c:pt idx="5">
                  <c:v>6.1538461538461535E-2</c:v>
                </c:pt>
                <c:pt idx="6">
                  <c:v>8.8888888888888892E-2</c:v>
                </c:pt>
                <c:pt idx="7">
                  <c:v>0</c:v>
                </c:pt>
                <c:pt idx="8">
                  <c:v>0.08</c:v>
                </c:pt>
                <c:pt idx="9">
                  <c:v>6.6666666666666666E-2</c:v>
                </c:pt>
                <c:pt idx="10">
                  <c:v>0.19999999999999998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5EE-8274-C5A243A3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2305343"/>
        <c:axId val="182313983"/>
      </c:lineChart>
      <c:catAx>
        <c:axId val="1823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3983"/>
        <c:crosses val="autoZero"/>
        <c:auto val="1"/>
        <c:lblAlgn val="ctr"/>
        <c:lblOffset val="100"/>
        <c:noMultiLvlLbl val="0"/>
      </c:catAx>
      <c:valAx>
        <c:axId val="18231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4'!$E$1</c:f>
              <c:strCache>
                <c:ptCount val="1"/>
                <c:pt idx="0">
                  <c:v>ht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'Prac 4'!$E$2:$E$16</c:f>
              <c:numCache>
                <c:formatCode>General</c:formatCode>
                <c:ptCount val="15"/>
                <c:pt idx="0">
                  <c:v>7.0210631895687062E-2</c:v>
                </c:pt>
                <c:pt idx="1">
                  <c:v>9.3446601941747559E-2</c:v>
                </c:pt>
                <c:pt idx="2">
                  <c:v>0.10911424903722722</c:v>
                </c:pt>
                <c:pt idx="3">
                  <c:v>0.12482853223593965</c:v>
                </c:pt>
                <c:pt idx="4">
                  <c:v>0.12694125590817015</c:v>
                </c:pt>
                <c:pt idx="5">
                  <c:v>0.17235494880546073</c:v>
                </c:pt>
                <c:pt idx="6">
                  <c:v>0.21199143468950751</c:v>
                </c:pt>
                <c:pt idx="7">
                  <c:v>0.22171945701357471</c:v>
                </c:pt>
                <c:pt idx="8">
                  <c:v>0.22272727272727277</c:v>
                </c:pt>
                <c:pt idx="9">
                  <c:v>0.23188405797101447</c:v>
                </c:pt>
                <c:pt idx="10">
                  <c:v>0.29961089494163423</c:v>
                </c:pt>
                <c:pt idx="11">
                  <c:v>0.31601731601731603</c:v>
                </c:pt>
                <c:pt idx="12">
                  <c:v>0.32394366197183105</c:v>
                </c:pt>
                <c:pt idx="13">
                  <c:v>0.35329341317365259</c:v>
                </c:pt>
                <c:pt idx="14">
                  <c:v>0.3828125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A-43B3-B2B7-A633A90E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9712095"/>
        <c:axId val="2029714495"/>
      </c:lineChart>
      <c:catAx>
        <c:axId val="20297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14495"/>
        <c:crosses val="autoZero"/>
        <c:auto val="1"/>
        <c:lblAlgn val="ctr"/>
        <c:lblOffset val="100"/>
        <c:noMultiLvlLbl val="0"/>
      </c:catAx>
      <c:valAx>
        <c:axId val="202971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4'!$D$1</c:f>
              <c:strCache>
                <c:ptCount val="1"/>
                <c:pt idx="0">
                  <c:v>st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'Prac 4'!$D$2:$D$16</c:f>
              <c:numCache>
                <c:formatCode>General</c:formatCode>
                <c:ptCount val="15"/>
                <c:pt idx="0">
                  <c:v>0.997</c:v>
                </c:pt>
                <c:pt idx="1">
                  <c:v>0.82400000000000007</c:v>
                </c:pt>
                <c:pt idx="2">
                  <c:v>0.77900000000000003</c:v>
                </c:pt>
                <c:pt idx="3">
                  <c:v>0.72899999999999998</c:v>
                </c:pt>
                <c:pt idx="4">
                  <c:v>0.74049999999999994</c:v>
                </c:pt>
                <c:pt idx="5">
                  <c:v>0.58600000000000008</c:v>
                </c:pt>
                <c:pt idx="6">
                  <c:v>0.46699999999999997</c:v>
                </c:pt>
                <c:pt idx="7">
                  <c:v>0.44199999999999995</c:v>
                </c:pt>
                <c:pt idx="8">
                  <c:v>0.43999999999999995</c:v>
                </c:pt>
                <c:pt idx="9">
                  <c:v>0.41400000000000003</c:v>
                </c:pt>
                <c:pt idx="10">
                  <c:v>0.25700000000000001</c:v>
                </c:pt>
                <c:pt idx="11">
                  <c:v>0.23099999999999998</c:v>
                </c:pt>
                <c:pt idx="12">
                  <c:v>0.21299999999999997</c:v>
                </c:pt>
                <c:pt idx="13">
                  <c:v>0.16700000000000004</c:v>
                </c:pt>
                <c:pt idx="14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2-49D5-BAEC-3A618906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94853023"/>
        <c:axId val="1694853983"/>
      </c:lineChart>
      <c:catAx>
        <c:axId val="169485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3983"/>
        <c:crosses val="autoZero"/>
        <c:auto val="1"/>
        <c:lblAlgn val="ctr"/>
        <c:lblOffset val="100"/>
        <c:noMultiLvlLbl val="0"/>
      </c:catAx>
      <c:valAx>
        <c:axId val="169485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249482</xdr:colOff>
      <xdr:row>0</xdr:row>
      <xdr:rowOff>213318</xdr:rowOff>
    </xdr:from>
    <xdr:to>
      <xdr:col>20</xdr:col>
      <xdr:colOff>489284</xdr:colOff>
      <xdr:row>23</xdr:row>
      <xdr:rowOff>72190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F34ED-14BA-692A-ED44-430C4D15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12843</xdr:colOff>
      <xdr:row>0</xdr:row>
      <xdr:rowOff>242299</xdr:rowOff>
    </xdr:from>
    <xdr:to>
      <xdr:col>28</xdr:col>
      <xdr:colOff>329629</xdr:colOff>
      <xdr:row>13</xdr:row>
      <xdr:rowOff>100173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32E70-68F2-D136-48C0-7F244937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89899</xdr:colOff>
      <xdr:row>14</xdr:row>
      <xdr:rowOff>113872</xdr:rowOff>
    </xdr:from>
    <xdr:to>
      <xdr:col>28</xdr:col>
      <xdr:colOff>406685</xdr:colOff>
      <xdr:row>29</xdr:row>
      <xdr:rowOff>160106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35EAE-E96C-7232-47C6-A223BC13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129540</xdr:rowOff>
    </xdr:from>
    <xdr:to>
      <xdr:col>14</xdr:col>
      <xdr:colOff>137160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090F5-ED0E-3142-09AF-5682DE17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182880</xdr:rowOff>
    </xdr:from>
    <xdr:to>
      <xdr:col>22</xdr:col>
      <xdr:colOff>289560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A29B4-E218-3AD7-CB69-DC4887E9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13</xdr:row>
      <xdr:rowOff>68580</xdr:rowOff>
    </xdr:from>
    <xdr:to>
      <xdr:col>14</xdr:col>
      <xdr:colOff>114300</xdr:colOff>
      <xdr:row>28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0CE46-8CEC-739A-6BAA-5C6D9E59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160020</xdr:rowOff>
    </xdr:from>
    <xdr:to>
      <xdr:col>13</xdr:col>
      <xdr:colOff>381000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5D58D-DD07-E6C1-5974-EA9919F8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</xdr:row>
      <xdr:rowOff>60960</xdr:rowOff>
    </xdr:from>
    <xdr:to>
      <xdr:col>21</xdr:col>
      <xdr:colOff>495300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9F3B3-9291-DE27-6D52-358A7DD7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7589-3B5F-4BA6-BD07-5CEB26CB8AF6}">
  <dimension ref="A1:F20"/>
  <sheetViews>
    <sheetView topLeftCell="A2" zoomScale="89" workbookViewId="0">
      <selection activeCell="K30" sqref="K30"/>
    </sheetView>
  </sheetViews>
  <sheetFormatPr defaultRowHeight="14.4" x14ac:dyDescent="0.3"/>
  <cols>
    <col min="1" max="1" width="8.88671875" style="2"/>
  </cols>
  <sheetData>
    <row r="1" spans="1:6" ht="57.6" x14ac:dyDescent="0.3">
      <c r="A1" s="2" t="s">
        <v>0</v>
      </c>
      <c r="B1" s="1" t="s">
        <v>1</v>
      </c>
      <c r="C1" s="1" t="s">
        <v>2</v>
      </c>
      <c r="D1" t="s">
        <v>23</v>
      </c>
      <c r="E1" t="s">
        <v>24</v>
      </c>
      <c r="F1" t="s">
        <v>25</v>
      </c>
    </row>
    <row r="2" spans="1:6" x14ac:dyDescent="0.3">
      <c r="A2" s="2" t="s">
        <v>3</v>
      </c>
      <c r="B2">
        <v>100000</v>
      </c>
      <c r="C2">
        <v>2593</v>
      </c>
      <c r="D2">
        <f>B2/$B$2</f>
        <v>1</v>
      </c>
      <c r="E2">
        <f>C2/$B$2</f>
        <v>2.5930000000000002E-2</v>
      </c>
      <c r="F2">
        <f>E2/D2</f>
        <v>2.5930000000000002E-2</v>
      </c>
    </row>
    <row r="3" spans="1:6" x14ac:dyDescent="0.3">
      <c r="A3" s="2" t="s">
        <v>5</v>
      </c>
      <c r="B3">
        <f>B2-C2</f>
        <v>97407</v>
      </c>
      <c r="C3">
        <v>409</v>
      </c>
      <c r="D3">
        <f t="shared" ref="D3:D20" si="0">B3/$B$2</f>
        <v>0.97406999999999999</v>
      </c>
      <c r="E3">
        <f>C3/($B$2*4)</f>
        <v>1.0225E-3</v>
      </c>
      <c r="F3">
        <f t="shared" ref="F3:F19" si="1">E3/D3</f>
        <v>1.0497192193579517E-3</v>
      </c>
    </row>
    <row r="4" spans="1:6" x14ac:dyDescent="0.3">
      <c r="A4" s="2" t="s">
        <v>4</v>
      </c>
      <c r="B4">
        <f t="shared" ref="B4:B20" si="2">B3-C3</f>
        <v>96998</v>
      </c>
      <c r="C4">
        <v>233</v>
      </c>
      <c r="D4">
        <f t="shared" si="0"/>
        <v>0.96997999999999995</v>
      </c>
      <c r="E4">
        <f t="shared" ref="E4:E19" si="3">C4/($B$2*5)</f>
        <v>4.66E-4</v>
      </c>
      <c r="F4">
        <f t="shared" si="1"/>
        <v>4.8042227674797419E-4</v>
      </c>
    </row>
    <row r="5" spans="1:6" x14ac:dyDescent="0.3">
      <c r="A5" s="2" t="s">
        <v>6</v>
      </c>
      <c r="B5">
        <f>B4-C4</f>
        <v>96765</v>
      </c>
      <c r="C5">
        <v>214</v>
      </c>
      <c r="D5">
        <f t="shared" si="0"/>
        <v>0.96765000000000001</v>
      </c>
      <c r="E5">
        <f t="shared" si="3"/>
        <v>4.28E-4</v>
      </c>
      <c r="F5">
        <f t="shared" si="1"/>
        <v>4.4230868599183591E-4</v>
      </c>
    </row>
    <row r="6" spans="1:6" x14ac:dyDescent="0.3">
      <c r="A6" s="2" t="s">
        <v>7</v>
      </c>
      <c r="B6">
        <f t="shared" si="2"/>
        <v>96551</v>
      </c>
      <c r="C6">
        <v>440</v>
      </c>
      <c r="D6">
        <f t="shared" si="0"/>
        <v>0.96550999999999998</v>
      </c>
      <c r="E6">
        <f t="shared" si="3"/>
        <v>8.8000000000000003E-4</v>
      </c>
      <c r="F6">
        <f t="shared" si="1"/>
        <v>9.1143540719412547E-4</v>
      </c>
    </row>
    <row r="7" spans="1:6" x14ac:dyDescent="0.3">
      <c r="A7" s="2" t="s">
        <v>8</v>
      </c>
      <c r="B7">
        <f t="shared" si="2"/>
        <v>96111</v>
      </c>
      <c r="C7">
        <v>594</v>
      </c>
      <c r="D7">
        <f t="shared" si="0"/>
        <v>0.96111000000000002</v>
      </c>
      <c r="E7">
        <f t="shared" si="3"/>
        <v>1.188E-3</v>
      </c>
      <c r="F7">
        <f t="shared" si="1"/>
        <v>1.2360707931454256E-3</v>
      </c>
    </row>
    <row r="8" spans="1:6" x14ac:dyDescent="0.3">
      <c r="A8" s="2" t="s">
        <v>9</v>
      </c>
      <c r="B8">
        <f t="shared" si="2"/>
        <v>95517</v>
      </c>
      <c r="C8">
        <v>612</v>
      </c>
      <c r="D8">
        <f t="shared" si="0"/>
        <v>0.95516999999999996</v>
      </c>
      <c r="E8">
        <f t="shared" si="3"/>
        <v>1.224E-3</v>
      </c>
      <c r="F8">
        <f t="shared" si="1"/>
        <v>1.2814472816357299E-3</v>
      </c>
    </row>
    <row r="9" spans="1:6" x14ac:dyDescent="0.3">
      <c r="A9" s="2" t="s">
        <v>10</v>
      </c>
      <c r="B9">
        <f t="shared" si="2"/>
        <v>94905</v>
      </c>
      <c r="C9">
        <v>761</v>
      </c>
      <c r="D9">
        <f t="shared" si="0"/>
        <v>0.94904999999999995</v>
      </c>
      <c r="E9">
        <f t="shared" si="3"/>
        <v>1.5219999999999999E-3</v>
      </c>
      <c r="F9">
        <f t="shared" si="1"/>
        <v>1.6037089721300248E-3</v>
      </c>
    </row>
    <row r="10" spans="1:6" x14ac:dyDescent="0.3">
      <c r="A10" s="2" t="s">
        <v>12</v>
      </c>
      <c r="B10">
        <f t="shared" si="2"/>
        <v>94144</v>
      </c>
      <c r="C10">
        <v>1080</v>
      </c>
      <c r="D10">
        <f t="shared" si="0"/>
        <v>0.94144000000000005</v>
      </c>
      <c r="E10">
        <f t="shared" si="3"/>
        <v>2.16E-3</v>
      </c>
      <c r="F10">
        <f t="shared" si="1"/>
        <v>2.2943575798776341E-3</v>
      </c>
    </row>
    <row r="11" spans="1:6" x14ac:dyDescent="0.3">
      <c r="A11" s="2" t="s">
        <v>13</v>
      </c>
      <c r="B11">
        <f t="shared" si="2"/>
        <v>93064</v>
      </c>
      <c r="C11">
        <v>1686</v>
      </c>
      <c r="D11">
        <f t="shared" si="0"/>
        <v>0.93064000000000002</v>
      </c>
      <c r="E11">
        <f t="shared" si="3"/>
        <v>3.372E-3</v>
      </c>
      <c r="F11">
        <f t="shared" si="1"/>
        <v>3.6233129889108569E-3</v>
      </c>
    </row>
    <row r="12" spans="1:6" x14ac:dyDescent="0.3">
      <c r="A12" s="2" t="s">
        <v>14</v>
      </c>
      <c r="B12">
        <f t="shared" si="2"/>
        <v>91378</v>
      </c>
      <c r="C12">
        <v>2622</v>
      </c>
      <c r="D12">
        <f t="shared" si="0"/>
        <v>0.91378000000000004</v>
      </c>
      <c r="E12">
        <f t="shared" si="3"/>
        <v>5.2440000000000004E-3</v>
      </c>
      <c r="F12">
        <f t="shared" si="1"/>
        <v>5.7387992733480709E-3</v>
      </c>
    </row>
    <row r="13" spans="1:6" x14ac:dyDescent="0.3">
      <c r="A13" s="2" t="s">
        <v>15</v>
      </c>
      <c r="B13">
        <f t="shared" si="2"/>
        <v>88756</v>
      </c>
      <c r="C13">
        <v>4045</v>
      </c>
      <c r="D13">
        <f t="shared" si="0"/>
        <v>0.88756000000000002</v>
      </c>
      <c r="E13">
        <f t="shared" si="3"/>
        <v>8.09E-3</v>
      </c>
      <c r="F13">
        <f t="shared" si="1"/>
        <v>9.1148767407273866E-3</v>
      </c>
    </row>
    <row r="14" spans="1:6" x14ac:dyDescent="0.3">
      <c r="A14" s="2" t="s">
        <v>16</v>
      </c>
      <c r="B14">
        <f t="shared" si="2"/>
        <v>84711</v>
      </c>
      <c r="C14">
        <v>5644</v>
      </c>
      <c r="D14">
        <f t="shared" si="0"/>
        <v>0.84711000000000003</v>
      </c>
      <c r="E14">
        <f t="shared" si="3"/>
        <v>1.1287999999999999E-2</v>
      </c>
      <c r="F14">
        <f t="shared" si="1"/>
        <v>1.3325306040537827E-2</v>
      </c>
    </row>
    <row r="15" spans="1:6" x14ac:dyDescent="0.3">
      <c r="A15" s="2" t="s">
        <v>17</v>
      </c>
      <c r="B15">
        <f t="shared" si="2"/>
        <v>79067</v>
      </c>
      <c r="C15">
        <v>7920</v>
      </c>
      <c r="D15">
        <f t="shared" si="0"/>
        <v>0.79066999999999998</v>
      </c>
      <c r="E15">
        <f t="shared" si="3"/>
        <v>1.584E-2</v>
      </c>
      <c r="F15">
        <f t="shared" si="1"/>
        <v>2.0033642353952975E-2</v>
      </c>
    </row>
    <row r="16" spans="1:6" x14ac:dyDescent="0.3">
      <c r="A16" s="2" t="s">
        <v>18</v>
      </c>
      <c r="B16">
        <f t="shared" si="2"/>
        <v>71147</v>
      </c>
      <c r="C16">
        <v>10290</v>
      </c>
      <c r="D16">
        <f t="shared" si="0"/>
        <v>0.71147000000000005</v>
      </c>
      <c r="E16">
        <f t="shared" si="3"/>
        <v>2.0580000000000001E-2</v>
      </c>
      <c r="F16">
        <f t="shared" si="1"/>
        <v>2.8926026396053243E-2</v>
      </c>
    </row>
    <row r="17" spans="1:6" x14ac:dyDescent="0.3">
      <c r="A17" s="2" t="s">
        <v>19</v>
      </c>
      <c r="B17">
        <f t="shared" si="2"/>
        <v>60857</v>
      </c>
      <c r="C17">
        <v>12687</v>
      </c>
      <c r="D17">
        <f t="shared" si="0"/>
        <v>0.60857000000000006</v>
      </c>
      <c r="E17">
        <f t="shared" si="3"/>
        <v>2.5374000000000001E-2</v>
      </c>
      <c r="F17">
        <f t="shared" si="1"/>
        <v>4.1694464071511901E-2</v>
      </c>
    </row>
    <row r="18" spans="1:6" x14ac:dyDescent="0.3">
      <c r="A18" s="2" t="s">
        <v>20</v>
      </c>
      <c r="B18">
        <f t="shared" si="2"/>
        <v>48170</v>
      </c>
      <c r="C18">
        <v>14594</v>
      </c>
      <c r="D18">
        <f t="shared" si="0"/>
        <v>0.48170000000000002</v>
      </c>
      <c r="E18">
        <f t="shared" si="3"/>
        <v>2.9187999999999999E-2</v>
      </c>
      <c r="F18">
        <f t="shared" si="1"/>
        <v>6.0593730537679046E-2</v>
      </c>
    </row>
    <row r="19" spans="1:6" x14ac:dyDescent="0.3">
      <c r="A19" s="2" t="s">
        <v>21</v>
      </c>
      <c r="B19">
        <f t="shared" si="2"/>
        <v>33576</v>
      </c>
      <c r="C19">
        <v>15034</v>
      </c>
      <c r="D19">
        <f t="shared" si="0"/>
        <v>0.33576</v>
      </c>
      <c r="E19">
        <f t="shared" si="3"/>
        <v>3.0068000000000001E-2</v>
      </c>
      <c r="F19">
        <f t="shared" si="1"/>
        <v>8.9552060995949492E-2</v>
      </c>
    </row>
    <row r="20" spans="1:6" x14ac:dyDescent="0.3">
      <c r="A20" s="2" t="s">
        <v>22</v>
      </c>
      <c r="B20">
        <f t="shared" si="2"/>
        <v>18542</v>
      </c>
      <c r="C20">
        <v>18542</v>
      </c>
      <c r="D20">
        <f t="shared" si="0"/>
        <v>0.18542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E400-9B24-4B6C-9CD4-BBF538609CE3}">
  <dimension ref="A1:E10"/>
  <sheetViews>
    <sheetView topLeftCell="A3" workbookViewId="0">
      <selection activeCell="H31" sqref="H31"/>
    </sheetView>
  </sheetViews>
  <sheetFormatPr defaultRowHeight="14.4" x14ac:dyDescent="0.3"/>
  <sheetData>
    <row r="1" spans="1:5" ht="38.4" x14ac:dyDescent="0.7">
      <c r="A1" s="29" t="s">
        <v>109</v>
      </c>
      <c r="B1" s="29"/>
      <c r="C1" s="29"/>
      <c r="D1" s="29"/>
    </row>
    <row r="3" spans="1:5" x14ac:dyDescent="0.3">
      <c r="A3" t="s">
        <v>110</v>
      </c>
      <c r="B3" t="s">
        <v>111</v>
      </c>
    </row>
    <row r="4" spans="1:5" x14ac:dyDescent="0.3">
      <c r="A4" t="s">
        <v>112</v>
      </c>
      <c r="B4">
        <v>0.08</v>
      </c>
      <c r="D4" t="s">
        <v>118</v>
      </c>
      <c r="E4">
        <f>B4/B10+(1/2*B5)+(1/2*B6)</f>
        <v>0.26</v>
      </c>
    </row>
    <row r="5" spans="1:5" x14ac:dyDescent="0.3">
      <c r="A5" t="s">
        <v>113</v>
      </c>
      <c r="B5">
        <v>0.3</v>
      </c>
    </row>
    <row r="6" spans="1:5" x14ac:dyDescent="0.3">
      <c r="A6" t="s">
        <v>114</v>
      </c>
      <c r="B6">
        <v>0.06</v>
      </c>
    </row>
    <row r="7" spans="1:5" x14ac:dyDescent="0.3">
      <c r="A7" t="s">
        <v>115</v>
      </c>
      <c r="B7">
        <v>0.04</v>
      </c>
      <c r="D7" t="s">
        <v>119</v>
      </c>
      <c r="E7">
        <f>B7+(1/2*B8)+(1/2*B6)</f>
        <v>0.13</v>
      </c>
    </row>
    <row r="8" spans="1:5" x14ac:dyDescent="0.3">
      <c r="A8" t="s">
        <v>116</v>
      </c>
      <c r="B8">
        <v>0.12</v>
      </c>
    </row>
    <row r="9" spans="1:5" x14ac:dyDescent="0.3">
      <c r="A9" t="s">
        <v>117</v>
      </c>
      <c r="B9">
        <v>0.4</v>
      </c>
      <c r="D9" t="s">
        <v>120</v>
      </c>
      <c r="E9">
        <f>B9+(1/2*B8)+(1/2*B5)</f>
        <v>0.61</v>
      </c>
    </row>
    <row r="10" spans="1:5" x14ac:dyDescent="0.3">
      <c r="A10" t="s">
        <v>79</v>
      </c>
      <c r="B10">
        <f>SUM(B4:B9)</f>
        <v>1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8F3F-0314-4441-A947-4060B40C4267}">
  <dimension ref="A1:I15"/>
  <sheetViews>
    <sheetView workbookViewId="0">
      <selection activeCell="D5" sqref="D5"/>
    </sheetView>
  </sheetViews>
  <sheetFormatPr defaultRowHeight="14.4" x14ac:dyDescent="0.3"/>
  <cols>
    <col min="1" max="1" width="10.5546875" style="2" bestFit="1" customWidth="1"/>
    <col min="2" max="2" width="9.6640625" customWidth="1"/>
    <col min="3" max="3" width="10.88671875" customWidth="1"/>
  </cols>
  <sheetData>
    <row r="1" spans="1:9" ht="57.6" x14ac:dyDescent="0.3">
      <c r="A1" s="19" t="s">
        <v>94</v>
      </c>
      <c r="B1" s="22" t="s">
        <v>95</v>
      </c>
      <c r="C1" s="22" t="s">
        <v>96</v>
      </c>
      <c r="D1" s="22" t="s">
        <v>97</v>
      </c>
      <c r="E1" s="22" t="s">
        <v>98</v>
      </c>
      <c r="F1" s="22" t="s">
        <v>99</v>
      </c>
      <c r="G1" s="22" t="s">
        <v>79</v>
      </c>
    </row>
    <row r="2" spans="1:9" x14ac:dyDescent="0.3">
      <c r="A2" s="20" t="s">
        <v>27</v>
      </c>
      <c r="B2" s="21">
        <v>70630</v>
      </c>
      <c r="C2" s="21">
        <v>740</v>
      </c>
      <c r="D2" s="21">
        <v>60</v>
      </c>
      <c r="E2" s="21">
        <v>615</v>
      </c>
      <c r="F2" s="21">
        <v>28</v>
      </c>
      <c r="G2" s="21">
        <v>5706</v>
      </c>
    </row>
    <row r="3" spans="1:9" x14ac:dyDescent="0.3">
      <c r="A3" s="20" t="s">
        <v>4</v>
      </c>
      <c r="B3" s="21">
        <v>81911</v>
      </c>
      <c r="C3" s="21">
        <v>440</v>
      </c>
      <c r="D3" s="21">
        <v>80</v>
      </c>
      <c r="E3" s="21">
        <v>819</v>
      </c>
      <c r="F3" s="21">
        <v>15</v>
      </c>
      <c r="G3" s="21">
        <v>670</v>
      </c>
    </row>
    <row r="4" spans="1:9" x14ac:dyDescent="0.3">
      <c r="A4" s="20" t="s">
        <v>101</v>
      </c>
      <c r="B4" s="21">
        <v>74885</v>
      </c>
      <c r="C4" s="21">
        <v>25</v>
      </c>
      <c r="D4" s="21">
        <v>250</v>
      </c>
      <c r="E4" s="21">
        <v>1084</v>
      </c>
      <c r="F4" s="21">
        <v>77</v>
      </c>
      <c r="G4" s="21">
        <v>7000</v>
      </c>
    </row>
    <row r="5" spans="1:9" x14ac:dyDescent="0.3">
      <c r="A5" s="20" t="s">
        <v>100</v>
      </c>
      <c r="B5" s="21">
        <v>105675</v>
      </c>
      <c r="C5" s="21">
        <v>300</v>
      </c>
      <c r="D5" s="21">
        <v>300</v>
      </c>
      <c r="E5" s="21">
        <v>1250</v>
      </c>
      <c r="F5" s="21">
        <v>58</v>
      </c>
      <c r="G5" s="21">
        <v>15000</v>
      </c>
    </row>
    <row r="6" spans="1:9" x14ac:dyDescent="0.3">
      <c r="A6" s="20" t="s">
        <v>11</v>
      </c>
      <c r="B6" s="21">
        <v>127567</v>
      </c>
      <c r="C6" s="21">
        <v>7</v>
      </c>
      <c r="D6" s="21">
        <v>70</v>
      </c>
      <c r="E6" s="21">
        <v>1157</v>
      </c>
      <c r="F6" s="21">
        <v>60</v>
      </c>
      <c r="G6" s="21">
        <v>16000</v>
      </c>
    </row>
    <row r="7" spans="1:9" x14ac:dyDescent="0.3">
      <c r="A7" s="20" t="s">
        <v>102</v>
      </c>
      <c r="B7" s="21">
        <v>140752</v>
      </c>
      <c r="C7" s="21">
        <v>58</v>
      </c>
      <c r="D7" s="21">
        <v>58</v>
      </c>
      <c r="E7" s="21">
        <v>1652</v>
      </c>
      <c r="F7" s="21">
        <v>61</v>
      </c>
      <c r="G7" s="21">
        <v>15799</v>
      </c>
    </row>
    <row r="9" spans="1:9" ht="28.8" x14ac:dyDescent="0.3">
      <c r="A9" s="23" t="s">
        <v>94</v>
      </c>
      <c r="B9" s="24" t="s">
        <v>121</v>
      </c>
      <c r="C9" s="24" t="s">
        <v>122</v>
      </c>
      <c r="D9" s="24" t="s">
        <v>123</v>
      </c>
      <c r="E9" s="24" t="s">
        <v>124</v>
      </c>
      <c r="F9" s="24" t="s">
        <v>125</v>
      </c>
      <c r="G9" s="24" t="s">
        <v>79</v>
      </c>
      <c r="H9" s="24" t="s">
        <v>126</v>
      </c>
      <c r="I9" s="25" t="s">
        <v>127</v>
      </c>
    </row>
    <row r="10" spans="1:9" x14ac:dyDescent="0.3">
      <c r="A10" s="20" t="s">
        <v>27</v>
      </c>
      <c r="B10" s="21">
        <v>70630</v>
      </c>
      <c r="C10" s="21">
        <v>740</v>
      </c>
      <c r="D10" s="21">
        <v>60</v>
      </c>
      <c r="E10" s="21">
        <v>615</v>
      </c>
      <c r="F10" s="21">
        <v>28</v>
      </c>
      <c r="G10" s="21">
        <v>5706</v>
      </c>
      <c r="H10" s="21">
        <f>C10/B10</f>
        <v>1.0477134362169051E-2</v>
      </c>
      <c r="I10" s="21">
        <f>F10/B10</f>
        <v>3.9643211100099106E-4</v>
      </c>
    </row>
    <row r="11" spans="1:9" x14ac:dyDescent="0.3">
      <c r="A11" s="20" t="s">
        <v>4</v>
      </c>
      <c r="B11" s="21">
        <v>81911</v>
      </c>
      <c r="C11" s="21">
        <v>440</v>
      </c>
      <c r="D11" s="21">
        <v>80</v>
      </c>
      <c r="E11" s="21">
        <v>819</v>
      </c>
      <c r="F11" s="21">
        <v>15</v>
      </c>
      <c r="G11" s="21">
        <v>670</v>
      </c>
      <c r="H11" s="21">
        <f t="shared" ref="H11:H15" si="0">C11/B11</f>
        <v>5.3716839008191818E-3</v>
      </c>
      <c r="I11" s="21">
        <f t="shared" ref="I11:I15" si="1">F11/B11</f>
        <v>1.8312558752792664E-4</v>
      </c>
    </row>
    <row r="12" spans="1:9" x14ac:dyDescent="0.3">
      <c r="A12" s="20" t="s">
        <v>101</v>
      </c>
      <c r="B12" s="21">
        <v>74885</v>
      </c>
      <c r="C12" s="21">
        <v>25</v>
      </c>
      <c r="D12" s="21">
        <v>250</v>
      </c>
      <c r="E12" s="21">
        <v>1084</v>
      </c>
      <c r="F12" s="21">
        <v>77</v>
      </c>
      <c r="G12" s="21">
        <v>7000</v>
      </c>
      <c r="H12" s="21">
        <f t="shared" si="0"/>
        <v>3.3384522935167257E-4</v>
      </c>
      <c r="I12" s="21">
        <f t="shared" si="1"/>
        <v>1.0282433064031514E-3</v>
      </c>
    </row>
    <row r="13" spans="1:9" x14ac:dyDescent="0.3">
      <c r="A13" s="20" t="s">
        <v>100</v>
      </c>
      <c r="B13" s="21">
        <v>105675</v>
      </c>
      <c r="C13" s="21">
        <v>300</v>
      </c>
      <c r="D13" s="21">
        <v>300</v>
      </c>
      <c r="E13" s="21">
        <v>1250</v>
      </c>
      <c r="F13" s="21">
        <v>58</v>
      </c>
      <c r="G13" s="21">
        <v>15000</v>
      </c>
      <c r="H13" s="21">
        <f t="shared" si="0"/>
        <v>2.8388928317955998E-3</v>
      </c>
      <c r="I13" s="21">
        <f t="shared" si="1"/>
        <v>5.4885261414714932E-4</v>
      </c>
    </row>
    <row r="14" spans="1:9" x14ac:dyDescent="0.3">
      <c r="A14" s="20" t="s">
        <v>11</v>
      </c>
      <c r="B14" s="21">
        <v>127567</v>
      </c>
      <c r="C14" s="21">
        <v>7</v>
      </c>
      <c r="D14" s="21">
        <v>70</v>
      </c>
      <c r="E14" s="21">
        <v>1157</v>
      </c>
      <c r="F14" s="21">
        <v>60</v>
      </c>
      <c r="G14" s="21">
        <v>16000</v>
      </c>
      <c r="H14" s="21">
        <f t="shared" si="0"/>
        <v>5.4873125494838006E-5</v>
      </c>
      <c r="I14" s="21">
        <f t="shared" si="1"/>
        <v>4.7034107567004005E-4</v>
      </c>
    </row>
    <row r="15" spans="1:9" x14ac:dyDescent="0.3">
      <c r="A15" s="20" t="s">
        <v>102</v>
      </c>
      <c r="B15" s="21">
        <v>140752</v>
      </c>
      <c r="C15" s="21">
        <v>58</v>
      </c>
      <c r="D15" s="21">
        <v>58</v>
      </c>
      <c r="E15" s="21">
        <v>1652</v>
      </c>
      <c r="F15" s="21">
        <v>61</v>
      </c>
      <c r="G15" s="21">
        <v>15799</v>
      </c>
      <c r="H15" s="21">
        <f t="shared" si="0"/>
        <v>4.1207229737410481E-4</v>
      </c>
      <c r="I15" s="21">
        <f t="shared" si="1"/>
        <v>4.3338638172104124E-4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DDB-A511-443E-8AB5-92B17A44E6D0}">
  <dimension ref="A1:P24"/>
  <sheetViews>
    <sheetView workbookViewId="0">
      <selection activeCell="O7" sqref="O7"/>
    </sheetView>
  </sheetViews>
  <sheetFormatPr defaultRowHeight="14.4" x14ac:dyDescent="0.3"/>
  <cols>
    <col min="1" max="1" width="9.88671875" bestFit="1" customWidth="1"/>
    <col min="2" max="2" width="11.21875" bestFit="1" customWidth="1"/>
    <col min="15" max="15" width="12" bestFit="1" customWidth="1"/>
  </cols>
  <sheetData>
    <row r="1" spans="1:16" ht="43.2" x14ac:dyDescent="0.3">
      <c r="A1" t="s">
        <v>103</v>
      </c>
      <c r="B1" s="1" t="s">
        <v>104</v>
      </c>
      <c r="C1" s="1" t="s">
        <v>107</v>
      </c>
      <c r="D1" t="s">
        <v>106</v>
      </c>
      <c r="I1" t="s">
        <v>108</v>
      </c>
      <c r="J1" t="s">
        <v>103</v>
      </c>
      <c r="K1" s="1" t="s">
        <v>104</v>
      </c>
      <c r="L1" s="1" t="s">
        <v>107</v>
      </c>
      <c r="M1" t="s">
        <v>106</v>
      </c>
    </row>
    <row r="2" spans="1:16" x14ac:dyDescent="0.3">
      <c r="A2">
        <v>9</v>
      </c>
      <c r="B2">
        <v>7.5</v>
      </c>
      <c r="C2">
        <v>1</v>
      </c>
      <c r="D2">
        <f>C2*B2</f>
        <v>7.5</v>
      </c>
      <c r="F2">
        <f>COUNT(B2:B15)</f>
        <v>14</v>
      </c>
      <c r="G2" t="s">
        <v>80</v>
      </c>
      <c r="I2">
        <f>1</f>
        <v>1</v>
      </c>
      <c r="J2">
        <v>9</v>
      </c>
      <c r="K2">
        <v>7.5</v>
      </c>
      <c r="L2">
        <v>1</v>
      </c>
      <c r="M2">
        <f>L2*K2</f>
        <v>7.5</v>
      </c>
      <c r="O2">
        <f>COUNT(K2:K10)</f>
        <v>9</v>
      </c>
      <c r="P2" t="s">
        <v>80</v>
      </c>
    </row>
    <row r="3" spans="1:16" x14ac:dyDescent="0.3">
      <c r="A3">
        <v>11</v>
      </c>
      <c r="B3">
        <v>8</v>
      </c>
      <c r="C3">
        <f>C2</f>
        <v>1</v>
      </c>
      <c r="D3">
        <f t="shared" ref="D3:D15" si="0">C3*B3</f>
        <v>8</v>
      </c>
      <c r="F3">
        <f>COUNT(A2:A24)</f>
        <v>23</v>
      </c>
      <c r="G3" t="s">
        <v>40</v>
      </c>
      <c r="I3">
        <f>1+I2</f>
        <v>2</v>
      </c>
      <c r="J3">
        <v>11</v>
      </c>
      <c r="K3">
        <v>8</v>
      </c>
      <c r="L3">
        <f>L2</f>
        <v>1</v>
      </c>
      <c r="M3">
        <f t="shared" ref="M3:M10" si="1">L3*K3</f>
        <v>8</v>
      </c>
      <c r="O3">
        <f>COUNT(J2:J24)</f>
        <v>23</v>
      </c>
      <c r="P3" t="s">
        <v>40</v>
      </c>
    </row>
    <row r="4" spans="1:16" x14ac:dyDescent="0.3">
      <c r="A4">
        <v>1</v>
      </c>
      <c r="B4">
        <v>10.5</v>
      </c>
      <c r="C4">
        <f t="shared" ref="C4:C15" si="2">C3</f>
        <v>1</v>
      </c>
      <c r="D4">
        <f t="shared" si="0"/>
        <v>10.5</v>
      </c>
      <c r="F4">
        <v>30</v>
      </c>
      <c r="G4" t="s">
        <v>81</v>
      </c>
      <c r="I4">
        <f t="shared" ref="I4:I24" si="3">1+I3</f>
        <v>3</v>
      </c>
      <c r="J4">
        <v>1</v>
      </c>
      <c r="K4">
        <v>10.5</v>
      </c>
      <c r="L4">
        <f t="shared" ref="L4:L10" si="4">L3</f>
        <v>1</v>
      </c>
      <c r="M4">
        <f t="shared" si="1"/>
        <v>10.5</v>
      </c>
      <c r="O4">
        <v>25</v>
      </c>
      <c r="P4" t="s">
        <v>81</v>
      </c>
    </row>
    <row r="5" spans="1:16" x14ac:dyDescent="0.3">
      <c r="A5">
        <v>7</v>
      </c>
      <c r="B5">
        <v>13</v>
      </c>
      <c r="C5">
        <f t="shared" si="2"/>
        <v>1</v>
      </c>
      <c r="D5">
        <f t="shared" si="0"/>
        <v>13</v>
      </c>
      <c r="F5">
        <f>(F2/(D16+(F3-F2)*F4))</f>
        <v>2.5385312783318223E-2</v>
      </c>
      <c r="G5" t="s">
        <v>105</v>
      </c>
      <c r="I5">
        <f t="shared" si="3"/>
        <v>4</v>
      </c>
      <c r="J5">
        <v>7</v>
      </c>
      <c r="K5">
        <v>13</v>
      </c>
      <c r="L5">
        <f t="shared" si="4"/>
        <v>1</v>
      </c>
      <c r="M5">
        <f t="shared" si="1"/>
        <v>13</v>
      </c>
      <c r="O5">
        <f>9/(138.5+(23-9)*25)</f>
        <v>1.8423746161719549E-2</v>
      </c>
      <c r="P5" t="s">
        <v>105</v>
      </c>
    </row>
    <row r="6" spans="1:16" x14ac:dyDescent="0.3">
      <c r="A6">
        <v>10</v>
      </c>
      <c r="B6">
        <v>15.5</v>
      </c>
      <c r="C6">
        <f t="shared" si="2"/>
        <v>1</v>
      </c>
      <c r="D6">
        <f t="shared" si="0"/>
        <v>15.5</v>
      </c>
      <c r="F6">
        <f>1/F5</f>
        <v>39.392857142857146</v>
      </c>
      <c r="G6" t="s">
        <v>82</v>
      </c>
      <c r="I6">
        <f t="shared" si="3"/>
        <v>5</v>
      </c>
      <c r="J6">
        <v>10</v>
      </c>
      <c r="K6">
        <v>15.5</v>
      </c>
      <c r="L6">
        <f t="shared" si="4"/>
        <v>1</v>
      </c>
      <c r="M6">
        <f t="shared" si="1"/>
        <v>15.5</v>
      </c>
      <c r="O6">
        <f>1/O5</f>
        <v>54.277777777777779</v>
      </c>
      <c r="P6" t="s">
        <v>82</v>
      </c>
    </row>
    <row r="7" spans="1:16" x14ac:dyDescent="0.3">
      <c r="A7">
        <v>12</v>
      </c>
      <c r="B7">
        <v>16</v>
      </c>
      <c r="C7">
        <f t="shared" si="2"/>
        <v>1</v>
      </c>
      <c r="D7">
        <f t="shared" si="0"/>
        <v>16</v>
      </c>
      <c r="I7">
        <f t="shared" si="3"/>
        <v>6</v>
      </c>
      <c r="J7">
        <v>12</v>
      </c>
      <c r="K7">
        <v>16</v>
      </c>
      <c r="L7">
        <f t="shared" si="4"/>
        <v>1</v>
      </c>
      <c r="M7">
        <f t="shared" si="1"/>
        <v>16</v>
      </c>
    </row>
    <row r="8" spans="1:16" x14ac:dyDescent="0.3">
      <c r="A8">
        <v>16</v>
      </c>
      <c r="B8">
        <v>18</v>
      </c>
      <c r="C8">
        <f t="shared" si="2"/>
        <v>1</v>
      </c>
      <c r="D8">
        <f t="shared" si="0"/>
        <v>18</v>
      </c>
      <c r="I8">
        <f t="shared" si="3"/>
        <v>7</v>
      </c>
      <c r="J8">
        <v>16</v>
      </c>
      <c r="K8">
        <v>18</v>
      </c>
      <c r="L8">
        <f t="shared" si="4"/>
        <v>1</v>
      </c>
      <c r="M8">
        <f t="shared" si="1"/>
        <v>18</v>
      </c>
    </row>
    <row r="9" spans="1:16" x14ac:dyDescent="0.3">
      <c r="A9">
        <v>17</v>
      </c>
      <c r="B9">
        <v>25</v>
      </c>
      <c r="C9">
        <f t="shared" si="2"/>
        <v>1</v>
      </c>
      <c r="D9">
        <f t="shared" si="0"/>
        <v>25</v>
      </c>
      <c r="I9">
        <f t="shared" si="3"/>
        <v>8</v>
      </c>
      <c r="J9">
        <v>17</v>
      </c>
      <c r="K9">
        <v>25</v>
      </c>
      <c r="L9">
        <f t="shared" si="4"/>
        <v>1</v>
      </c>
      <c r="M9">
        <f t="shared" si="1"/>
        <v>25</v>
      </c>
    </row>
    <row r="10" spans="1:16" x14ac:dyDescent="0.3">
      <c r="A10">
        <v>19</v>
      </c>
      <c r="B10">
        <v>25</v>
      </c>
      <c r="C10">
        <f t="shared" si="2"/>
        <v>1</v>
      </c>
      <c r="D10">
        <f t="shared" si="0"/>
        <v>25</v>
      </c>
      <c r="I10">
        <f t="shared" si="3"/>
        <v>9</v>
      </c>
      <c r="J10">
        <v>19</v>
      </c>
      <c r="K10">
        <v>25</v>
      </c>
      <c r="L10">
        <f t="shared" si="4"/>
        <v>1</v>
      </c>
      <c r="M10">
        <f t="shared" si="1"/>
        <v>25</v>
      </c>
    </row>
    <row r="11" spans="1:16" x14ac:dyDescent="0.3">
      <c r="A11">
        <v>13</v>
      </c>
      <c r="B11">
        <v>26</v>
      </c>
      <c r="C11">
        <f t="shared" si="2"/>
        <v>1</v>
      </c>
      <c r="D11">
        <f t="shared" si="0"/>
        <v>26</v>
      </c>
      <c r="I11">
        <f t="shared" si="3"/>
        <v>10</v>
      </c>
      <c r="J11">
        <v>13</v>
      </c>
      <c r="K11">
        <v>26</v>
      </c>
      <c r="M11">
        <f ca="1">SUM(M2:M15)</f>
        <v>138.5</v>
      </c>
      <c r="N11" t="s">
        <v>79</v>
      </c>
    </row>
    <row r="12" spans="1:16" x14ac:dyDescent="0.3">
      <c r="A12">
        <v>6</v>
      </c>
      <c r="B12">
        <v>28</v>
      </c>
      <c r="C12">
        <f t="shared" si="2"/>
        <v>1</v>
      </c>
      <c r="D12">
        <f t="shared" si="0"/>
        <v>28</v>
      </c>
      <c r="I12">
        <f t="shared" si="3"/>
        <v>11</v>
      </c>
      <c r="J12">
        <v>6</v>
      </c>
      <c r="K12">
        <v>28</v>
      </c>
    </row>
    <row r="13" spans="1:16" x14ac:dyDescent="0.3">
      <c r="A13">
        <v>2</v>
      </c>
      <c r="B13">
        <v>29</v>
      </c>
      <c r="C13">
        <f t="shared" si="2"/>
        <v>1</v>
      </c>
      <c r="D13">
        <f t="shared" si="0"/>
        <v>29</v>
      </c>
      <c r="I13">
        <f t="shared" si="3"/>
        <v>12</v>
      </c>
      <c r="J13">
        <v>2</v>
      </c>
      <c r="K13">
        <v>29</v>
      </c>
    </row>
    <row r="14" spans="1:16" x14ac:dyDescent="0.3">
      <c r="A14">
        <v>14</v>
      </c>
      <c r="B14">
        <v>30</v>
      </c>
      <c r="C14">
        <f t="shared" si="2"/>
        <v>1</v>
      </c>
      <c r="D14">
        <f t="shared" si="0"/>
        <v>30</v>
      </c>
      <c r="I14">
        <f t="shared" si="3"/>
        <v>13</v>
      </c>
      <c r="J14">
        <v>14</v>
      </c>
      <c r="K14">
        <v>30</v>
      </c>
    </row>
    <row r="15" spans="1:16" x14ac:dyDescent="0.3">
      <c r="A15">
        <v>18</v>
      </c>
      <c r="B15">
        <v>30</v>
      </c>
      <c r="C15">
        <f t="shared" si="2"/>
        <v>1</v>
      </c>
      <c r="D15">
        <f t="shared" si="0"/>
        <v>30</v>
      </c>
      <c r="I15">
        <f t="shared" si="3"/>
        <v>14</v>
      </c>
      <c r="J15">
        <v>18</v>
      </c>
      <c r="K15">
        <v>30</v>
      </c>
    </row>
    <row r="16" spans="1:16" x14ac:dyDescent="0.3">
      <c r="A16">
        <v>15</v>
      </c>
      <c r="B16">
        <v>32</v>
      </c>
      <c r="D16">
        <f>SUM(D2:D15)</f>
        <v>281.5</v>
      </c>
      <c r="E16" t="s">
        <v>79</v>
      </c>
      <c r="I16">
        <f t="shared" si="3"/>
        <v>15</v>
      </c>
      <c r="J16">
        <v>15</v>
      </c>
      <c r="K16">
        <v>32</v>
      </c>
    </row>
    <row r="17" spans="1:11" x14ac:dyDescent="0.3">
      <c r="A17">
        <v>23</v>
      </c>
      <c r="B17">
        <v>34</v>
      </c>
      <c r="I17">
        <f t="shared" si="3"/>
        <v>16</v>
      </c>
      <c r="J17">
        <v>23</v>
      </c>
      <c r="K17">
        <v>34</v>
      </c>
    </row>
    <row r="18" spans="1:11" x14ac:dyDescent="0.3">
      <c r="A18">
        <v>22</v>
      </c>
      <c r="B18">
        <v>36</v>
      </c>
      <c r="I18">
        <f t="shared" si="3"/>
        <v>17</v>
      </c>
      <c r="J18">
        <v>22</v>
      </c>
      <c r="K18">
        <v>36</v>
      </c>
    </row>
    <row r="19" spans="1:11" x14ac:dyDescent="0.3">
      <c r="A19">
        <v>8</v>
      </c>
      <c r="B19">
        <v>37</v>
      </c>
      <c r="I19">
        <f t="shared" si="3"/>
        <v>18</v>
      </c>
      <c r="J19">
        <v>8</v>
      </c>
      <c r="K19">
        <v>37</v>
      </c>
    </row>
    <row r="20" spans="1:11" x14ac:dyDescent="0.3">
      <c r="A20">
        <v>4</v>
      </c>
      <c r="B20">
        <v>37</v>
      </c>
      <c r="I20">
        <f t="shared" si="3"/>
        <v>19</v>
      </c>
      <c r="J20">
        <v>4</v>
      </c>
      <c r="K20">
        <v>37</v>
      </c>
    </row>
    <row r="21" spans="1:11" x14ac:dyDescent="0.3">
      <c r="A21">
        <v>20</v>
      </c>
      <c r="B21">
        <v>40</v>
      </c>
      <c r="I21">
        <f t="shared" si="3"/>
        <v>20</v>
      </c>
      <c r="J21">
        <v>20</v>
      </c>
      <c r="K21">
        <v>40</v>
      </c>
    </row>
    <row r="22" spans="1:11" x14ac:dyDescent="0.3">
      <c r="A22">
        <v>21</v>
      </c>
      <c r="B22">
        <v>40</v>
      </c>
      <c r="I22">
        <f t="shared" si="3"/>
        <v>21</v>
      </c>
      <c r="J22">
        <v>21</v>
      </c>
      <c r="K22">
        <v>40</v>
      </c>
    </row>
    <row r="23" spans="1:11" x14ac:dyDescent="0.3">
      <c r="A23">
        <v>3</v>
      </c>
      <c r="B23">
        <v>43</v>
      </c>
      <c r="I23">
        <f t="shared" si="3"/>
        <v>22</v>
      </c>
      <c r="J23">
        <v>3</v>
      </c>
      <c r="K23">
        <v>43</v>
      </c>
    </row>
    <row r="24" spans="1:11" x14ac:dyDescent="0.3">
      <c r="A24">
        <v>5</v>
      </c>
      <c r="B24">
        <v>50</v>
      </c>
      <c r="I24">
        <f t="shared" si="3"/>
        <v>23</v>
      </c>
      <c r="J24">
        <v>5</v>
      </c>
      <c r="K24">
        <v>50</v>
      </c>
    </row>
  </sheetData>
  <sortState xmlns:xlrd2="http://schemas.microsoft.com/office/spreadsheetml/2017/richdata2" ref="B2:B24">
    <sortCondition ref="B2:B2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ACFB-2D22-486E-8F23-D3A3928091A3}">
  <dimension ref="A1:E15"/>
  <sheetViews>
    <sheetView tabSelected="1" workbookViewId="0">
      <selection activeCell="P5" sqref="P5"/>
    </sheetView>
  </sheetViews>
  <sheetFormatPr defaultRowHeight="14.4" x14ac:dyDescent="0.3"/>
  <sheetData>
    <row r="1" spans="1:5" x14ac:dyDescent="0.3">
      <c r="A1" t="s">
        <v>128</v>
      </c>
      <c r="B1">
        <v>0.3</v>
      </c>
    </row>
    <row r="2" spans="1:5" x14ac:dyDescent="0.3">
      <c r="A2" t="s">
        <v>129</v>
      </c>
      <c r="B2">
        <v>0.4</v>
      </c>
    </row>
    <row r="3" spans="1:5" x14ac:dyDescent="0.3">
      <c r="A3" t="s">
        <v>130</v>
      </c>
      <c r="B3">
        <v>0.1</v>
      </c>
    </row>
    <row r="4" spans="1:5" x14ac:dyDescent="0.3">
      <c r="A4" t="s">
        <v>131</v>
      </c>
      <c r="B4">
        <v>0.2</v>
      </c>
    </row>
    <row r="5" spans="1:5" x14ac:dyDescent="0.3">
      <c r="A5" t="s">
        <v>30</v>
      </c>
      <c r="B5">
        <v>0.4</v>
      </c>
    </row>
    <row r="7" spans="1:5" x14ac:dyDescent="0.3">
      <c r="B7" t="s">
        <v>132</v>
      </c>
      <c r="C7" t="s">
        <v>133</v>
      </c>
    </row>
    <row r="9" spans="1:5" x14ac:dyDescent="0.3">
      <c r="B9">
        <v>0.3</v>
      </c>
      <c r="C9">
        <v>0.4</v>
      </c>
    </row>
    <row r="10" spans="1:5" x14ac:dyDescent="0.3">
      <c r="B10">
        <v>0.1</v>
      </c>
      <c r="C10">
        <v>0.2</v>
      </c>
    </row>
    <row r="12" spans="1:5" x14ac:dyDescent="0.3">
      <c r="A12" t="s">
        <v>134</v>
      </c>
      <c r="B12">
        <f>MDETERM(B9:C10)</f>
        <v>1.9999999999999993E-2</v>
      </c>
      <c r="D12" t="s">
        <v>135</v>
      </c>
      <c r="E12">
        <f>B1-(1-((1-$B$5)^1))*$B$12</f>
        <v>0.29199999999999998</v>
      </c>
    </row>
    <row r="13" spans="1:5" x14ac:dyDescent="0.3">
      <c r="D13" t="s">
        <v>136</v>
      </c>
      <c r="E13">
        <f>B2+(1-((1-$B$5)^3))*$B$12</f>
        <v>0.41567999999999999</v>
      </c>
    </row>
    <row r="14" spans="1:5" x14ac:dyDescent="0.3">
      <c r="D14" t="s">
        <v>137</v>
      </c>
      <c r="E14">
        <f>B3+(1-((1-$B$5)^5))*$B$12</f>
        <v>0.1184448</v>
      </c>
    </row>
    <row r="15" spans="1:5" x14ac:dyDescent="0.3">
      <c r="D15" t="s">
        <v>138</v>
      </c>
      <c r="E15">
        <f>B4-(1-((1-$B$5)^7))*$B$12</f>
        <v>0.18055987200000001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857-6377-4FA7-A4CD-5B7783F041F2}">
  <dimension ref="A1:F20"/>
  <sheetViews>
    <sheetView workbookViewId="0">
      <selection activeCell="F21" sqref="F21"/>
    </sheetView>
  </sheetViews>
  <sheetFormatPr defaultRowHeight="14.4" x14ac:dyDescent="0.3"/>
  <sheetData>
    <row r="1" spans="1:6" ht="57.6" x14ac:dyDescent="0.3">
      <c r="A1" s="2" t="s">
        <v>0</v>
      </c>
      <c r="B1" s="1" t="s">
        <v>1</v>
      </c>
      <c r="C1" s="1" t="s">
        <v>2</v>
      </c>
      <c r="D1" t="s">
        <v>23</v>
      </c>
      <c r="E1" t="s">
        <v>24</v>
      </c>
      <c r="F1" t="s">
        <v>25</v>
      </c>
    </row>
    <row r="2" spans="1:6" x14ac:dyDescent="0.3">
      <c r="A2" s="2" t="s">
        <v>3</v>
      </c>
      <c r="B2">
        <v>40</v>
      </c>
      <c r="C2">
        <v>5</v>
      </c>
      <c r="D2">
        <f>B2/$B$2</f>
        <v>1</v>
      </c>
      <c r="E2">
        <f>C2/($B$2*5)</f>
        <v>2.5000000000000001E-2</v>
      </c>
      <c r="F2">
        <f>E2/D2</f>
        <v>2.5000000000000001E-2</v>
      </c>
    </row>
    <row r="3" spans="1:6" x14ac:dyDescent="0.3">
      <c r="A3" s="2" t="s">
        <v>4</v>
      </c>
      <c r="B3">
        <f>B2-C2</f>
        <v>35</v>
      </c>
      <c r="C3">
        <v>7</v>
      </c>
      <c r="D3">
        <f t="shared" ref="D3:D12" si="0">B3/$B$2</f>
        <v>0.875</v>
      </c>
      <c r="E3">
        <f t="shared" ref="E3:E12" si="1">C3/($B$2*5)</f>
        <v>3.5000000000000003E-2</v>
      </c>
      <c r="F3">
        <f t="shared" ref="F3:F12" si="2">E3/D3</f>
        <v>0.04</v>
      </c>
    </row>
    <row r="4" spans="1:6" x14ac:dyDescent="0.3">
      <c r="A4" s="2" t="s">
        <v>6</v>
      </c>
      <c r="B4">
        <f t="shared" ref="B4:B12" si="3">B3-C3</f>
        <v>28</v>
      </c>
      <c r="C4">
        <v>6</v>
      </c>
      <c r="D4">
        <f t="shared" si="0"/>
        <v>0.7</v>
      </c>
      <c r="E4">
        <f t="shared" si="1"/>
        <v>0.03</v>
      </c>
      <c r="F4">
        <f t="shared" si="2"/>
        <v>4.2857142857142858E-2</v>
      </c>
    </row>
    <row r="5" spans="1:6" x14ac:dyDescent="0.3">
      <c r="A5" s="2" t="s">
        <v>7</v>
      </c>
      <c r="B5">
        <f t="shared" si="3"/>
        <v>22</v>
      </c>
      <c r="C5">
        <v>4</v>
      </c>
      <c r="D5">
        <f t="shared" si="0"/>
        <v>0.55000000000000004</v>
      </c>
      <c r="E5">
        <f t="shared" si="1"/>
        <v>0.02</v>
      </c>
      <c r="F5">
        <f t="shared" si="2"/>
        <v>3.6363636363636362E-2</v>
      </c>
    </row>
    <row r="6" spans="1:6" x14ac:dyDescent="0.3">
      <c r="A6" s="2" t="s">
        <v>8</v>
      </c>
      <c r="B6">
        <f t="shared" si="3"/>
        <v>18</v>
      </c>
      <c r="C6">
        <v>5</v>
      </c>
      <c r="D6">
        <f t="shared" si="0"/>
        <v>0.45</v>
      </c>
      <c r="E6">
        <f t="shared" si="1"/>
        <v>2.5000000000000001E-2</v>
      </c>
      <c r="F6">
        <f t="shared" si="2"/>
        <v>5.5555555555555559E-2</v>
      </c>
    </row>
    <row r="7" spans="1:6" x14ac:dyDescent="0.3">
      <c r="A7" s="2" t="s">
        <v>9</v>
      </c>
      <c r="B7">
        <f t="shared" si="3"/>
        <v>13</v>
      </c>
      <c r="C7">
        <v>4</v>
      </c>
      <c r="D7">
        <f t="shared" si="0"/>
        <v>0.32500000000000001</v>
      </c>
      <c r="E7">
        <f t="shared" si="1"/>
        <v>0.02</v>
      </c>
      <c r="F7">
        <f t="shared" si="2"/>
        <v>6.1538461538461535E-2</v>
      </c>
    </row>
    <row r="8" spans="1:6" x14ac:dyDescent="0.3">
      <c r="A8" s="2" t="s">
        <v>10</v>
      </c>
      <c r="B8">
        <f t="shared" si="3"/>
        <v>9</v>
      </c>
      <c r="C8">
        <v>4</v>
      </c>
      <c r="D8">
        <f t="shared" si="0"/>
        <v>0.22500000000000001</v>
      </c>
      <c r="E8">
        <f t="shared" si="1"/>
        <v>0.02</v>
      </c>
      <c r="F8">
        <f t="shared" si="2"/>
        <v>8.8888888888888892E-2</v>
      </c>
    </row>
    <row r="9" spans="1:6" x14ac:dyDescent="0.3">
      <c r="A9" s="2" t="s">
        <v>12</v>
      </c>
      <c r="B9">
        <f t="shared" si="3"/>
        <v>5</v>
      </c>
      <c r="C9">
        <v>0</v>
      </c>
      <c r="D9">
        <f t="shared" si="0"/>
        <v>0.125</v>
      </c>
      <c r="E9">
        <f t="shared" si="1"/>
        <v>0</v>
      </c>
      <c r="F9">
        <f t="shared" si="2"/>
        <v>0</v>
      </c>
    </row>
    <row r="10" spans="1:6" x14ac:dyDescent="0.3">
      <c r="A10" s="2" t="s">
        <v>13</v>
      </c>
      <c r="B10">
        <f t="shared" si="3"/>
        <v>5</v>
      </c>
      <c r="C10">
        <v>2</v>
      </c>
      <c r="D10">
        <f t="shared" si="0"/>
        <v>0.125</v>
      </c>
      <c r="E10">
        <f t="shared" si="1"/>
        <v>0.01</v>
      </c>
      <c r="F10">
        <f t="shared" si="2"/>
        <v>0.08</v>
      </c>
    </row>
    <row r="11" spans="1:6" x14ac:dyDescent="0.3">
      <c r="A11" s="2" t="s">
        <v>14</v>
      </c>
      <c r="B11">
        <f t="shared" si="3"/>
        <v>3</v>
      </c>
      <c r="C11">
        <v>1</v>
      </c>
      <c r="D11">
        <f t="shared" si="0"/>
        <v>7.4999999999999997E-2</v>
      </c>
      <c r="E11">
        <f t="shared" si="1"/>
        <v>5.0000000000000001E-3</v>
      </c>
      <c r="F11">
        <f t="shared" si="2"/>
        <v>6.6666666666666666E-2</v>
      </c>
    </row>
    <row r="12" spans="1:6" x14ac:dyDescent="0.3">
      <c r="A12" s="2" t="s">
        <v>26</v>
      </c>
      <c r="B12">
        <f t="shared" si="3"/>
        <v>2</v>
      </c>
      <c r="C12">
        <v>2</v>
      </c>
      <c r="D12">
        <f t="shared" si="0"/>
        <v>0.05</v>
      </c>
      <c r="E12">
        <f t="shared" si="1"/>
        <v>0.01</v>
      </c>
      <c r="F12">
        <f t="shared" si="2"/>
        <v>0.19999999999999998</v>
      </c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27CC-6A9E-469C-8B25-56BDBC7CAFB4}">
  <dimension ref="A1:L31"/>
  <sheetViews>
    <sheetView topLeftCell="A10" zoomScale="133" workbookViewId="0">
      <selection activeCell="F23" sqref="F23"/>
    </sheetView>
  </sheetViews>
  <sheetFormatPr defaultRowHeight="14.4" x14ac:dyDescent="0.3"/>
  <cols>
    <col min="2" max="2" width="15" customWidth="1"/>
  </cols>
  <sheetData>
    <row r="1" spans="1:6" x14ac:dyDescent="0.3">
      <c r="A1" t="s">
        <v>28</v>
      </c>
      <c r="B1" t="s">
        <v>23</v>
      </c>
      <c r="C1" t="s">
        <v>25</v>
      </c>
      <c r="E1" t="s">
        <v>29</v>
      </c>
    </row>
    <row r="2" spans="1:6" x14ac:dyDescent="0.3">
      <c r="A2">
        <v>1</v>
      </c>
      <c r="B2">
        <f t="shared" ref="B2:B9" si="0">EXP(-((lamda*A2)^yeta))</f>
        <v>0.36787944117144233</v>
      </c>
      <c r="C2">
        <f>$F$2*$F$3*($F$2*A2)^($F$3-1)</f>
        <v>0.5</v>
      </c>
      <c r="E2" t="s">
        <v>30</v>
      </c>
      <c r="F2">
        <v>1</v>
      </c>
    </row>
    <row r="3" spans="1:6" x14ac:dyDescent="0.3">
      <c r="A3">
        <f>1+A2</f>
        <v>2</v>
      </c>
      <c r="B3">
        <f t="shared" si="0"/>
        <v>0.24311673443421419</v>
      </c>
      <c r="C3">
        <f t="shared" ref="C3:C9" si="1">$F$2*$F$3*($F$2*A3)^($F$3-1)</f>
        <v>0.35355339059327373</v>
      </c>
      <c r="E3" t="s">
        <v>31</v>
      </c>
      <c r="F3">
        <v>0.5</v>
      </c>
    </row>
    <row r="4" spans="1:6" x14ac:dyDescent="0.3">
      <c r="A4">
        <f t="shared" ref="A4:A9" si="2">1+A3</f>
        <v>3</v>
      </c>
      <c r="B4">
        <f t="shared" si="0"/>
        <v>0.17692120631776423</v>
      </c>
      <c r="C4">
        <f t="shared" si="1"/>
        <v>0.28867513459481292</v>
      </c>
      <c r="E4" t="s">
        <v>32</v>
      </c>
      <c r="F4">
        <f>(1/lamda)*_xlfn.GAMMA((1/yeta)+1)</f>
        <v>2</v>
      </c>
    </row>
    <row r="5" spans="1:6" x14ac:dyDescent="0.3">
      <c r="A5">
        <f t="shared" si="2"/>
        <v>4</v>
      </c>
      <c r="B5">
        <f t="shared" si="0"/>
        <v>0.1353352832366127</v>
      </c>
      <c r="C5">
        <f t="shared" si="1"/>
        <v>0.25</v>
      </c>
      <c r="E5" t="s">
        <v>33</v>
      </c>
      <c r="F5">
        <f>(1/lamda^2)*(_xlfn.GAMMA((2/yeta)+1)-_xlfn.GAMMA((1/yeta)+1)^2)</f>
        <v>20</v>
      </c>
    </row>
    <row r="6" spans="1:6" x14ac:dyDescent="0.3">
      <c r="A6">
        <f t="shared" si="2"/>
        <v>5</v>
      </c>
      <c r="B6">
        <f t="shared" si="0"/>
        <v>0.10687792566038574</v>
      </c>
      <c r="C6">
        <f t="shared" si="1"/>
        <v>0.22360679774997896</v>
      </c>
      <c r="E6" t="s">
        <v>34</v>
      </c>
      <c r="F6">
        <f>SQRT((_xlfn.GAMMA(1+2/yeta)/(_xlfn.GAMMA(1+1/yeta)^2))-1)</f>
        <v>2.2360679774997898</v>
      </c>
    </row>
    <row r="7" spans="1:6" x14ac:dyDescent="0.3">
      <c r="A7">
        <f t="shared" si="2"/>
        <v>6</v>
      </c>
      <c r="B7">
        <f t="shared" si="0"/>
        <v>8.6337629660362056E-2</v>
      </c>
      <c r="C7">
        <f t="shared" si="1"/>
        <v>0.20412414523193154</v>
      </c>
    </row>
    <row r="8" spans="1:6" x14ac:dyDescent="0.3">
      <c r="A8">
        <f t="shared" si="2"/>
        <v>7</v>
      </c>
      <c r="B8">
        <f t="shared" si="0"/>
        <v>7.095202666684558E-2</v>
      </c>
      <c r="C8">
        <f t="shared" si="1"/>
        <v>0.1889822365046136</v>
      </c>
    </row>
    <row r="9" spans="1:6" x14ac:dyDescent="0.3">
      <c r="A9">
        <f t="shared" si="2"/>
        <v>8</v>
      </c>
      <c r="B9">
        <f t="shared" si="0"/>
        <v>5.9105746561956225E-2</v>
      </c>
      <c r="C9">
        <f t="shared" si="1"/>
        <v>0.17677669529663687</v>
      </c>
    </row>
    <row r="12" spans="1:6" x14ac:dyDescent="0.3">
      <c r="A12" t="s">
        <v>28</v>
      </c>
      <c r="B12" t="s">
        <v>23</v>
      </c>
      <c r="C12" t="s">
        <v>25</v>
      </c>
      <c r="E12" t="s">
        <v>29</v>
      </c>
    </row>
    <row r="13" spans="1:6" x14ac:dyDescent="0.3">
      <c r="A13">
        <v>1</v>
      </c>
      <c r="B13">
        <f t="shared" ref="B13:B20" si="3">EXP(-((lamda_1*A13)^yeta_2))</f>
        <v>0.77880078307140488</v>
      </c>
      <c r="C13">
        <f t="shared" ref="C13:C20" si="4">lamda_1*yeta_2*(lamda_1*A13)^(yeta_2-1)</f>
        <v>0.5</v>
      </c>
      <c r="E13" t="s">
        <v>30</v>
      </c>
      <c r="F13">
        <v>0.5</v>
      </c>
    </row>
    <row r="14" spans="1:6" x14ac:dyDescent="0.3">
      <c r="A14">
        <f>1+A13</f>
        <v>2</v>
      </c>
      <c r="B14">
        <f t="shared" si="3"/>
        <v>0.36787944117144233</v>
      </c>
      <c r="C14">
        <f t="shared" si="4"/>
        <v>1</v>
      </c>
      <c r="E14" t="s">
        <v>31</v>
      </c>
      <c r="F14">
        <v>2</v>
      </c>
    </row>
    <row r="15" spans="1:6" x14ac:dyDescent="0.3">
      <c r="A15">
        <f t="shared" ref="A15:A20" si="5">1+A14</f>
        <v>3</v>
      </c>
      <c r="B15">
        <f t="shared" si="3"/>
        <v>0.10539922456186433</v>
      </c>
      <c r="C15">
        <f t="shared" si="4"/>
        <v>1.5</v>
      </c>
      <c r="E15" t="s">
        <v>32</v>
      </c>
      <c r="F15">
        <v>1.77254</v>
      </c>
    </row>
    <row r="16" spans="1:6" x14ac:dyDescent="0.3">
      <c r="A16">
        <f t="shared" si="5"/>
        <v>4</v>
      </c>
      <c r="B16">
        <f t="shared" si="3"/>
        <v>1.8315638888734179E-2</v>
      </c>
      <c r="C16">
        <f t="shared" si="4"/>
        <v>2</v>
      </c>
      <c r="E16" t="s">
        <v>33</v>
      </c>
      <c r="F16">
        <v>0.85890699999999998</v>
      </c>
    </row>
    <row r="17" spans="1:12" x14ac:dyDescent="0.3">
      <c r="A17">
        <f t="shared" si="5"/>
        <v>5</v>
      </c>
      <c r="B17">
        <f t="shared" si="3"/>
        <v>1.9304541362277093E-3</v>
      </c>
      <c r="C17">
        <f t="shared" si="4"/>
        <v>2.5</v>
      </c>
      <c r="E17" t="s">
        <v>34</v>
      </c>
      <c r="F17">
        <v>52.77</v>
      </c>
    </row>
    <row r="18" spans="1:12" x14ac:dyDescent="0.3">
      <c r="A18">
        <f t="shared" si="5"/>
        <v>6</v>
      </c>
      <c r="B18">
        <f t="shared" si="3"/>
        <v>1.2340980408667956E-4</v>
      </c>
      <c r="C18">
        <f t="shared" si="4"/>
        <v>3</v>
      </c>
    </row>
    <row r="19" spans="1:12" x14ac:dyDescent="0.3">
      <c r="A19">
        <f t="shared" si="5"/>
        <v>7</v>
      </c>
      <c r="B19">
        <f t="shared" si="3"/>
        <v>4.7851173921290088E-6</v>
      </c>
      <c r="C19">
        <f t="shared" si="4"/>
        <v>3.5</v>
      </c>
      <c r="L19" t="s">
        <v>36</v>
      </c>
    </row>
    <row r="20" spans="1:12" x14ac:dyDescent="0.3">
      <c r="A20">
        <f t="shared" si="5"/>
        <v>8</v>
      </c>
      <c r="B20">
        <f t="shared" si="3"/>
        <v>1.1253517471925912E-7</v>
      </c>
      <c r="C20">
        <f t="shared" si="4"/>
        <v>4</v>
      </c>
    </row>
    <row r="22" spans="1:12" x14ac:dyDescent="0.3">
      <c r="A22" t="s">
        <v>28</v>
      </c>
      <c r="B22" t="s">
        <v>23</v>
      </c>
      <c r="C22" t="s">
        <v>25</v>
      </c>
      <c r="E22" t="s">
        <v>35</v>
      </c>
      <c r="J22" t="s">
        <v>93</v>
      </c>
    </row>
    <row r="23" spans="1:12" x14ac:dyDescent="0.3">
      <c r="A23">
        <v>0</v>
      </c>
      <c r="B23">
        <v>1</v>
      </c>
      <c r="C23">
        <f t="shared" ref="C23:C31" si="6">lamda_2</f>
        <v>0.65</v>
      </c>
      <c r="E23" t="s">
        <v>30</v>
      </c>
      <c r="F23">
        <v>0.65</v>
      </c>
    </row>
    <row r="24" spans="1:12" x14ac:dyDescent="0.3">
      <c r="A24">
        <v>1</v>
      </c>
      <c r="B24">
        <f t="shared" ref="B24:B31" si="7">EXP(-lamda_2*A24)</f>
        <v>0.52204577676101604</v>
      </c>
      <c r="C24">
        <f t="shared" si="6"/>
        <v>0.65</v>
      </c>
      <c r="E24" t="s">
        <v>32</v>
      </c>
      <c r="F24">
        <f>1/lamda_2</f>
        <v>1.5384615384615383</v>
      </c>
    </row>
    <row r="25" spans="1:12" x14ac:dyDescent="0.3">
      <c r="A25">
        <f>1+A24</f>
        <v>2</v>
      </c>
      <c r="B25">
        <f t="shared" si="7"/>
        <v>0.27253179303401259</v>
      </c>
      <c r="C25">
        <f t="shared" si="6"/>
        <v>0.65</v>
      </c>
      <c r="E25" t="s">
        <v>33</v>
      </c>
      <c r="F25">
        <f>1/lamda_2^2</f>
        <v>2.3668639053254434</v>
      </c>
    </row>
    <row r="26" spans="1:12" x14ac:dyDescent="0.3">
      <c r="A26">
        <f t="shared" ref="A26:A31" si="8">1+A25</f>
        <v>3</v>
      </c>
      <c r="B26">
        <f t="shared" si="7"/>
        <v>0.14227407158651353</v>
      </c>
      <c r="C26">
        <f t="shared" si="6"/>
        <v>0.65</v>
      </c>
      <c r="E26" t="s">
        <v>34</v>
      </c>
    </row>
    <row r="27" spans="1:12" x14ac:dyDescent="0.3">
      <c r="A27">
        <f t="shared" si="8"/>
        <v>4</v>
      </c>
      <c r="B27">
        <f t="shared" si="7"/>
        <v>7.4273578214333877E-2</v>
      </c>
      <c r="C27">
        <f t="shared" si="6"/>
        <v>0.65</v>
      </c>
    </row>
    <row r="28" spans="1:12" x14ac:dyDescent="0.3">
      <c r="A28">
        <f t="shared" si="8"/>
        <v>5</v>
      </c>
      <c r="B28">
        <f t="shared" si="7"/>
        <v>3.8774207831722009E-2</v>
      </c>
      <c r="C28">
        <f t="shared" si="6"/>
        <v>0.65</v>
      </c>
    </row>
    <row r="29" spans="1:12" x14ac:dyDescent="0.3">
      <c r="A29">
        <f t="shared" si="8"/>
        <v>6</v>
      </c>
      <c r="B29">
        <f t="shared" si="7"/>
        <v>2.0241911445804381E-2</v>
      </c>
      <c r="C29">
        <f t="shared" si="6"/>
        <v>0.65</v>
      </c>
    </row>
    <row r="30" spans="1:12" x14ac:dyDescent="0.3">
      <c r="A30">
        <f t="shared" si="8"/>
        <v>7</v>
      </c>
      <c r="B30">
        <f t="shared" si="7"/>
        <v>1.0567204383852655E-2</v>
      </c>
      <c r="C30">
        <f t="shared" si="6"/>
        <v>0.65</v>
      </c>
    </row>
    <row r="31" spans="1:12" x14ac:dyDescent="0.3">
      <c r="A31">
        <f t="shared" si="8"/>
        <v>8</v>
      </c>
      <c r="B31">
        <f t="shared" si="7"/>
        <v>5.5165644207607716E-3</v>
      </c>
      <c r="C31">
        <f t="shared" si="6"/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AAC1-1F5E-4CF1-A3E4-DE4F2B2D6F81}">
  <dimension ref="A1:M31"/>
  <sheetViews>
    <sheetView workbookViewId="0">
      <selection activeCell="I2" sqref="I2"/>
    </sheetView>
  </sheetViews>
  <sheetFormatPr defaultRowHeight="14.4" x14ac:dyDescent="0.3"/>
  <cols>
    <col min="1" max="1" width="8.44140625" bestFit="1" customWidth="1"/>
    <col min="2" max="2" width="4.21875" style="3" bestFit="1" customWidth="1"/>
    <col min="3" max="3" width="16.6640625" bestFit="1" customWidth="1"/>
    <col min="4" max="4" width="15.44140625" bestFit="1" customWidth="1"/>
    <col min="5" max="5" width="4.33203125" bestFit="1" customWidth="1"/>
    <col min="6" max="10" width="12" bestFit="1" customWidth="1"/>
    <col min="11" max="11" width="6.109375" bestFit="1" customWidth="1"/>
    <col min="12" max="12" width="13.6640625" bestFit="1" customWidth="1"/>
    <col min="13" max="13" width="12" bestFit="1" customWidth="1"/>
    <col min="14" max="15" width="6.109375" bestFit="1" customWidth="1"/>
  </cols>
  <sheetData>
    <row r="1" spans="1:13" ht="15" thickBot="1" x14ac:dyDescent="0.35">
      <c r="A1" s="4" t="s">
        <v>50</v>
      </c>
      <c r="B1" s="5" t="s">
        <v>0</v>
      </c>
      <c r="C1" s="5" t="s">
        <v>43</v>
      </c>
      <c r="D1" s="5" t="s">
        <v>44</v>
      </c>
      <c r="E1" s="5" t="s">
        <v>45</v>
      </c>
      <c r="F1" s="5" t="s">
        <v>42</v>
      </c>
      <c r="G1" s="6" t="s">
        <v>46</v>
      </c>
      <c r="H1" s="5" t="s">
        <v>47</v>
      </c>
      <c r="I1" s="6" t="s">
        <v>48</v>
      </c>
      <c r="J1" s="7" t="s">
        <v>49</v>
      </c>
    </row>
    <row r="2" spans="1:13" x14ac:dyDescent="0.3">
      <c r="A2" s="8">
        <v>1</v>
      </c>
      <c r="B2" s="8">
        <v>66</v>
      </c>
      <c r="C2" s="9">
        <v>14</v>
      </c>
      <c r="D2" s="9">
        <v>1</v>
      </c>
      <c r="E2" s="9">
        <f>A2</f>
        <v>1</v>
      </c>
      <c r="F2" s="9">
        <f>($M$3-E2)/($M$3-E2+1)</f>
        <v>0.96666666666666667</v>
      </c>
      <c r="G2" s="9">
        <f>PRODUCT(F2)</f>
        <v>0.96666666666666667</v>
      </c>
      <c r="H2" s="9">
        <f>G2^2</f>
        <v>0.93444444444444441</v>
      </c>
      <c r="I2" s="9">
        <f>H2*(1/((30-E2)*(30-E2+1)))</f>
        <v>1.0740740740740741E-3</v>
      </c>
      <c r="J2" s="9">
        <f>SQRT(I2)</f>
        <v>3.2773069341672505E-2</v>
      </c>
    </row>
    <row r="3" spans="1:13" x14ac:dyDescent="0.3">
      <c r="A3" s="10">
        <f t="shared" ref="A3:A27" si="0">1+A2</f>
        <v>2</v>
      </c>
      <c r="B3" s="10">
        <v>63</v>
      </c>
      <c r="C3" s="11">
        <v>22</v>
      </c>
      <c r="D3" s="11">
        <v>1</v>
      </c>
      <c r="E3" s="11">
        <f>A3</f>
        <v>2</v>
      </c>
      <c r="F3" s="11">
        <f>($M$3-E3)/($M$3-E3+1)</f>
        <v>0.96551724137931039</v>
      </c>
      <c r="G3" s="11">
        <f>PRODUCT($F$2:F3)</f>
        <v>0.93333333333333335</v>
      </c>
      <c r="H3" s="11">
        <f t="shared" ref="H3:H26" si="1">G3^2</f>
        <v>0.87111111111111117</v>
      </c>
      <c r="I3" s="11">
        <f>H3*(1/((30-E3)*(30-E3+1)))</f>
        <v>1.0727969348659004E-3</v>
      </c>
      <c r="J3" s="11">
        <f>SQRT(I3)</f>
        <v>3.2753578962701167E-2</v>
      </c>
      <c r="L3" s="12" t="s">
        <v>40</v>
      </c>
      <c r="M3" s="13">
        <v>30</v>
      </c>
    </row>
    <row r="4" spans="1:13" x14ac:dyDescent="0.3">
      <c r="A4" s="10">
        <f t="shared" si="0"/>
        <v>3</v>
      </c>
      <c r="B4" s="10">
        <v>49</v>
      </c>
      <c r="C4" s="11">
        <v>25</v>
      </c>
      <c r="D4" s="11">
        <v>1</v>
      </c>
      <c r="E4" s="11">
        <f>A4</f>
        <v>3</v>
      </c>
      <c r="F4" s="11">
        <f>($M$3-E4)/($M$3-E4+1)</f>
        <v>0.9642857142857143</v>
      </c>
      <c r="G4" s="11">
        <f>PRODUCT($F$2:F4)</f>
        <v>0.9</v>
      </c>
      <c r="H4" s="11">
        <f t="shared" si="1"/>
        <v>0.81</v>
      </c>
      <c r="I4" s="11">
        <f t="shared" ref="I4:I25" si="2">H4*(1/((30-E4)*(30-E4+1)))</f>
        <v>1.0714285714285715E-3</v>
      </c>
      <c r="J4" s="11">
        <f>SQRT(I4)</f>
        <v>3.2732683535398856E-2</v>
      </c>
      <c r="L4" s="14"/>
      <c r="M4" s="14"/>
    </row>
    <row r="5" spans="1:13" x14ac:dyDescent="0.3">
      <c r="A5" s="10">
        <f t="shared" si="0"/>
        <v>4</v>
      </c>
      <c r="B5" s="10">
        <v>54</v>
      </c>
      <c r="C5" s="11">
        <v>40</v>
      </c>
      <c r="D5" s="11">
        <v>1</v>
      </c>
      <c r="E5" s="11">
        <f>A5</f>
        <v>4</v>
      </c>
      <c r="F5" s="11">
        <f>($M$3-E5)/($M$3-E5+1)</f>
        <v>0.96296296296296291</v>
      </c>
      <c r="G5" s="11">
        <f>PRODUCT($F$2:F5)</f>
        <v>0.86666666666666659</v>
      </c>
      <c r="H5" s="11">
        <f>G5^2</f>
        <v>0.75111111111111095</v>
      </c>
      <c r="I5" s="11">
        <f t="shared" si="2"/>
        <v>1.0699588477366252E-3</v>
      </c>
      <c r="J5" s="11">
        <f>SQRT(I5)</f>
        <v>3.271022543084387E-2</v>
      </c>
      <c r="M5" s="14"/>
    </row>
    <row r="6" spans="1:13" ht="15" thickBot="1" x14ac:dyDescent="0.35">
      <c r="A6" s="10">
        <f t="shared" si="0"/>
        <v>5</v>
      </c>
      <c r="B6" s="10">
        <v>55</v>
      </c>
      <c r="C6" s="11">
        <v>85</v>
      </c>
      <c r="D6" s="11">
        <v>0</v>
      </c>
      <c r="E6" s="11"/>
      <c r="F6" s="11"/>
      <c r="G6" s="11"/>
      <c r="H6" s="11"/>
      <c r="I6" s="11"/>
      <c r="J6" s="11"/>
      <c r="M6" s="15"/>
    </row>
    <row r="7" spans="1:13" ht="15" thickBot="1" x14ac:dyDescent="0.35">
      <c r="A7" s="10">
        <f t="shared" si="0"/>
        <v>6</v>
      </c>
      <c r="B7" s="10">
        <v>64</v>
      </c>
      <c r="C7" s="11">
        <v>121</v>
      </c>
      <c r="D7" s="11">
        <v>1</v>
      </c>
      <c r="E7" s="11">
        <f>A7</f>
        <v>6</v>
      </c>
      <c r="F7" s="11">
        <f>($M$3-E7)/($M$3-E7+1)</f>
        <v>0.96</v>
      </c>
      <c r="G7" s="11">
        <f>PRODUCT($F$2:$F$5,F7)</f>
        <v>0.83199999999999985</v>
      </c>
      <c r="H7" s="11">
        <f>G7^2</f>
        <v>0.69222399999999973</v>
      </c>
      <c r="I7" s="11">
        <f t="shared" si="2"/>
        <v>1.1537066666666663E-3</v>
      </c>
      <c r="J7" s="11">
        <f>SQRT(I7)</f>
        <v>3.39662577665934E-2</v>
      </c>
      <c r="L7" s="4" t="s">
        <v>43</v>
      </c>
      <c r="M7" s="7" t="s">
        <v>49</v>
      </c>
    </row>
    <row r="8" spans="1:13" x14ac:dyDescent="0.3">
      <c r="A8" s="10">
        <f t="shared" si="0"/>
        <v>7</v>
      </c>
      <c r="B8" s="10">
        <v>56</v>
      </c>
      <c r="C8" s="11">
        <v>152</v>
      </c>
      <c r="D8" s="11">
        <v>1</v>
      </c>
      <c r="E8" s="11">
        <f>A8</f>
        <v>7</v>
      </c>
      <c r="F8" s="11">
        <f>($M$3-E8)/($M$3-E8+1)</f>
        <v>0.95833333333333337</v>
      </c>
      <c r="G8" s="11">
        <f>PRODUCT($F$2:$F$5,$F$7:F8)</f>
        <v>0.79733333333333323</v>
      </c>
      <c r="H8" s="11">
        <f t="shared" si="1"/>
        <v>0.63574044444444433</v>
      </c>
      <c r="I8" s="11">
        <f t="shared" si="2"/>
        <v>1.1517037037037036E-3</v>
      </c>
      <c r="J8" s="11">
        <f>SQRT(I8)</f>
        <v>3.393676035958211E-2</v>
      </c>
      <c r="L8" s="9">
        <v>14</v>
      </c>
      <c r="M8" s="9">
        <v>3.2773069341672505E-2</v>
      </c>
    </row>
    <row r="9" spans="1:13" x14ac:dyDescent="0.3">
      <c r="A9" s="10">
        <f t="shared" si="0"/>
        <v>8</v>
      </c>
      <c r="B9" s="10">
        <v>60</v>
      </c>
      <c r="C9" s="11">
        <v>180</v>
      </c>
      <c r="D9" s="11">
        <v>1</v>
      </c>
      <c r="E9" s="11">
        <f>A9</f>
        <v>8</v>
      </c>
      <c r="F9" s="11">
        <f>($M$3-E9)/($M$3-E9+1)</f>
        <v>0.95652173913043481</v>
      </c>
      <c r="G9" s="11">
        <f>PRODUCT($F$2:$F$5,$F$7:F9)</f>
        <v>0.7626666666666666</v>
      </c>
      <c r="H9" s="11">
        <f t="shared" si="1"/>
        <v>0.58166044444444431</v>
      </c>
      <c r="I9" s="11">
        <f t="shared" si="2"/>
        <v>1.1495265700483088E-3</v>
      </c>
      <c r="J9" s="11">
        <f>SQRT(I9)</f>
        <v>3.3904668853246583E-2</v>
      </c>
      <c r="L9" s="11">
        <v>22</v>
      </c>
      <c r="M9" s="11">
        <v>3.2753578962701167E-2</v>
      </c>
    </row>
    <row r="10" spans="1:13" x14ac:dyDescent="0.3">
      <c r="A10" s="10">
        <f t="shared" si="0"/>
        <v>9</v>
      </c>
      <c r="B10" s="10">
        <v>43</v>
      </c>
      <c r="C10" s="11">
        <v>207</v>
      </c>
      <c r="D10" s="11">
        <v>1</v>
      </c>
      <c r="E10" s="11">
        <f>A10</f>
        <v>9</v>
      </c>
      <c r="F10" s="11">
        <f>($M$3-E10)/($M$3-E10+1)</f>
        <v>0.95454545454545459</v>
      </c>
      <c r="G10" s="11">
        <f>PRODUCT($F$2:$F$5,$F$7:F10)</f>
        <v>0.72799999999999998</v>
      </c>
      <c r="H10" s="11">
        <f t="shared" si="1"/>
        <v>0.52998400000000001</v>
      </c>
      <c r="I10" s="11">
        <f t="shared" si="2"/>
        <v>1.1471515151515151E-3</v>
      </c>
      <c r="J10" s="11">
        <f>SQRT(I10)</f>
        <v>3.3869625258504336E-2</v>
      </c>
      <c r="L10" s="11">
        <v>25</v>
      </c>
      <c r="M10" s="11">
        <v>3.2732683535398856E-2</v>
      </c>
    </row>
    <row r="11" spans="1:13" x14ac:dyDescent="0.3">
      <c r="A11" s="10">
        <f t="shared" si="0"/>
        <v>10</v>
      </c>
      <c r="B11" s="10">
        <v>61</v>
      </c>
      <c r="C11" s="11">
        <v>210</v>
      </c>
      <c r="D11" s="11">
        <v>1</v>
      </c>
      <c r="E11" s="11">
        <f>A11</f>
        <v>10</v>
      </c>
      <c r="F11" s="11">
        <f>($M$3-E11)/($M$3-E11+1)</f>
        <v>0.95238095238095233</v>
      </c>
      <c r="G11" s="11">
        <f>PRODUCT($F$2:$F$5,$F$7:F11)</f>
        <v>0.69333333333333325</v>
      </c>
      <c r="H11" s="11">
        <f t="shared" si="1"/>
        <v>0.48071111111111098</v>
      </c>
      <c r="I11" s="11">
        <f t="shared" si="2"/>
        <v>1.1445502645502643E-3</v>
      </c>
      <c r="J11" s="11">
        <f>SQRT(I11)</f>
        <v>3.3831202528882477E-2</v>
      </c>
      <c r="L11" s="11">
        <v>40</v>
      </c>
      <c r="M11" s="11">
        <v>3.271022543084387E-2</v>
      </c>
    </row>
    <row r="12" spans="1:13" x14ac:dyDescent="0.3">
      <c r="A12" s="10">
        <f t="shared" si="0"/>
        <v>11</v>
      </c>
      <c r="B12" s="10">
        <v>53</v>
      </c>
      <c r="C12" s="11">
        <v>213</v>
      </c>
      <c r="D12" s="11">
        <v>0</v>
      </c>
      <c r="E12" s="11"/>
      <c r="F12" s="11"/>
      <c r="G12" s="11"/>
      <c r="H12" s="11"/>
      <c r="I12" s="11"/>
      <c r="J12" s="11"/>
      <c r="L12" s="11">
        <v>121</v>
      </c>
      <c r="M12" s="11">
        <v>3.39662577665934E-2</v>
      </c>
    </row>
    <row r="13" spans="1:13" x14ac:dyDescent="0.3">
      <c r="A13" s="10">
        <f t="shared" si="0"/>
        <v>12</v>
      </c>
      <c r="B13" s="10">
        <v>57</v>
      </c>
      <c r="C13" s="11">
        <v>225</v>
      </c>
      <c r="D13" s="11">
        <v>1</v>
      </c>
      <c r="E13" s="11">
        <f>A13</f>
        <v>12</v>
      </c>
      <c r="F13" s="11">
        <f>($M$3-E13)/($M$3-E13+1)</f>
        <v>0.94736842105263153</v>
      </c>
      <c r="G13" s="11">
        <f>PRODUCT($F$2:F5,F7:F11,F13)</f>
        <v>0.65684210526315778</v>
      </c>
      <c r="H13" s="11">
        <f t="shared" si="1"/>
        <v>0.43144155124653727</v>
      </c>
      <c r="I13" s="11">
        <f t="shared" si="2"/>
        <v>1.2615250036448458E-3</v>
      </c>
      <c r="J13" s="11">
        <f>SQRT(I13)</f>
        <v>3.5517953258103793E-2</v>
      </c>
      <c r="L13" s="11">
        <v>152</v>
      </c>
      <c r="M13" s="11">
        <v>3.393676035958211E-2</v>
      </c>
    </row>
    <row r="14" spans="1:13" x14ac:dyDescent="0.3">
      <c r="A14" s="10">
        <f t="shared" si="0"/>
        <v>13</v>
      </c>
      <c r="B14" s="10">
        <v>48</v>
      </c>
      <c r="C14" s="11">
        <v>244</v>
      </c>
      <c r="D14" s="11">
        <v>0</v>
      </c>
      <c r="E14" s="11"/>
      <c r="F14" s="11"/>
      <c r="G14" s="11"/>
      <c r="H14" s="11"/>
      <c r="I14" s="11"/>
      <c r="J14" s="11"/>
      <c r="L14" s="11">
        <v>180</v>
      </c>
      <c r="M14" s="11">
        <v>3.3904668853246583E-2</v>
      </c>
    </row>
    <row r="15" spans="1:13" x14ac:dyDescent="0.3">
      <c r="A15" s="10">
        <f t="shared" si="0"/>
        <v>14</v>
      </c>
      <c r="B15" s="10">
        <v>58</v>
      </c>
      <c r="C15" s="11">
        <v>258</v>
      </c>
      <c r="D15" s="11">
        <v>1</v>
      </c>
      <c r="E15" s="11">
        <f t="shared" ref="E15:E21" si="3">A15</f>
        <v>14</v>
      </c>
      <c r="F15" s="11">
        <f t="shared" ref="F15:F21" si="4">($M$3-E15)/($M$3-E15+1)</f>
        <v>0.94117647058823528</v>
      </c>
      <c r="G15" s="11">
        <f>PRODUCT($F$2:$F$5,$F$7:$F$11,$F$13,F15)</f>
        <v>0.61820433436532496</v>
      </c>
      <c r="H15" s="11">
        <f t="shared" si="1"/>
        <v>0.38217659902807449</v>
      </c>
      <c r="I15" s="11">
        <f t="shared" si="2"/>
        <v>1.4050610258385091E-3</v>
      </c>
      <c r="J15" s="11">
        <f t="shared" ref="J15:J21" si="5">SQRT(I15)</f>
        <v>3.7484143658866063E-2</v>
      </c>
      <c r="L15" s="11">
        <v>207</v>
      </c>
      <c r="M15" s="11">
        <v>3.3869625258504336E-2</v>
      </c>
    </row>
    <row r="16" spans="1:13" x14ac:dyDescent="0.3">
      <c r="A16" s="10">
        <f t="shared" si="0"/>
        <v>15</v>
      </c>
      <c r="B16" s="10">
        <v>35</v>
      </c>
      <c r="C16" s="11">
        <v>273</v>
      </c>
      <c r="D16" s="11">
        <v>1</v>
      </c>
      <c r="E16" s="11">
        <f t="shared" si="3"/>
        <v>15</v>
      </c>
      <c r="F16" s="11">
        <f t="shared" si="4"/>
        <v>0.9375</v>
      </c>
      <c r="G16" s="11">
        <f>PRODUCT($F$2:F16)</f>
        <v>0.57956656346749214</v>
      </c>
      <c r="H16" s="11">
        <f t="shared" si="1"/>
        <v>0.33589740148951858</v>
      </c>
      <c r="I16" s="11">
        <f t="shared" si="2"/>
        <v>1.3995725062063275E-3</v>
      </c>
      <c r="J16" s="11">
        <f t="shared" si="5"/>
        <v>3.7410860805471013E-2</v>
      </c>
      <c r="L16" s="11">
        <v>210</v>
      </c>
      <c r="M16" s="11">
        <v>3.3831202528882477E-2</v>
      </c>
    </row>
    <row r="17" spans="1:13" x14ac:dyDescent="0.3">
      <c r="A17" s="10">
        <f t="shared" si="0"/>
        <v>16</v>
      </c>
      <c r="B17" s="10">
        <v>50</v>
      </c>
      <c r="C17" s="11">
        <v>336</v>
      </c>
      <c r="D17" s="11">
        <v>1</v>
      </c>
      <c r="E17" s="11">
        <f t="shared" si="3"/>
        <v>16</v>
      </c>
      <c r="F17" s="11">
        <f t="shared" si="4"/>
        <v>0.93333333333333335</v>
      </c>
      <c r="G17" s="11">
        <f>PRODUCT($F$2:F17)</f>
        <v>0.54092879256965931</v>
      </c>
      <c r="H17" s="11">
        <f t="shared" si="1"/>
        <v>0.29260395863086952</v>
      </c>
      <c r="I17" s="11">
        <f t="shared" si="2"/>
        <v>1.3933521839565217E-3</v>
      </c>
      <c r="J17" s="11">
        <f t="shared" si="5"/>
        <v>3.7327632980896627E-2</v>
      </c>
      <c r="L17" s="11">
        <v>225</v>
      </c>
      <c r="M17" s="11">
        <v>3.5517953258103793E-2</v>
      </c>
    </row>
    <row r="18" spans="1:13" x14ac:dyDescent="0.3">
      <c r="A18" s="10">
        <f t="shared" si="0"/>
        <v>17</v>
      </c>
      <c r="B18" s="10">
        <v>58</v>
      </c>
      <c r="C18" s="11">
        <v>361</v>
      </c>
      <c r="D18" s="11">
        <v>1</v>
      </c>
      <c r="E18" s="11">
        <f t="shared" si="3"/>
        <v>17</v>
      </c>
      <c r="F18" s="11">
        <f t="shared" si="4"/>
        <v>0.9285714285714286</v>
      </c>
      <c r="G18" s="11">
        <f>PRODUCT($F$2:F18)</f>
        <v>0.50229102167182649</v>
      </c>
      <c r="H18" s="11">
        <f t="shared" si="1"/>
        <v>0.25229627045212727</v>
      </c>
      <c r="I18" s="11">
        <f t="shared" si="2"/>
        <v>1.3862432442424575E-3</v>
      </c>
      <c r="J18" s="11">
        <f t="shared" si="5"/>
        <v>3.7232287657924773E-2</v>
      </c>
      <c r="L18" s="11">
        <v>258</v>
      </c>
      <c r="M18" s="10">
        <v>3.7484143658866063E-2</v>
      </c>
    </row>
    <row r="19" spans="1:13" x14ac:dyDescent="0.3">
      <c r="A19" s="10">
        <f t="shared" si="0"/>
        <v>18</v>
      </c>
      <c r="B19" s="10">
        <v>48</v>
      </c>
      <c r="C19" s="11">
        <v>371</v>
      </c>
      <c r="D19" s="11">
        <v>1</v>
      </c>
      <c r="E19" s="11">
        <f t="shared" si="3"/>
        <v>18</v>
      </c>
      <c r="F19" s="11">
        <f t="shared" si="4"/>
        <v>0.92307692307692313</v>
      </c>
      <c r="G19" s="11">
        <f>PRODUCT($F$2:F19)</f>
        <v>0.46365325077399372</v>
      </c>
      <c r="H19" s="11">
        <f t="shared" si="1"/>
        <v>0.21497433695329191</v>
      </c>
      <c r="I19" s="11">
        <f t="shared" si="2"/>
        <v>1.3780406214954609E-3</v>
      </c>
      <c r="J19" s="11">
        <f t="shared" si="5"/>
        <v>3.7121969526083348E-2</v>
      </c>
      <c r="L19" s="11">
        <v>273</v>
      </c>
      <c r="M19" s="16">
        <v>3.7410860805471013E-2</v>
      </c>
    </row>
    <row r="20" spans="1:13" x14ac:dyDescent="0.3">
      <c r="A20" s="10">
        <f t="shared" si="0"/>
        <v>19</v>
      </c>
      <c r="B20" s="10">
        <v>44</v>
      </c>
      <c r="C20" s="11">
        <v>487</v>
      </c>
      <c r="D20" s="11">
        <v>1</v>
      </c>
      <c r="E20" s="11">
        <f t="shared" si="3"/>
        <v>19</v>
      </c>
      <c r="F20" s="11">
        <f t="shared" si="4"/>
        <v>0.91666666666666663</v>
      </c>
      <c r="G20" s="11">
        <f>PRODUCT($F$2:F20)</f>
        <v>0.4250154798761609</v>
      </c>
      <c r="H20" s="11">
        <f t="shared" si="1"/>
        <v>0.18063815813436332</v>
      </c>
      <c r="I20" s="11">
        <f t="shared" si="2"/>
        <v>1.3684708949572978E-3</v>
      </c>
      <c r="J20" s="11">
        <f t="shared" si="5"/>
        <v>3.6992849240864073E-2</v>
      </c>
      <c r="L20" s="11">
        <v>336</v>
      </c>
      <c r="M20" s="16">
        <v>3.7327632980896627E-2</v>
      </c>
    </row>
    <row r="21" spans="1:13" x14ac:dyDescent="0.3">
      <c r="A21" s="10">
        <f t="shared" si="0"/>
        <v>20</v>
      </c>
      <c r="B21" s="10">
        <v>49</v>
      </c>
      <c r="C21" s="11">
        <v>488</v>
      </c>
      <c r="D21" s="11">
        <v>1</v>
      </c>
      <c r="E21" s="11">
        <f t="shared" si="3"/>
        <v>20</v>
      </c>
      <c r="F21" s="11">
        <f t="shared" si="4"/>
        <v>0.90909090909090906</v>
      </c>
      <c r="G21" s="11">
        <f>PRODUCT($F$2:F21)</f>
        <v>0.38637770897832807</v>
      </c>
      <c r="H21" s="11">
        <f t="shared" si="1"/>
        <v>0.14928773399534159</v>
      </c>
      <c r="I21" s="11">
        <f t="shared" si="2"/>
        <v>1.3571612181394689E-3</v>
      </c>
      <c r="J21" s="11">
        <f t="shared" si="5"/>
        <v>3.6839669082925665E-2</v>
      </c>
      <c r="L21" s="11">
        <v>361</v>
      </c>
      <c r="M21" s="10">
        <v>3.7232287657924773E-2</v>
      </c>
    </row>
    <row r="22" spans="1:13" x14ac:dyDescent="0.3">
      <c r="A22" s="10">
        <f t="shared" si="0"/>
        <v>21</v>
      </c>
      <c r="B22" s="10">
        <v>41</v>
      </c>
      <c r="C22" s="11">
        <v>575</v>
      </c>
      <c r="D22" s="11">
        <v>0</v>
      </c>
      <c r="E22" s="11"/>
      <c r="F22" s="11"/>
      <c r="G22" s="11"/>
      <c r="H22" s="11"/>
      <c r="I22" s="11"/>
      <c r="J22" s="11"/>
      <c r="L22" s="11">
        <v>371</v>
      </c>
      <c r="M22" s="10">
        <v>3.7121969526083348E-2</v>
      </c>
    </row>
    <row r="23" spans="1:13" x14ac:dyDescent="0.3">
      <c r="A23" s="10">
        <f t="shared" si="0"/>
        <v>22</v>
      </c>
      <c r="B23" s="10">
        <v>39</v>
      </c>
      <c r="C23" s="11">
        <v>581</v>
      </c>
      <c r="D23" s="11">
        <v>1</v>
      </c>
      <c r="E23" s="11">
        <f>A23</f>
        <v>22</v>
      </c>
      <c r="F23" s="11">
        <f>($M$3-E23)/($M$3-E23+1)</f>
        <v>0.88888888888888884</v>
      </c>
      <c r="G23" s="11">
        <f>PRODUCT($F$2:F23)</f>
        <v>0.34344685242518047</v>
      </c>
      <c r="H23" s="11">
        <f t="shared" si="1"/>
        <v>0.11795574044076369</v>
      </c>
      <c r="I23" s="11">
        <f t="shared" si="2"/>
        <v>1.6382741727883846E-3</v>
      </c>
      <c r="J23" s="11">
        <f>SQRT(I23)</f>
        <v>4.0475599721170097E-2</v>
      </c>
      <c r="L23" s="11">
        <v>487</v>
      </c>
      <c r="M23" s="10">
        <v>3.6992849240864073E-2</v>
      </c>
    </row>
    <row r="24" spans="1:13" x14ac:dyDescent="0.3">
      <c r="A24" s="10">
        <f t="shared" si="0"/>
        <v>23</v>
      </c>
      <c r="B24" s="10">
        <v>36</v>
      </c>
      <c r="C24" s="11">
        <v>696</v>
      </c>
      <c r="D24" s="11">
        <v>1</v>
      </c>
      <c r="E24" s="11">
        <f>A24</f>
        <v>23</v>
      </c>
      <c r="F24" s="11">
        <f>($M$3-E24)/($M$3-E24+1)</f>
        <v>0.875</v>
      </c>
      <c r="G24" s="11">
        <f>PRODUCT($F$2:F24)</f>
        <v>0.30051599587203293</v>
      </c>
      <c r="H24" s="11">
        <f t="shared" si="1"/>
        <v>9.0309863774959712E-2</v>
      </c>
      <c r="I24" s="11">
        <f t="shared" si="2"/>
        <v>1.6126761388385662E-3</v>
      </c>
      <c r="J24" s="11">
        <f>SQRT(I24)</f>
        <v>4.0158139135654261E-2</v>
      </c>
      <c r="L24" s="11">
        <v>488</v>
      </c>
      <c r="M24" s="10">
        <v>3.6839669082925665E-2</v>
      </c>
    </row>
    <row r="25" spans="1:13" x14ac:dyDescent="0.3">
      <c r="A25" s="10">
        <f t="shared" si="0"/>
        <v>24</v>
      </c>
      <c r="B25" s="10">
        <v>48</v>
      </c>
      <c r="C25" s="11">
        <v>734</v>
      </c>
      <c r="D25" s="11">
        <v>1</v>
      </c>
      <c r="E25" s="11">
        <f>A25</f>
        <v>24</v>
      </c>
      <c r="F25" s="11">
        <f>($M$3-E25)/($M$3-E25+1)</f>
        <v>0.8571428571428571</v>
      </c>
      <c r="G25" s="11">
        <f>PRODUCT($F$2:F25)</f>
        <v>0.25758513931888533</v>
      </c>
      <c r="H25" s="11">
        <f t="shared" si="1"/>
        <v>6.6350103997929566E-2</v>
      </c>
      <c r="I25" s="11">
        <f t="shared" si="2"/>
        <v>1.5797643809030849E-3</v>
      </c>
      <c r="J25" s="11">
        <f>SQRT(I25)</f>
        <v>3.9746249897356166E-2</v>
      </c>
      <c r="L25" s="11">
        <v>581</v>
      </c>
      <c r="M25" s="10">
        <v>4.0475599721170097E-2</v>
      </c>
    </row>
    <row r="26" spans="1:13" x14ac:dyDescent="0.3">
      <c r="A26" s="10">
        <f t="shared" si="0"/>
        <v>25</v>
      </c>
      <c r="B26" s="10">
        <v>49</v>
      </c>
      <c r="C26" s="11">
        <v>799</v>
      </c>
      <c r="D26" s="11">
        <v>1</v>
      </c>
      <c r="E26" s="11">
        <f>A26</f>
        <v>25</v>
      </c>
      <c r="F26" s="11">
        <f>($M$3-E26)/($M$3-E26+1)</f>
        <v>0.83333333333333337</v>
      </c>
      <c r="G26" s="11">
        <f>PRODUCT($F$2:F26)</f>
        <v>0.21465428276573778</v>
      </c>
      <c r="H26" s="11">
        <f t="shared" si="1"/>
        <v>4.6076461109673311E-2</v>
      </c>
      <c r="I26" s="11">
        <f>H26*(1/((30-E26)*(30-E26+1)))</f>
        <v>1.5358820369891103E-3</v>
      </c>
      <c r="J26" s="11">
        <f>SQRT(I26)</f>
        <v>3.9190330911962334E-2</v>
      </c>
      <c r="L26" s="11">
        <v>696</v>
      </c>
      <c r="M26" s="10">
        <v>4.0158139135654261E-2</v>
      </c>
    </row>
    <row r="27" spans="1:13" x14ac:dyDescent="0.3">
      <c r="A27" s="10">
        <f t="shared" si="0"/>
        <v>26</v>
      </c>
      <c r="B27" s="10">
        <v>30</v>
      </c>
      <c r="C27" s="11">
        <v>819</v>
      </c>
      <c r="D27" s="11">
        <v>0</v>
      </c>
      <c r="E27" s="11"/>
      <c r="F27" s="11"/>
      <c r="G27" s="11"/>
      <c r="H27" s="11"/>
      <c r="I27" s="11"/>
      <c r="J27" s="11"/>
      <c r="L27" s="11">
        <v>734</v>
      </c>
      <c r="M27" s="10">
        <v>3.9746249897356166E-2</v>
      </c>
    </row>
    <row r="28" spans="1:13" x14ac:dyDescent="0.3">
      <c r="A28" s="10">
        <v>27</v>
      </c>
      <c r="B28" s="10">
        <v>29</v>
      </c>
      <c r="C28" s="11">
        <v>887</v>
      </c>
      <c r="D28" s="11">
        <v>0</v>
      </c>
      <c r="E28" s="17"/>
      <c r="F28" s="11"/>
      <c r="G28" s="11"/>
      <c r="H28" s="11"/>
      <c r="I28" s="11"/>
      <c r="J28" s="11"/>
      <c r="L28" s="11">
        <v>799</v>
      </c>
      <c r="M28" s="10">
        <v>3.9190330911962334E-2</v>
      </c>
    </row>
    <row r="29" spans="1:13" x14ac:dyDescent="0.3">
      <c r="A29" s="10">
        <f>1+A28</f>
        <v>28</v>
      </c>
      <c r="B29" s="10">
        <v>33</v>
      </c>
      <c r="C29" s="11">
        <v>943</v>
      </c>
      <c r="D29" s="11">
        <v>0</v>
      </c>
      <c r="E29" s="11"/>
      <c r="F29" s="11"/>
      <c r="G29" s="11"/>
      <c r="H29" s="11"/>
      <c r="I29" s="11"/>
      <c r="J29" s="11"/>
      <c r="M29" s="15"/>
    </row>
    <row r="30" spans="1:13" x14ac:dyDescent="0.3">
      <c r="A30" s="10">
        <f>1+A29</f>
        <v>29</v>
      </c>
      <c r="B30" s="10">
        <v>48</v>
      </c>
      <c r="C30" s="11">
        <v>1084</v>
      </c>
      <c r="D30" s="11">
        <v>0</v>
      </c>
      <c r="E30" s="11"/>
      <c r="F30" s="11"/>
      <c r="G30" s="11"/>
      <c r="H30" s="11"/>
      <c r="I30" s="11"/>
      <c r="J30" s="11"/>
      <c r="L30" s="14"/>
    </row>
    <row r="31" spans="1:13" x14ac:dyDescent="0.3">
      <c r="A31" s="10">
        <f>1+A30</f>
        <v>30</v>
      </c>
      <c r="B31" s="10">
        <v>42</v>
      </c>
      <c r="C31" s="11">
        <v>1098</v>
      </c>
      <c r="D31" s="11">
        <v>0</v>
      </c>
      <c r="E31" s="11"/>
      <c r="F31" s="11"/>
      <c r="G31" s="11"/>
      <c r="H31" s="11"/>
      <c r="I31" s="11"/>
      <c r="J31" s="11"/>
      <c r="L31" s="14"/>
    </row>
  </sheetData>
  <sortState xmlns:xlrd2="http://schemas.microsoft.com/office/spreadsheetml/2017/richdata2" ref="B2:B23">
    <sortCondition ref="B2:B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9C09-105E-44CF-8B79-09D5791A7AC9}">
  <dimension ref="A1:E16"/>
  <sheetViews>
    <sheetView workbookViewId="0">
      <selection activeCell="K26" sqref="K26"/>
    </sheetView>
  </sheetViews>
  <sheetFormatPr defaultRowHeight="14.4" x14ac:dyDescent="0.3"/>
  <sheetData>
    <row r="1" spans="1:5" x14ac:dyDescent="0.3">
      <c r="A1" t="s">
        <v>51</v>
      </c>
      <c r="B1" t="s">
        <v>52</v>
      </c>
      <c r="C1" t="s">
        <v>53</v>
      </c>
      <c r="D1" t="s">
        <v>41</v>
      </c>
      <c r="E1" t="s">
        <v>54</v>
      </c>
    </row>
    <row r="2" spans="1:5" x14ac:dyDescent="0.3">
      <c r="A2">
        <v>0.95</v>
      </c>
      <c r="B2">
        <v>7.0000000000000007E-2</v>
      </c>
      <c r="C2">
        <v>3.0000000000000001E-3</v>
      </c>
      <c r="D2">
        <f>1-C2</f>
        <v>0.997</v>
      </c>
      <c r="E2">
        <f>B2/D2</f>
        <v>7.0210631895687062E-2</v>
      </c>
    </row>
    <row r="3" spans="1:5" x14ac:dyDescent="0.3">
      <c r="A3">
        <v>5.18</v>
      </c>
      <c r="B3">
        <v>7.6999999999999999E-2</v>
      </c>
      <c r="C3">
        <v>0.17599999999999999</v>
      </c>
      <c r="D3">
        <f t="shared" ref="D3:D16" si="0">1-C3</f>
        <v>0.82400000000000007</v>
      </c>
      <c r="E3">
        <f t="shared" ref="E3:E16" si="1">B3/D3</f>
        <v>9.3446601941747559E-2</v>
      </c>
    </row>
    <row r="4" spans="1:5" x14ac:dyDescent="0.3">
      <c r="A4">
        <v>5.74</v>
      </c>
      <c r="B4">
        <v>8.5000000000000006E-2</v>
      </c>
      <c r="C4">
        <v>0.221</v>
      </c>
      <c r="D4">
        <f t="shared" si="0"/>
        <v>0.77900000000000003</v>
      </c>
      <c r="E4">
        <f t="shared" si="1"/>
        <v>0.10911424903722722</v>
      </c>
    </row>
    <row r="5" spans="1:5" x14ac:dyDescent="0.3">
      <c r="A5">
        <v>6.31</v>
      </c>
      <c r="B5">
        <v>9.0999999999999998E-2</v>
      </c>
      <c r="C5">
        <v>0.27100000000000002</v>
      </c>
      <c r="D5">
        <f t="shared" si="0"/>
        <v>0.72899999999999998</v>
      </c>
      <c r="E5">
        <f t="shared" si="1"/>
        <v>0.12482853223593965</v>
      </c>
    </row>
    <row r="6" spans="1:5" x14ac:dyDescent="0.3">
      <c r="A6">
        <v>6.57</v>
      </c>
      <c r="B6">
        <v>9.4E-2</v>
      </c>
      <c r="C6">
        <v>0.25950000000000001</v>
      </c>
      <c r="D6">
        <f t="shared" si="0"/>
        <v>0.74049999999999994</v>
      </c>
      <c r="E6">
        <f t="shared" si="1"/>
        <v>0.12694125590817015</v>
      </c>
    </row>
    <row r="7" spans="1:5" x14ac:dyDescent="0.3">
      <c r="A7">
        <v>7.78</v>
      </c>
      <c r="B7">
        <v>0.10100000000000001</v>
      </c>
      <c r="C7">
        <v>0.41399999999999998</v>
      </c>
      <c r="D7">
        <f t="shared" si="0"/>
        <v>0.58600000000000008</v>
      </c>
      <c r="E7">
        <f t="shared" si="1"/>
        <v>0.17235494880546073</v>
      </c>
    </row>
    <row r="8" spans="1:5" x14ac:dyDescent="0.3">
      <c r="A8">
        <v>8.9700000000000006</v>
      </c>
      <c r="B8">
        <v>9.9000000000000005E-2</v>
      </c>
      <c r="C8">
        <v>0.53300000000000003</v>
      </c>
      <c r="D8">
        <f t="shared" si="0"/>
        <v>0.46699999999999997</v>
      </c>
      <c r="E8">
        <f t="shared" si="1"/>
        <v>0.21199143468950751</v>
      </c>
    </row>
    <row r="9" spans="1:5" x14ac:dyDescent="0.3">
      <c r="A9">
        <v>9.2200000000000006</v>
      </c>
      <c r="B9">
        <v>9.8000000000000004E-2</v>
      </c>
      <c r="C9">
        <v>0.55800000000000005</v>
      </c>
      <c r="D9">
        <f t="shared" si="0"/>
        <v>0.44199999999999995</v>
      </c>
      <c r="E9">
        <f t="shared" si="1"/>
        <v>0.22171945701357471</v>
      </c>
    </row>
    <row r="10" spans="1:5" x14ac:dyDescent="0.3">
      <c r="A10">
        <v>9.24</v>
      </c>
      <c r="B10">
        <v>9.8000000000000004E-2</v>
      </c>
      <c r="C10">
        <v>0.56000000000000005</v>
      </c>
      <c r="D10">
        <f t="shared" si="0"/>
        <v>0.43999999999999995</v>
      </c>
      <c r="E10">
        <f t="shared" si="1"/>
        <v>0.22272727272727277</v>
      </c>
    </row>
    <row r="11" spans="1:5" x14ac:dyDescent="0.3">
      <c r="A11">
        <v>9.51</v>
      </c>
      <c r="B11">
        <v>9.6000000000000002E-2</v>
      </c>
      <c r="C11">
        <v>0.58599999999999997</v>
      </c>
      <c r="D11">
        <f t="shared" si="0"/>
        <v>0.41400000000000003</v>
      </c>
      <c r="E11">
        <f t="shared" si="1"/>
        <v>0.23188405797101447</v>
      </c>
    </row>
    <row r="12" spans="1:5" x14ac:dyDescent="0.3">
      <c r="A12">
        <v>11.3</v>
      </c>
      <c r="B12">
        <v>7.6999999999999999E-2</v>
      </c>
      <c r="C12">
        <v>0.74299999999999999</v>
      </c>
      <c r="D12">
        <f t="shared" si="0"/>
        <v>0.25700000000000001</v>
      </c>
      <c r="E12">
        <f t="shared" si="1"/>
        <v>0.29961089494163423</v>
      </c>
    </row>
    <row r="13" spans="1:5" x14ac:dyDescent="0.3">
      <c r="A13">
        <v>11.66</v>
      </c>
      <c r="B13">
        <v>7.2999999999999995E-2</v>
      </c>
      <c r="C13">
        <v>0.76900000000000002</v>
      </c>
      <c r="D13">
        <f t="shared" si="0"/>
        <v>0.23099999999999998</v>
      </c>
      <c r="E13">
        <f t="shared" si="1"/>
        <v>0.31601731601731603</v>
      </c>
    </row>
    <row r="14" spans="1:5" x14ac:dyDescent="0.3">
      <c r="A14">
        <v>11.9</v>
      </c>
      <c r="B14">
        <v>6.9000000000000006E-2</v>
      </c>
      <c r="C14">
        <v>0.78700000000000003</v>
      </c>
      <c r="D14">
        <f t="shared" si="0"/>
        <v>0.21299999999999997</v>
      </c>
      <c r="E14">
        <f t="shared" si="1"/>
        <v>0.32394366197183105</v>
      </c>
    </row>
    <row r="15" spans="1:5" x14ac:dyDescent="0.3">
      <c r="A15">
        <v>12.65</v>
      </c>
      <c r="B15">
        <v>5.8999999999999997E-2</v>
      </c>
      <c r="C15">
        <v>0.83299999999999996</v>
      </c>
      <c r="D15">
        <f t="shared" si="0"/>
        <v>0.16700000000000004</v>
      </c>
      <c r="E15">
        <f t="shared" si="1"/>
        <v>0.35329341317365259</v>
      </c>
    </row>
    <row r="16" spans="1:5" x14ac:dyDescent="0.3">
      <c r="A16">
        <v>13.34</v>
      </c>
      <c r="B16">
        <v>4.9000000000000002E-2</v>
      </c>
      <c r="C16">
        <v>0.872</v>
      </c>
      <c r="D16">
        <f t="shared" si="0"/>
        <v>0.128</v>
      </c>
      <c r="E16">
        <f t="shared" si="1"/>
        <v>0.3828125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D831-4A82-44A3-A6E9-086E43472BC3}">
  <dimension ref="A1:H26"/>
  <sheetViews>
    <sheetView workbookViewId="0">
      <selection activeCell="J14" sqref="J14"/>
    </sheetView>
  </sheetViews>
  <sheetFormatPr defaultRowHeight="14.4" x14ac:dyDescent="0.3"/>
  <cols>
    <col min="2" max="2" width="8.88671875" style="3"/>
  </cols>
  <sheetData>
    <row r="1" spans="1:8" x14ac:dyDescent="0.3">
      <c r="A1" t="s">
        <v>37</v>
      </c>
      <c r="B1" s="3" t="s">
        <v>55</v>
      </c>
      <c r="C1" t="s">
        <v>45</v>
      </c>
      <c r="D1" t="s">
        <v>42</v>
      </c>
      <c r="E1" t="s">
        <v>41</v>
      </c>
      <c r="F1" t="s">
        <v>61</v>
      </c>
      <c r="G1" t="s">
        <v>62</v>
      </c>
      <c r="H1" t="s">
        <v>63</v>
      </c>
    </row>
    <row r="2" spans="1:8" x14ac:dyDescent="0.3">
      <c r="A2">
        <v>1</v>
      </c>
      <c r="B2" s="3">
        <v>2</v>
      </c>
      <c r="C2">
        <f>A2</f>
        <v>1</v>
      </c>
      <c r="D2">
        <f>(25-C2)/(25-C2+1)</f>
        <v>0.96</v>
      </c>
      <c r="E2">
        <f>PRODUCT(D2)</f>
        <v>0.96</v>
      </c>
      <c r="F2">
        <f>E2^2</f>
        <v>0.92159999999999997</v>
      </c>
      <c r="G2">
        <f>F2*(1/((25-C2)*(25-C2+1)))</f>
        <v>1.536E-3</v>
      </c>
      <c r="H2">
        <f>SQRT(G2)</f>
        <v>3.9191835884530853E-2</v>
      </c>
    </row>
    <row r="3" spans="1:8" x14ac:dyDescent="0.3">
      <c r="A3">
        <f>1+A2</f>
        <v>2</v>
      </c>
      <c r="B3" s="3" t="s">
        <v>38</v>
      </c>
      <c r="F3">
        <f t="shared" ref="F3:F25" si="0">E3^2</f>
        <v>0</v>
      </c>
      <c r="G3">
        <f t="shared" ref="G3:G25" si="1">F3*(1/((25-C3)*(25-C3+1)))</f>
        <v>0</v>
      </c>
      <c r="H3">
        <f t="shared" ref="H3:H25" si="2">SQRT(G3)</f>
        <v>0</v>
      </c>
    </row>
    <row r="4" spans="1:8" x14ac:dyDescent="0.3">
      <c r="A4">
        <f t="shared" ref="A4:A25" si="3">1+A3</f>
        <v>3</v>
      </c>
      <c r="B4" s="3" t="s">
        <v>39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3">
      <c r="A5">
        <f t="shared" si="3"/>
        <v>4</v>
      </c>
      <c r="B5" s="3">
        <v>19</v>
      </c>
      <c r="C5">
        <f t="shared" ref="C5:C26" si="4">A5</f>
        <v>4</v>
      </c>
      <c r="D5">
        <f t="shared" ref="D5:D25" si="5">(25-C5)/(25-C5+1)</f>
        <v>0.95454545454545459</v>
      </c>
      <c r="E5">
        <f>PRODUCT($D$2,D5)</f>
        <v>0.91636363636363638</v>
      </c>
      <c r="F5">
        <f t="shared" si="0"/>
        <v>0.83972231404958686</v>
      </c>
      <c r="G5">
        <f t="shared" si="1"/>
        <v>1.8175807663410972E-3</v>
      </c>
      <c r="H5">
        <f t="shared" si="2"/>
        <v>4.2633094730984485E-2</v>
      </c>
    </row>
    <row r="6" spans="1:8" x14ac:dyDescent="0.3">
      <c r="A6">
        <f t="shared" si="3"/>
        <v>5</v>
      </c>
      <c r="B6" s="3">
        <v>19</v>
      </c>
      <c r="C6">
        <f t="shared" si="4"/>
        <v>5</v>
      </c>
      <c r="D6">
        <f t="shared" si="5"/>
        <v>0.95238095238095233</v>
      </c>
      <c r="E6">
        <f>PRODUCT($D$2,$D$5:$D$6)</f>
        <v>0.87272727272727268</v>
      </c>
      <c r="F6">
        <f t="shared" si="0"/>
        <v>0.76165289256198343</v>
      </c>
      <c r="G6">
        <f t="shared" si="1"/>
        <v>1.8134592680047227E-3</v>
      </c>
      <c r="H6">
        <f t="shared" si="2"/>
        <v>4.2584730455935998E-2</v>
      </c>
    </row>
    <row r="7" spans="1:8" x14ac:dyDescent="0.3">
      <c r="A7">
        <f t="shared" si="3"/>
        <v>6</v>
      </c>
      <c r="B7" s="3" t="s">
        <v>56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3">
      <c r="A8">
        <f t="shared" si="3"/>
        <v>7</v>
      </c>
      <c r="B8" s="3">
        <v>25</v>
      </c>
      <c r="C8">
        <f t="shared" si="4"/>
        <v>7</v>
      </c>
      <c r="D8">
        <f t="shared" si="5"/>
        <v>0.94736842105263153</v>
      </c>
      <c r="E8">
        <f>PRODUCT($D$2,$D$5:$D$6,D8)</f>
        <v>0.82679425837320564</v>
      </c>
      <c r="F8">
        <f t="shared" si="0"/>
        <v>0.68358874567889916</v>
      </c>
      <c r="G8">
        <f t="shared" si="1"/>
        <v>1.9987975019850851E-3</v>
      </c>
      <c r="H8">
        <f t="shared" si="2"/>
        <v>4.4707913192018757E-2</v>
      </c>
    </row>
    <row r="9" spans="1:8" x14ac:dyDescent="0.3">
      <c r="A9">
        <f t="shared" si="3"/>
        <v>8</v>
      </c>
      <c r="B9" s="3">
        <v>30</v>
      </c>
      <c r="C9">
        <f t="shared" si="4"/>
        <v>8</v>
      </c>
      <c r="D9">
        <f t="shared" si="5"/>
        <v>0.94444444444444442</v>
      </c>
      <c r="E9">
        <f>PRODUCT($D$2,$D$5:$D$6,$D$8:D9)</f>
        <v>0.78086124401913859</v>
      </c>
      <c r="F9">
        <f t="shared" si="0"/>
        <v>0.60974428241111667</v>
      </c>
      <c r="G9">
        <f t="shared" si="1"/>
        <v>1.9926283738925382E-3</v>
      </c>
      <c r="H9">
        <f t="shared" si="2"/>
        <v>4.4638866180633868E-2</v>
      </c>
    </row>
    <row r="10" spans="1:8" x14ac:dyDescent="0.3">
      <c r="A10">
        <f t="shared" si="3"/>
        <v>9</v>
      </c>
      <c r="B10" s="3">
        <v>35</v>
      </c>
      <c r="C10">
        <f t="shared" si="4"/>
        <v>9</v>
      </c>
      <c r="D10">
        <f t="shared" si="5"/>
        <v>0.94117647058823528</v>
      </c>
      <c r="E10">
        <f>PRODUCT($D$2,$D$5:$D$6,$D$8:D10)</f>
        <v>0.73492822966507165</v>
      </c>
      <c r="F10">
        <f t="shared" si="0"/>
        <v>0.54011950275863629</v>
      </c>
      <c r="G10">
        <f t="shared" si="1"/>
        <v>1.9857334660243983E-3</v>
      </c>
      <c r="H10">
        <f t="shared" si="2"/>
        <v>4.4561569384665954E-2</v>
      </c>
    </row>
    <row r="11" spans="1:8" x14ac:dyDescent="0.3">
      <c r="A11">
        <f t="shared" si="3"/>
        <v>10</v>
      </c>
      <c r="B11" s="3">
        <v>40</v>
      </c>
      <c r="C11">
        <f t="shared" si="4"/>
        <v>10</v>
      </c>
      <c r="D11">
        <f t="shared" si="5"/>
        <v>0.9375</v>
      </c>
      <c r="E11">
        <f>PRODUCT($D$2,$D$5:$D$6,$D$8:$D$11)</f>
        <v>0.68899521531100472</v>
      </c>
      <c r="F11">
        <f t="shared" si="0"/>
        <v>0.47471440672145776</v>
      </c>
      <c r="G11">
        <f t="shared" si="1"/>
        <v>1.9779766946727406E-3</v>
      </c>
      <c r="H11">
        <f t="shared" si="2"/>
        <v>4.4474449908601908E-2</v>
      </c>
    </row>
    <row r="12" spans="1:8" x14ac:dyDescent="0.3">
      <c r="A12">
        <f t="shared" si="3"/>
        <v>11</v>
      </c>
      <c r="B12" s="3" t="s">
        <v>57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3">
      <c r="A13">
        <f t="shared" si="3"/>
        <v>12</v>
      </c>
      <c r="B13" s="3">
        <v>45</v>
      </c>
      <c r="C13">
        <f t="shared" si="4"/>
        <v>12</v>
      </c>
      <c r="D13">
        <f t="shared" si="5"/>
        <v>0.9285714285714286</v>
      </c>
      <c r="E13">
        <f>PRODUCT($D$2,$D$5:$D$6,$D$8:$D$11,D13)</f>
        <v>0.63978127136021867</v>
      </c>
      <c r="F13">
        <f t="shared" si="0"/>
        <v>0.40932007518329777</v>
      </c>
      <c r="G13">
        <f t="shared" si="1"/>
        <v>2.249011402106032E-3</v>
      </c>
      <c r="H13">
        <f t="shared" si="2"/>
        <v>4.742374302083327E-2</v>
      </c>
    </row>
    <row r="14" spans="1:8" x14ac:dyDescent="0.3">
      <c r="A14">
        <f t="shared" si="3"/>
        <v>13</v>
      </c>
      <c r="B14" s="3">
        <v>45</v>
      </c>
      <c r="C14">
        <f t="shared" si="4"/>
        <v>13</v>
      </c>
      <c r="D14">
        <f t="shared" si="5"/>
        <v>0.92307692307692313</v>
      </c>
      <c r="E14">
        <f>PRODUCT($D$2,$D$5:$D$6,$D$8:$D$11,$D$13:D14)</f>
        <v>0.59056732740943263</v>
      </c>
      <c r="F14">
        <f t="shared" si="0"/>
        <v>0.34876976820352001</v>
      </c>
      <c r="G14">
        <f t="shared" si="1"/>
        <v>2.2357036423302566E-3</v>
      </c>
      <c r="H14">
        <f t="shared" si="2"/>
        <v>4.7283227917838441E-2</v>
      </c>
    </row>
    <row r="15" spans="1:8" x14ac:dyDescent="0.3">
      <c r="A15">
        <f t="shared" si="3"/>
        <v>14</v>
      </c>
      <c r="B15" s="3">
        <v>48</v>
      </c>
      <c r="C15">
        <f t="shared" si="4"/>
        <v>14</v>
      </c>
      <c r="D15">
        <f t="shared" si="5"/>
        <v>0.91666666666666663</v>
      </c>
      <c r="E15">
        <f>PRODUCT($D$2,$D$5:$D$6,$D$8:$D$11,$D$13:D15)</f>
        <v>0.54135338345864659</v>
      </c>
      <c r="F15">
        <f t="shared" si="0"/>
        <v>0.29306348578212443</v>
      </c>
      <c r="G15">
        <f t="shared" si="1"/>
        <v>2.2201779225918517E-3</v>
      </c>
      <c r="H15">
        <f t="shared" si="2"/>
        <v>4.7118764018083618E-2</v>
      </c>
    </row>
    <row r="16" spans="1:8" x14ac:dyDescent="0.3">
      <c r="A16">
        <f t="shared" si="3"/>
        <v>15</v>
      </c>
      <c r="B16" s="3">
        <v>50</v>
      </c>
      <c r="C16">
        <f t="shared" si="4"/>
        <v>15</v>
      </c>
      <c r="D16">
        <f t="shared" si="5"/>
        <v>0.90909090909090906</v>
      </c>
      <c r="E16">
        <f>PRODUCT($D$2,$D$5:$D$6,$D$8:$D$11,$D$13:D16)</f>
        <v>0.49213943950786054</v>
      </c>
      <c r="F16">
        <f t="shared" si="0"/>
        <v>0.24220122791911114</v>
      </c>
      <c r="G16">
        <f t="shared" si="1"/>
        <v>2.2018293447191922E-3</v>
      </c>
      <c r="H16">
        <f t="shared" si="2"/>
        <v>4.6923654426303925E-2</v>
      </c>
    </row>
    <row r="17" spans="1:8" x14ac:dyDescent="0.3">
      <c r="A17">
        <f t="shared" si="3"/>
        <v>16</v>
      </c>
      <c r="B17" s="3">
        <v>60</v>
      </c>
      <c r="C17">
        <f t="shared" si="4"/>
        <v>16</v>
      </c>
      <c r="D17">
        <f t="shared" si="5"/>
        <v>0.9</v>
      </c>
      <c r="E17">
        <f>PRODUCT($D$2,$D$5:$D$6,$D$8:$D$11,$D$13:D17)</f>
        <v>0.4429254955570745</v>
      </c>
      <c r="F17">
        <f t="shared" si="0"/>
        <v>0.19618299461448002</v>
      </c>
      <c r="G17">
        <f t="shared" si="1"/>
        <v>2.1798110512720003E-3</v>
      </c>
      <c r="H17">
        <f t="shared" si="2"/>
        <v>4.6688446657304851E-2</v>
      </c>
    </row>
    <row r="18" spans="1:8" x14ac:dyDescent="0.3">
      <c r="A18">
        <f t="shared" si="3"/>
        <v>17</v>
      </c>
      <c r="B18" s="3">
        <v>62</v>
      </c>
      <c r="C18">
        <f t="shared" si="4"/>
        <v>17</v>
      </c>
      <c r="D18">
        <f t="shared" si="5"/>
        <v>0.88888888888888884</v>
      </c>
      <c r="E18">
        <f>PRODUCT($D$2,$D$5:$D$6,$D$8:$D$11,$D$13:D18)</f>
        <v>0.3937115516062884</v>
      </c>
      <c r="F18">
        <f t="shared" si="0"/>
        <v>0.15500878586823111</v>
      </c>
      <c r="G18">
        <f t="shared" si="1"/>
        <v>2.1528998037254319E-3</v>
      </c>
      <c r="H18">
        <f t="shared" si="2"/>
        <v>4.6399351328713978E-2</v>
      </c>
    </row>
    <row r="19" spans="1:8" x14ac:dyDescent="0.3">
      <c r="A19">
        <f t="shared" si="3"/>
        <v>18</v>
      </c>
      <c r="B19" s="3">
        <v>69</v>
      </c>
      <c r="C19">
        <f t="shared" si="4"/>
        <v>18</v>
      </c>
      <c r="D19">
        <f t="shared" si="5"/>
        <v>0.875</v>
      </c>
      <c r="E19">
        <f>PRODUCT($D$2,$D$5:$D$6,$D$8:$D$11,$D$13:D19)</f>
        <v>0.34449760765550236</v>
      </c>
      <c r="F19">
        <f t="shared" si="0"/>
        <v>0.11867860168036444</v>
      </c>
      <c r="G19">
        <f t="shared" si="1"/>
        <v>2.119260744292222E-3</v>
      </c>
      <c r="H19">
        <f t="shared" si="2"/>
        <v>4.6035429228934339E-2</v>
      </c>
    </row>
    <row r="20" spans="1:8" x14ac:dyDescent="0.3">
      <c r="A20">
        <f t="shared" si="3"/>
        <v>19</v>
      </c>
      <c r="B20" s="3">
        <v>89</v>
      </c>
      <c r="C20">
        <f t="shared" si="4"/>
        <v>19</v>
      </c>
      <c r="D20">
        <f t="shared" si="5"/>
        <v>0.8571428571428571</v>
      </c>
      <c r="E20">
        <f>PRODUCT($D$2,$D$5:$D$6,$D$8:$D$11,$D$13:D20)</f>
        <v>0.29528366370471631</v>
      </c>
      <c r="F20">
        <f t="shared" si="0"/>
        <v>8.7192442050880004E-2</v>
      </c>
      <c r="G20">
        <f t="shared" si="1"/>
        <v>2.0760105250209522E-3</v>
      </c>
      <c r="H20">
        <f t="shared" si="2"/>
        <v>4.5563258498717493E-2</v>
      </c>
    </row>
    <row r="21" spans="1:8" x14ac:dyDescent="0.3">
      <c r="A21">
        <f t="shared" si="3"/>
        <v>20</v>
      </c>
      <c r="B21" s="3">
        <v>90</v>
      </c>
      <c r="C21">
        <f t="shared" si="4"/>
        <v>20</v>
      </c>
      <c r="D21">
        <f t="shared" si="5"/>
        <v>0.83333333333333337</v>
      </c>
      <c r="E21">
        <f>PRODUCT($D$2,$D$5:$D$6,$D$8:$D$11,$D$13:D21)</f>
        <v>0.24606971975393027</v>
      </c>
      <c r="F21">
        <f t="shared" si="0"/>
        <v>6.0550306979777785E-2</v>
      </c>
      <c r="G21">
        <f t="shared" si="1"/>
        <v>2.0183435659925928E-3</v>
      </c>
      <c r="H21">
        <f t="shared" si="2"/>
        <v>4.492597874273406E-2</v>
      </c>
    </row>
    <row r="22" spans="1:8" x14ac:dyDescent="0.3">
      <c r="A22">
        <f t="shared" si="3"/>
        <v>21</v>
      </c>
      <c r="B22" s="3" t="s">
        <v>59</v>
      </c>
      <c r="C22">
        <f t="shared" si="4"/>
        <v>21</v>
      </c>
      <c r="D22">
        <f t="shared" si="5"/>
        <v>0.8</v>
      </c>
      <c r="E22">
        <f>PRODUCT($D$2,$D$5:$D$6,$D$8:$D$11,$D$13:$D$22)</f>
        <v>0.19685577580314423</v>
      </c>
      <c r="F22">
        <f t="shared" si="0"/>
        <v>3.8752196467057784E-2</v>
      </c>
      <c r="G22">
        <f t="shared" si="1"/>
        <v>1.9376098233528892E-3</v>
      </c>
      <c r="H22">
        <f t="shared" si="2"/>
        <v>4.4018289645928875E-2</v>
      </c>
    </row>
    <row r="23" spans="1:8" x14ac:dyDescent="0.3">
      <c r="A23">
        <f t="shared" si="3"/>
        <v>22</v>
      </c>
      <c r="B23" s="3" t="s">
        <v>58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3">
      <c r="A24">
        <f t="shared" si="3"/>
        <v>23</v>
      </c>
      <c r="B24" s="3" t="s">
        <v>60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3">
      <c r="A25">
        <f t="shared" si="3"/>
        <v>24</v>
      </c>
      <c r="B25" s="3">
        <v>145</v>
      </c>
      <c r="C25">
        <f t="shared" si="4"/>
        <v>24</v>
      </c>
      <c r="D25">
        <f t="shared" si="5"/>
        <v>0.5</v>
      </c>
      <c r="E25">
        <f>PRODUCT($D$2,$D$5:$D$6,$D$8:$D$11,$D$13:$D$22,D25)</f>
        <v>9.8427887901572114E-2</v>
      </c>
      <c r="F25">
        <f t="shared" si="0"/>
        <v>9.688049116764446E-3</v>
      </c>
      <c r="G25">
        <f t="shared" si="1"/>
        <v>4.844024558382223E-3</v>
      </c>
      <c r="H25">
        <f t="shared" si="2"/>
        <v>6.9599026993070981E-2</v>
      </c>
    </row>
    <row r="26" spans="1:8" x14ac:dyDescent="0.3">
      <c r="A26">
        <v>25</v>
      </c>
      <c r="B26" s="3">
        <v>160</v>
      </c>
      <c r="C26">
        <f t="shared" si="4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8820-CED2-4022-8F90-6AD9AA65BE1F}">
  <dimension ref="A1:J11"/>
  <sheetViews>
    <sheetView workbookViewId="0">
      <selection activeCell="D16" sqref="D16"/>
    </sheetView>
  </sheetViews>
  <sheetFormatPr defaultRowHeight="14.4" x14ac:dyDescent="0.3"/>
  <cols>
    <col min="2" max="2" width="15.5546875" customWidth="1"/>
    <col min="3" max="3" width="12.109375" customWidth="1"/>
    <col min="6" max="6" width="10" bestFit="1" customWidth="1"/>
    <col min="7" max="7" width="10.77734375" bestFit="1" customWidth="1"/>
  </cols>
  <sheetData>
    <row r="1" spans="1:10" ht="57.6" x14ac:dyDescent="0.3">
      <c r="A1" t="s">
        <v>0</v>
      </c>
      <c r="B1" s="1" t="s">
        <v>71</v>
      </c>
      <c r="C1" s="1" t="s">
        <v>72</v>
      </c>
      <c r="D1" s="1" t="s">
        <v>64</v>
      </c>
      <c r="E1" s="1" t="s">
        <v>69</v>
      </c>
      <c r="F1" s="1" t="s">
        <v>70</v>
      </c>
    </row>
    <row r="2" spans="1:10" x14ac:dyDescent="0.3">
      <c r="A2" t="s">
        <v>65</v>
      </c>
      <c r="B2">
        <v>1200</v>
      </c>
      <c r="C2">
        <v>105</v>
      </c>
      <c r="D2">
        <v>20</v>
      </c>
      <c r="E2">
        <v>20</v>
      </c>
      <c r="F2">
        <v>16</v>
      </c>
    </row>
    <row r="3" spans="1:10" x14ac:dyDescent="0.3">
      <c r="A3" t="s">
        <v>66</v>
      </c>
      <c r="B3">
        <v>1095</v>
      </c>
      <c r="C3">
        <v>70</v>
      </c>
      <c r="D3">
        <v>8</v>
      </c>
      <c r="E3">
        <v>26</v>
      </c>
      <c r="F3">
        <v>14</v>
      </c>
    </row>
    <row r="4" spans="1:10" x14ac:dyDescent="0.3">
      <c r="A4" t="s">
        <v>67</v>
      </c>
      <c r="B4">
        <v>1025</v>
      </c>
      <c r="C4">
        <v>55</v>
      </c>
      <c r="D4">
        <v>25</v>
      </c>
      <c r="E4">
        <v>15</v>
      </c>
      <c r="F4">
        <v>5</v>
      </c>
    </row>
    <row r="5" spans="1:10" x14ac:dyDescent="0.3">
      <c r="A5" t="s">
        <v>68</v>
      </c>
      <c r="B5">
        <v>970</v>
      </c>
      <c r="C5">
        <v>35</v>
      </c>
      <c r="D5">
        <v>27</v>
      </c>
      <c r="E5">
        <v>18</v>
      </c>
      <c r="F5">
        <v>18</v>
      </c>
    </row>
    <row r="7" spans="1:10" ht="57.6" x14ac:dyDescent="0.3">
      <c r="A7" t="s">
        <v>0</v>
      </c>
      <c r="B7" s="1" t="s">
        <v>71</v>
      </c>
      <c r="C7" s="1" t="s">
        <v>72</v>
      </c>
      <c r="D7" s="18" t="s">
        <v>73</v>
      </c>
      <c r="E7" s="18" t="s">
        <v>74</v>
      </c>
      <c r="F7" s="18" t="s">
        <v>75</v>
      </c>
      <c r="G7" s="18" t="s">
        <v>76</v>
      </c>
      <c r="I7" s="18" t="s">
        <v>78</v>
      </c>
      <c r="J7" s="18" t="s">
        <v>77</v>
      </c>
    </row>
    <row r="8" spans="1:10" x14ac:dyDescent="0.3">
      <c r="A8" t="s">
        <v>65</v>
      </c>
      <c r="B8">
        <v>1200</v>
      </c>
      <c r="C8">
        <v>105</v>
      </c>
      <c r="D8">
        <f>B8-C8</f>
        <v>1095</v>
      </c>
      <c r="E8">
        <f>D8/B8</f>
        <v>0.91249999999999998</v>
      </c>
      <c r="F8">
        <f>(E8*D2)/D8</f>
        <v>1.6666666666666666E-2</v>
      </c>
      <c r="G8">
        <f>I8*J8</f>
        <v>1.3448498329040331E-2</v>
      </c>
      <c r="I8">
        <f>(1-(E8)^(1-(D2/C8)))</f>
        <v>7.1445147373026763E-2</v>
      </c>
      <c r="J8">
        <f>F2/(C8-D2)</f>
        <v>0.18823529411764706</v>
      </c>
    </row>
    <row r="9" spans="1:10" x14ac:dyDescent="0.3">
      <c r="A9" t="s">
        <v>66</v>
      </c>
      <c r="B9">
        <v>1095</v>
      </c>
      <c r="C9">
        <v>70</v>
      </c>
      <c r="D9">
        <f t="shared" ref="D9:D11" si="0">B9-C9</f>
        <v>1025</v>
      </c>
      <c r="E9">
        <f t="shared" ref="E9:E11" si="1">D9/B9</f>
        <v>0.9360730593607306</v>
      </c>
      <c r="F9">
        <f>(E9*D3)/D9</f>
        <v>7.3059360730593605E-3</v>
      </c>
      <c r="G9">
        <f t="shared" ref="G9:G11" si="2">I9*J9</f>
        <v>1.2833240742656642E-2</v>
      </c>
      <c r="I9">
        <f t="shared" ref="I9:I11" si="3">(1-(E9)^(1-(D3/C9)))</f>
        <v>5.6832923288907988E-2</v>
      </c>
      <c r="J9">
        <f t="shared" ref="J9:J11" si="4">F3/(C9-D3)</f>
        <v>0.22580645161290322</v>
      </c>
    </row>
    <row r="10" spans="1:10" x14ac:dyDescent="0.3">
      <c r="A10" t="s">
        <v>67</v>
      </c>
      <c r="B10">
        <v>1025</v>
      </c>
      <c r="C10">
        <v>55</v>
      </c>
      <c r="D10">
        <f t="shared" si="0"/>
        <v>970</v>
      </c>
      <c r="E10">
        <f t="shared" si="1"/>
        <v>0.9463414634146341</v>
      </c>
      <c r="F10">
        <f>(E10*D4)/D10</f>
        <v>2.4390243902439022E-2</v>
      </c>
      <c r="G10">
        <f t="shared" si="2"/>
        <v>4.9391377734488238E-3</v>
      </c>
      <c r="I10">
        <f t="shared" si="3"/>
        <v>2.9634826640692946E-2</v>
      </c>
      <c r="J10">
        <f t="shared" si="4"/>
        <v>0.16666666666666666</v>
      </c>
    </row>
    <row r="11" spans="1:10" x14ac:dyDescent="0.3">
      <c r="A11" t="s">
        <v>68</v>
      </c>
      <c r="B11">
        <v>970</v>
      </c>
      <c r="C11">
        <v>35</v>
      </c>
      <c r="D11">
        <f t="shared" si="0"/>
        <v>935</v>
      </c>
      <c r="E11">
        <f t="shared" si="1"/>
        <v>0.96391752577319589</v>
      </c>
      <c r="F11">
        <f>(E11*D5)/D11</f>
        <v>2.7835051546391754E-2</v>
      </c>
      <c r="G11">
        <f t="shared" si="2"/>
        <v>1.8820608331887256E-2</v>
      </c>
      <c r="I11">
        <f t="shared" si="3"/>
        <v>8.3647148141721139E-3</v>
      </c>
      <c r="J11">
        <f t="shared" si="4"/>
        <v>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D02E-4D89-4CFA-9B16-EFF4D6147A54}">
  <dimension ref="A1:E17"/>
  <sheetViews>
    <sheetView workbookViewId="0">
      <selection activeCell="G22" sqref="G22"/>
    </sheetView>
  </sheetViews>
  <sheetFormatPr defaultRowHeight="14.4" x14ac:dyDescent="0.3"/>
  <cols>
    <col min="4" max="4" width="11.33203125" bestFit="1" customWidth="1"/>
  </cols>
  <sheetData>
    <row r="1" spans="1:5" x14ac:dyDescent="0.3">
      <c r="A1" t="s">
        <v>28</v>
      </c>
    </row>
    <row r="2" spans="1:5" x14ac:dyDescent="0.3">
      <c r="A2">
        <v>5</v>
      </c>
    </row>
    <row r="3" spans="1:5" x14ac:dyDescent="0.3">
      <c r="A3">
        <v>6</v>
      </c>
    </row>
    <row r="4" spans="1:5" x14ac:dyDescent="0.3">
      <c r="A4">
        <v>7</v>
      </c>
    </row>
    <row r="5" spans="1:5" x14ac:dyDescent="0.3">
      <c r="A5">
        <v>8</v>
      </c>
    </row>
    <row r="6" spans="1:5" x14ac:dyDescent="0.3">
      <c r="A6">
        <v>9</v>
      </c>
    </row>
    <row r="7" spans="1:5" x14ac:dyDescent="0.3">
      <c r="A7">
        <v>10</v>
      </c>
    </row>
    <row r="8" spans="1:5" x14ac:dyDescent="0.3">
      <c r="A8">
        <v>12</v>
      </c>
    </row>
    <row r="9" spans="1:5" x14ac:dyDescent="0.3">
      <c r="A9">
        <v>15</v>
      </c>
    </row>
    <row r="10" spans="1:5" x14ac:dyDescent="0.3">
      <c r="A10">
        <v>20</v>
      </c>
    </row>
    <row r="11" spans="1:5" x14ac:dyDescent="0.3">
      <c r="A11">
        <v>21</v>
      </c>
    </row>
    <row r="12" spans="1:5" x14ac:dyDescent="0.3">
      <c r="A12">
        <v>25</v>
      </c>
    </row>
    <row r="14" spans="1:5" x14ac:dyDescent="0.3">
      <c r="A14" t="s">
        <v>79</v>
      </c>
      <c r="B14">
        <f>SUM(A2:A12)</f>
        <v>138</v>
      </c>
      <c r="D14" t="s">
        <v>82</v>
      </c>
      <c r="E14">
        <f>(B14)/11+((20-B15)*(B17))/11</f>
        <v>33</v>
      </c>
    </row>
    <row r="15" spans="1:5" x14ac:dyDescent="0.3">
      <c r="A15" t="s">
        <v>80</v>
      </c>
      <c r="B15">
        <f>COUNT(A2:A12)</f>
        <v>11</v>
      </c>
      <c r="D15" t="s">
        <v>83</v>
      </c>
      <c r="E15">
        <f>1/E14</f>
        <v>3.0303030303030304E-2</v>
      </c>
    </row>
    <row r="16" spans="1:5" x14ac:dyDescent="0.3">
      <c r="A16" t="s">
        <v>40</v>
      </c>
      <c r="B16">
        <v>20</v>
      </c>
      <c r="D16" t="s">
        <v>41</v>
      </c>
      <c r="E16">
        <f>E14/SQRT(B15)</f>
        <v>9.9498743710661994</v>
      </c>
    </row>
    <row r="17" spans="1:2" x14ac:dyDescent="0.3">
      <c r="A17" t="s">
        <v>81</v>
      </c>
      <c r="B17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08E3-7D6D-46C4-8CBD-A308B08D1BF6}">
  <dimension ref="A1:J11"/>
  <sheetViews>
    <sheetView workbookViewId="0">
      <selection activeCell="E8" sqref="E8"/>
    </sheetView>
  </sheetViews>
  <sheetFormatPr defaultRowHeight="14.4" x14ac:dyDescent="0.3"/>
  <cols>
    <col min="1" max="1" width="11.21875" style="2" bestFit="1" customWidth="1"/>
    <col min="2" max="2" width="8.44140625" bestFit="1" customWidth="1"/>
    <col min="3" max="3" width="16.109375" bestFit="1" customWidth="1"/>
    <col min="4" max="4" width="11.21875" bestFit="1" customWidth="1"/>
    <col min="5" max="5" width="13.77734375" bestFit="1" customWidth="1"/>
    <col min="8" max="8" width="12" bestFit="1" customWidth="1"/>
  </cols>
  <sheetData>
    <row r="1" spans="1:10" ht="43.2" x14ac:dyDescent="0.3">
      <c r="A1" s="26" t="s">
        <v>84</v>
      </c>
      <c r="B1" s="27" t="s">
        <v>85</v>
      </c>
      <c r="C1" s="27" t="s">
        <v>86</v>
      </c>
      <c r="D1" s="27" t="s">
        <v>87</v>
      </c>
      <c r="E1" s="27" t="s">
        <v>88</v>
      </c>
      <c r="F1" s="28" t="s">
        <v>89</v>
      </c>
      <c r="G1" s="28" t="s">
        <v>42</v>
      </c>
      <c r="H1" s="28" t="s">
        <v>90</v>
      </c>
      <c r="I1" s="28" t="s">
        <v>41</v>
      </c>
      <c r="J1" s="28" t="s">
        <v>91</v>
      </c>
    </row>
    <row r="2" spans="1:10" x14ac:dyDescent="0.3">
      <c r="A2" s="2" t="s">
        <v>27</v>
      </c>
      <c r="B2">
        <v>18</v>
      </c>
      <c r="C2">
        <v>0</v>
      </c>
      <c r="D2">
        <v>731</v>
      </c>
      <c r="E2">
        <v>949</v>
      </c>
      <c r="F2">
        <f>E2-(B2+C2)/2</f>
        <v>940</v>
      </c>
      <c r="G2">
        <f>1-D2/E2</f>
        <v>0.22971548998946256</v>
      </c>
      <c r="H2">
        <f>D2/(F2*(F2-D2))</f>
        <v>3.7208592079812685E-3</v>
      </c>
      <c r="I2">
        <f>SUM(G2:G5)</f>
        <v>2.6310967443939726</v>
      </c>
      <c r="J2">
        <f>(I2^2)*(H6)</f>
        <v>0.21021341354571346</v>
      </c>
    </row>
    <row r="3" spans="1:10" x14ac:dyDescent="0.3">
      <c r="A3" s="2" t="s">
        <v>4</v>
      </c>
      <c r="B3">
        <v>16</v>
      </c>
      <c r="C3">
        <v>0</v>
      </c>
      <c r="D3">
        <v>52</v>
      </c>
      <c r="E3">
        <v>200</v>
      </c>
      <c r="F3">
        <f t="shared" ref="F3:F5" si="0">E3-(B3+C3)/2</f>
        <v>192</v>
      </c>
      <c r="G3">
        <f t="shared" ref="G3:G5" si="1">1-D3/E3</f>
        <v>0.74</v>
      </c>
      <c r="H3">
        <f t="shared" ref="H3:H5" si="2">D3/(F3*(F3-D3))</f>
        <v>1.9345238095238096E-3</v>
      </c>
    </row>
    <row r="4" spans="1:10" x14ac:dyDescent="0.3">
      <c r="A4" s="2" t="s">
        <v>6</v>
      </c>
      <c r="B4">
        <v>8</v>
      </c>
      <c r="C4">
        <v>67</v>
      </c>
      <c r="D4">
        <v>14</v>
      </c>
      <c r="E4">
        <v>132</v>
      </c>
      <c r="F4">
        <f t="shared" si="0"/>
        <v>94.5</v>
      </c>
      <c r="G4">
        <f t="shared" si="1"/>
        <v>0.89393939393939392</v>
      </c>
      <c r="H4">
        <f t="shared" si="2"/>
        <v>1.8403496664366229E-3</v>
      </c>
    </row>
    <row r="5" spans="1:10" x14ac:dyDescent="0.3">
      <c r="A5" s="2" t="s">
        <v>7</v>
      </c>
      <c r="B5">
        <v>0</v>
      </c>
      <c r="C5">
        <v>33</v>
      </c>
      <c r="D5">
        <v>10</v>
      </c>
      <c r="E5">
        <v>43</v>
      </c>
      <c r="F5">
        <f t="shared" si="0"/>
        <v>26.5</v>
      </c>
      <c r="G5">
        <f t="shared" si="1"/>
        <v>0.76744186046511631</v>
      </c>
      <c r="H5">
        <f t="shared" si="2"/>
        <v>2.2870211549456832E-2</v>
      </c>
    </row>
    <row r="6" spans="1:10" x14ac:dyDescent="0.3">
      <c r="A6" s="2" t="s">
        <v>79</v>
      </c>
      <c r="B6">
        <f t="shared" ref="B6:H6" si="3">SUM(B2:B5)</f>
        <v>42</v>
      </c>
      <c r="C6">
        <f t="shared" si="3"/>
        <v>100</v>
      </c>
      <c r="D6">
        <f t="shared" si="3"/>
        <v>807</v>
      </c>
      <c r="E6">
        <f t="shared" si="3"/>
        <v>1324</v>
      </c>
      <c r="F6">
        <f t="shared" si="3"/>
        <v>1253</v>
      </c>
      <c r="G6">
        <f t="shared" si="3"/>
        <v>2.6310967443939726</v>
      </c>
      <c r="H6">
        <f t="shared" si="3"/>
        <v>3.0365944233398532E-2</v>
      </c>
    </row>
    <row r="11" spans="1:10" x14ac:dyDescent="0.3">
      <c r="B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Prac 1</vt:lpstr>
      <vt:lpstr>Prac 2</vt:lpstr>
      <vt:lpstr>Prac 2(b)</vt:lpstr>
      <vt:lpstr>Prac 3</vt:lpstr>
      <vt:lpstr>Prac 4</vt:lpstr>
      <vt:lpstr>PraC 5</vt:lpstr>
      <vt:lpstr>Prac 6</vt:lpstr>
      <vt:lpstr>Prac 7</vt:lpstr>
      <vt:lpstr>Prac 8</vt:lpstr>
      <vt:lpstr>Prac 9</vt:lpstr>
      <vt:lpstr>Prac 10</vt:lpstr>
      <vt:lpstr>Prac 11</vt:lpstr>
      <vt:lpstr>Prac 12</vt:lpstr>
      <vt:lpstr>d</vt:lpstr>
      <vt:lpstr>lamda</vt:lpstr>
      <vt:lpstr>lamda_1</vt:lpstr>
      <vt:lpstr>lamda_2</vt:lpstr>
      <vt:lpstr>n</vt:lpstr>
      <vt:lpstr>td</vt:lpstr>
      <vt:lpstr>total</vt:lpstr>
      <vt:lpstr>yeta</vt:lpstr>
      <vt:lpstr>yeta_2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Gupta</dc:creator>
  <cp:lastModifiedBy>Priyanshu Gupta</cp:lastModifiedBy>
  <dcterms:created xsi:type="dcterms:W3CDTF">2024-05-12T12:14:45Z</dcterms:created>
  <dcterms:modified xsi:type="dcterms:W3CDTF">2024-05-12T20:08:28Z</dcterms:modified>
</cp:coreProperties>
</file>