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aumgaral\Data\"/>
    </mc:Choice>
  </mc:AlternateContent>
  <xr:revisionPtr revIDLastSave="0" documentId="13_ncr:1_{E131938A-75E5-4C0B-AA59-CCFDA743C5A3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Cash" sheetId="6" r:id="rId1"/>
    <sheet name="budget19" sheetId="5" r:id="rId2"/>
    <sheet name="PIV_2019" sheetId="8" r:id="rId3"/>
    <sheet name="data_2019" sheetId="7" r:id="rId4"/>
    <sheet name="Pivot(old)" sheetId="3" r:id="rId5"/>
    <sheet name="data" sheetId="2" r:id="rId6"/>
    <sheet name="Chase1115_Activity_20180807" sheetId="4" r:id="rId7"/>
    <sheet name="budget18" sheetId="1" r:id="rId8"/>
  </sheets>
  <definedNames>
    <definedName name="_xlnm._FilterDatabase" localSheetId="6" hidden="1">Chase1115_Activity_20180807!$A$1:$H$155</definedName>
    <definedName name="_xlnm._FilterDatabase" localSheetId="3" hidden="1">data_2019!$A$1:$G$260</definedName>
    <definedName name="Amount">data!$F$5:$F$337</definedName>
    <definedName name="Class">data!$D$5:$D$337</definedName>
    <definedName name="Period">data!$B$5:$B$337</definedName>
    <definedName name="_xlnm.Print_Area" localSheetId="7">budget18!$A$1:$BC$46</definedName>
    <definedName name="_xlnm.Print_Area" localSheetId="1">budget19!$A$1:$CG$47</definedName>
  </definedNames>
  <calcPr calcId="191029"/>
  <pivotCaches>
    <pivotCache cacheId="0" r:id="rId9"/>
    <pivotCache cacheId="1" r:id="rId10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" i="7" l="1"/>
  <c r="BA44" i="1" l="1"/>
  <c r="AY44" i="1"/>
  <c r="AU44" i="1"/>
  <c r="AS44" i="1"/>
  <c r="AO44" i="1"/>
  <c r="AM44" i="1"/>
  <c r="AI44" i="1"/>
  <c r="AG44" i="1"/>
  <c r="AC44" i="1"/>
  <c r="AA44" i="1"/>
  <c r="W44" i="1"/>
  <c r="U44" i="1"/>
  <c r="Q44" i="1"/>
  <c r="O44" i="1"/>
  <c r="K44" i="1"/>
  <c r="I44" i="1"/>
  <c r="BA43" i="1"/>
  <c r="AY43" i="1"/>
  <c r="AU43" i="1"/>
  <c r="AS43" i="1"/>
  <c r="AO43" i="1"/>
  <c r="AM43" i="1"/>
  <c r="AI43" i="1"/>
  <c r="AG43" i="1"/>
  <c r="AC43" i="1"/>
  <c r="W43" i="1"/>
  <c r="U43" i="1"/>
  <c r="K43" i="1"/>
  <c r="I43" i="1"/>
  <c r="BC40" i="1"/>
  <c r="BA40" i="1"/>
  <c r="AY40" i="1"/>
  <c r="AW40" i="1"/>
  <c r="AU40" i="1"/>
  <c r="AS40" i="1"/>
  <c r="AQ40" i="1"/>
  <c r="AO40" i="1"/>
  <c r="AM40" i="1"/>
  <c r="AK40" i="1"/>
  <c r="AI40" i="1"/>
  <c r="AG40" i="1"/>
  <c r="AE40" i="1"/>
  <c r="AC40" i="1"/>
  <c r="AA40" i="1"/>
  <c r="Y40" i="1"/>
  <c r="W40" i="1"/>
  <c r="U40" i="1"/>
  <c r="S40" i="1"/>
  <c r="Q40" i="1"/>
  <c r="O40" i="1"/>
  <c r="M40" i="1"/>
  <c r="K40" i="1"/>
  <c r="I40" i="1"/>
  <c r="G40" i="1"/>
  <c r="E40" i="1"/>
  <c r="C40" i="1"/>
  <c r="BC38" i="1"/>
  <c r="BA38" i="1"/>
  <c r="AY38" i="1"/>
  <c r="AW38" i="1"/>
  <c r="AU38" i="1"/>
  <c r="AS38" i="1"/>
  <c r="AQ38" i="1"/>
  <c r="AO38" i="1"/>
  <c r="AM38" i="1"/>
  <c r="AK38" i="1"/>
  <c r="AI38" i="1"/>
  <c r="AG38" i="1"/>
  <c r="AE38" i="1"/>
  <c r="AC38" i="1"/>
  <c r="AA38" i="1"/>
  <c r="Y38" i="1"/>
  <c r="W38" i="1"/>
  <c r="U38" i="1"/>
  <c r="S38" i="1"/>
  <c r="Q38" i="1"/>
  <c r="O38" i="1"/>
  <c r="M38" i="1"/>
  <c r="K38" i="1"/>
  <c r="I38" i="1"/>
  <c r="G38" i="1"/>
  <c r="E38" i="1"/>
  <c r="C38" i="1"/>
  <c r="BC37" i="1"/>
  <c r="BA37" i="1"/>
  <c r="AY37" i="1"/>
  <c r="AW37" i="1"/>
  <c r="AQ37" i="1"/>
  <c r="AK37" i="1"/>
  <c r="AE37" i="1"/>
  <c r="Y37" i="1"/>
  <c r="W37" i="1"/>
  <c r="S37" i="1"/>
  <c r="M37" i="1"/>
  <c r="K37" i="1"/>
  <c r="K37" i="1" a="1"/>
  <c r="G37" i="1"/>
  <c r="BC36" i="1"/>
  <c r="BA36" i="1"/>
  <c r="AY36" i="1"/>
  <c r="AW36" i="1"/>
  <c r="AQ36" i="1"/>
  <c r="AK36" i="1"/>
  <c r="AE36" i="1"/>
  <c r="Y36" i="1"/>
  <c r="S36" i="1"/>
  <c r="Q36" i="1"/>
  <c r="Q36" i="1" a="1"/>
  <c r="M36" i="1"/>
  <c r="K36" i="1"/>
  <c r="K36" i="1" a="1"/>
  <c r="G36" i="1"/>
  <c r="BC35" i="1"/>
  <c r="BA35" i="1"/>
  <c r="AY35" i="1"/>
  <c r="AW35" i="1"/>
  <c r="AQ35" i="1"/>
  <c r="AK35" i="1"/>
  <c r="AE35" i="1"/>
  <c r="Y35" i="1"/>
  <c r="S35" i="1"/>
  <c r="Q35" i="1"/>
  <c r="Q35" i="1" a="1"/>
  <c r="M35" i="1"/>
  <c r="K35" i="1"/>
  <c r="K35" i="1" a="1"/>
  <c r="G35" i="1"/>
  <c r="BC34" i="1"/>
  <c r="BA34" i="1"/>
  <c r="AY34" i="1"/>
  <c r="AW34" i="1"/>
  <c r="AQ34" i="1"/>
  <c r="AK34" i="1"/>
  <c r="AE34" i="1"/>
  <c r="Y34" i="1"/>
  <c r="S34" i="1"/>
  <c r="Q34" i="1"/>
  <c r="Q34" i="1" a="1"/>
  <c r="M34" i="1"/>
  <c r="K34" i="1"/>
  <c r="K34" i="1" a="1"/>
  <c r="G34" i="1"/>
  <c r="BC33" i="1"/>
  <c r="BA33" i="1"/>
  <c r="AY33" i="1"/>
  <c r="AW33" i="1"/>
  <c r="AQ33" i="1"/>
  <c r="AK33" i="1"/>
  <c r="AE33" i="1"/>
  <c r="AA33" i="1"/>
  <c r="Y33" i="1"/>
  <c r="S33" i="1"/>
  <c r="Q33" i="1"/>
  <c r="Q33" i="1" a="1"/>
  <c r="M33" i="1"/>
  <c r="K33" i="1"/>
  <c r="K33" i="1" a="1"/>
  <c r="G33" i="1"/>
  <c r="BC32" i="1"/>
  <c r="BA32" i="1"/>
  <c r="AY32" i="1"/>
  <c r="AW32" i="1"/>
  <c r="AQ32" i="1"/>
  <c r="AK32" i="1"/>
  <c r="AE32" i="1"/>
  <c r="Y32" i="1"/>
  <c r="S32" i="1"/>
  <c r="Q32" i="1"/>
  <c r="Q32" i="1" a="1"/>
  <c r="M32" i="1"/>
  <c r="K32" i="1"/>
  <c r="K32" i="1" a="1"/>
  <c r="G32" i="1"/>
  <c r="BC31" i="1"/>
  <c r="BA31" i="1"/>
  <c r="AY31" i="1"/>
  <c r="AW31" i="1"/>
  <c r="AQ31" i="1"/>
  <c r="AK31" i="1"/>
  <c r="AE31" i="1"/>
  <c r="Y31" i="1"/>
  <c r="S31" i="1"/>
  <c r="Q31" i="1"/>
  <c r="Q31" i="1" a="1"/>
  <c r="M31" i="1"/>
  <c r="K31" i="1"/>
  <c r="K31" i="1" a="1"/>
  <c r="G31" i="1"/>
  <c r="BC30" i="1"/>
  <c r="BA30" i="1"/>
  <c r="AY30" i="1"/>
  <c r="AW30" i="1"/>
  <c r="AQ30" i="1"/>
  <c r="AK30" i="1"/>
  <c r="AE30" i="1"/>
  <c r="Y30" i="1"/>
  <c r="S30" i="1"/>
  <c r="Q30" i="1"/>
  <c r="Q30" i="1" a="1"/>
  <c r="M30" i="1"/>
  <c r="K30" i="1"/>
  <c r="K30" i="1" a="1"/>
  <c r="G30" i="1"/>
  <c r="BC29" i="1"/>
  <c r="BA29" i="1"/>
  <c r="AY29" i="1"/>
  <c r="AW29" i="1"/>
  <c r="AQ29" i="1"/>
  <c r="AK29" i="1"/>
  <c r="AE29" i="1"/>
  <c r="Y29" i="1"/>
  <c r="S29" i="1"/>
  <c r="Q29" i="1"/>
  <c r="Q29" i="1" a="1"/>
  <c r="M29" i="1"/>
  <c r="K29" i="1"/>
  <c r="K29" i="1" a="1"/>
  <c r="G29" i="1"/>
  <c r="E29" i="1"/>
  <c r="BC28" i="1"/>
  <c r="BA28" i="1"/>
  <c r="AY28" i="1"/>
  <c r="AW28" i="1"/>
  <c r="AQ28" i="1"/>
  <c r="AK28" i="1"/>
  <c r="AE28" i="1"/>
  <c r="Y28" i="1"/>
  <c r="S28" i="1"/>
  <c r="Q28" i="1"/>
  <c r="Q28" i="1" a="1"/>
  <c r="M28" i="1"/>
  <c r="K28" i="1"/>
  <c r="K28" i="1" a="1"/>
  <c r="G28" i="1"/>
  <c r="BC27" i="1"/>
  <c r="BA27" i="1"/>
  <c r="AY27" i="1"/>
  <c r="AW27" i="1"/>
  <c r="AQ27" i="1"/>
  <c r="AK27" i="1"/>
  <c r="AE27" i="1"/>
  <c r="Y27" i="1"/>
  <c r="S27" i="1"/>
  <c r="Q27" i="1"/>
  <c r="Q27" i="1" a="1"/>
  <c r="M27" i="1"/>
  <c r="K27" i="1"/>
  <c r="K27" i="1" a="1"/>
  <c r="G27" i="1"/>
  <c r="BC26" i="1"/>
  <c r="BA26" i="1"/>
  <c r="AY26" i="1"/>
  <c r="AW26" i="1"/>
  <c r="AQ26" i="1"/>
  <c r="AK26" i="1"/>
  <c r="AE26" i="1"/>
  <c r="Y26" i="1"/>
  <c r="S26" i="1"/>
  <c r="Q26" i="1"/>
  <c r="Q26" i="1" a="1"/>
  <c r="M26" i="1"/>
  <c r="K26" i="1"/>
  <c r="K26" i="1" a="1"/>
  <c r="G26" i="1"/>
  <c r="BC25" i="1"/>
  <c r="BA25" i="1"/>
  <c r="AY25" i="1"/>
  <c r="AW25" i="1"/>
  <c r="AQ25" i="1"/>
  <c r="AK25" i="1"/>
  <c r="AE25" i="1"/>
  <c r="Y25" i="1"/>
  <c r="S25" i="1"/>
  <c r="Q25" i="1"/>
  <c r="Q25" i="1" a="1"/>
  <c r="O25" i="1"/>
  <c r="M25" i="1"/>
  <c r="K25" i="1"/>
  <c r="K25" i="1" a="1"/>
  <c r="G25" i="1"/>
  <c r="BC24" i="1"/>
  <c r="BA24" i="1"/>
  <c r="AY24" i="1"/>
  <c r="AW24" i="1"/>
  <c r="AQ24" i="1"/>
  <c r="AK24" i="1"/>
  <c r="AE24" i="1"/>
  <c r="Y24" i="1"/>
  <c r="S24" i="1"/>
  <c r="Q24" i="1"/>
  <c r="Q24" i="1" a="1"/>
  <c r="M24" i="1"/>
  <c r="K24" i="1"/>
  <c r="K24" i="1" a="1"/>
  <c r="G24" i="1"/>
  <c r="BC23" i="1"/>
  <c r="BA23" i="1"/>
  <c r="AY23" i="1"/>
  <c r="AW23" i="1"/>
  <c r="AQ23" i="1"/>
  <c r="AK23" i="1"/>
  <c r="AE23" i="1"/>
  <c r="Y23" i="1"/>
  <c r="S23" i="1"/>
  <c r="Q23" i="1"/>
  <c r="Q23" i="1" a="1"/>
  <c r="M23" i="1"/>
  <c r="K23" i="1"/>
  <c r="K23" i="1" a="1"/>
  <c r="G23" i="1"/>
  <c r="BC22" i="1"/>
  <c r="BA22" i="1"/>
  <c r="AY22" i="1"/>
  <c r="AW22" i="1"/>
  <c r="AQ22" i="1"/>
  <c r="AK22" i="1"/>
  <c r="AE22" i="1"/>
  <c r="Y22" i="1"/>
  <c r="S22" i="1"/>
  <c r="Q22" i="1"/>
  <c r="Q22" i="1" a="1"/>
  <c r="M22" i="1"/>
  <c r="K22" i="1"/>
  <c r="K22" i="1" a="1"/>
  <c r="G22" i="1"/>
  <c r="BC21" i="1"/>
  <c r="BA21" i="1"/>
  <c r="AY21" i="1"/>
  <c r="AW21" i="1"/>
  <c r="AQ21" i="1"/>
  <c r="AK21" i="1"/>
  <c r="AE21" i="1"/>
  <c r="Y21" i="1"/>
  <c r="S21" i="1"/>
  <c r="Q21" i="1"/>
  <c r="Q21" i="1" a="1"/>
  <c r="M21" i="1"/>
  <c r="K21" i="1"/>
  <c r="K21" i="1" a="1"/>
  <c r="G21" i="1"/>
  <c r="BC20" i="1"/>
  <c r="BA20" i="1"/>
  <c r="AY20" i="1"/>
  <c r="AW20" i="1"/>
  <c r="AQ20" i="1"/>
  <c r="AK20" i="1"/>
  <c r="AE20" i="1"/>
  <c r="Y20" i="1"/>
  <c r="S20" i="1"/>
  <c r="Q20" i="1"/>
  <c r="Q20" i="1" a="1"/>
  <c r="M20" i="1"/>
  <c r="K20" i="1"/>
  <c r="K20" i="1" a="1"/>
  <c r="G20" i="1"/>
  <c r="BC19" i="1"/>
  <c r="BA19" i="1"/>
  <c r="AY19" i="1"/>
  <c r="AW19" i="1"/>
  <c r="AQ19" i="1"/>
  <c r="AK19" i="1"/>
  <c r="AE19" i="1"/>
  <c r="Y19" i="1"/>
  <c r="S19" i="1"/>
  <c r="Q19" i="1"/>
  <c r="Q19" i="1" a="1"/>
  <c r="M19" i="1"/>
  <c r="K19" i="1"/>
  <c r="K19" i="1" a="1"/>
  <c r="G19" i="1"/>
  <c r="BC18" i="1"/>
  <c r="BA18" i="1"/>
  <c r="AY18" i="1"/>
  <c r="AW18" i="1"/>
  <c r="AQ18" i="1"/>
  <c r="AK18" i="1"/>
  <c r="AE18" i="1"/>
  <c r="Y18" i="1"/>
  <c r="S18" i="1"/>
  <c r="Q18" i="1"/>
  <c r="Q18" i="1" a="1"/>
  <c r="M18" i="1"/>
  <c r="K18" i="1"/>
  <c r="K18" i="1" a="1"/>
  <c r="G18" i="1"/>
  <c r="BC17" i="1"/>
  <c r="BA17" i="1"/>
  <c r="AY17" i="1"/>
  <c r="AW17" i="1"/>
  <c r="AQ17" i="1"/>
  <c r="AK17" i="1"/>
  <c r="AE17" i="1"/>
  <c r="Y17" i="1"/>
  <c r="S17" i="1"/>
  <c r="M17" i="1"/>
  <c r="K17" i="1"/>
  <c r="K17" i="1" a="1"/>
  <c r="G17" i="1"/>
  <c r="BC16" i="1"/>
  <c r="BA16" i="1"/>
  <c r="AY16" i="1"/>
  <c r="AW16" i="1"/>
  <c r="AQ16" i="1"/>
  <c r="AK16" i="1"/>
  <c r="AE16" i="1"/>
  <c r="Y16" i="1"/>
  <c r="S16" i="1"/>
  <c r="M16" i="1"/>
  <c r="K16" i="1"/>
  <c r="K16" i="1" a="1"/>
  <c r="G16" i="1"/>
  <c r="BC15" i="1"/>
  <c r="BA15" i="1"/>
  <c r="AY15" i="1"/>
  <c r="AW15" i="1"/>
  <c r="AQ15" i="1"/>
  <c r="AK15" i="1"/>
  <c r="AE15" i="1"/>
  <c r="Y15" i="1"/>
  <c r="S15" i="1"/>
  <c r="M15" i="1"/>
  <c r="K15" i="1"/>
  <c r="K15" i="1" a="1"/>
  <c r="G15" i="1"/>
  <c r="BC14" i="1"/>
  <c r="BA14" i="1"/>
  <c r="AY14" i="1"/>
  <c r="AW14" i="1"/>
  <c r="AQ14" i="1"/>
  <c r="AK14" i="1"/>
  <c r="AE14" i="1"/>
  <c r="Y14" i="1"/>
  <c r="S14" i="1"/>
  <c r="M14" i="1"/>
  <c r="K14" i="1"/>
  <c r="K14" i="1" a="1"/>
  <c r="G14" i="1"/>
  <c r="BC11" i="1"/>
  <c r="BA11" i="1"/>
  <c r="AY11" i="1"/>
  <c r="AW11" i="1"/>
  <c r="AU11" i="1"/>
  <c r="AS11" i="1"/>
  <c r="AQ11" i="1"/>
  <c r="AO11" i="1"/>
  <c r="AM11" i="1"/>
  <c r="AK11" i="1"/>
  <c r="AI11" i="1"/>
  <c r="AG11" i="1"/>
  <c r="AE11" i="1"/>
  <c r="AC11" i="1"/>
  <c r="AA11" i="1"/>
  <c r="Y11" i="1"/>
  <c r="W11" i="1"/>
  <c r="U11" i="1"/>
  <c r="S11" i="1"/>
  <c r="Q11" i="1"/>
  <c r="O11" i="1"/>
  <c r="M11" i="1"/>
  <c r="K11" i="1"/>
  <c r="I11" i="1"/>
  <c r="G11" i="1"/>
  <c r="E11" i="1"/>
  <c r="C11" i="1"/>
  <c r="BC10" i="1"/>
  <c r="BA10" i="1"/>
  <c r="AY10" i="1"/>
  <c r="AW10" i="1"/>
  <c r="AU10" i="1"/>
  <c r="AS10" i="1"/>
  <c r="AQ10" i="1"/>
  <c r="AO10" i="1"/>
  <c r="AM10" i="1"/>
  <c r="AK10" i="1"/>
  <c r="AI10" i="1"/>
  <c r="AG10" i="1"/>
  <c r="AE10" i="1"/>
  <c r="AC10" i="1"/>
  <c r="AA10" i="1"/>
  <c r="Y10" i="1"/>
  <c r="W10" i="1"/>
  <c r="U10" i="1"/>
  <c r="S10" i="1"/>
  <c r="Q10" i="1"/>
  <c r="O10" i="1"/>
  <c r="M10" i="1"/>
  <c r="K10" i="1"/>
  <c r="I10" i="1"/>
  <c r="G10" i="1"/>
  <c r="BC9" i="1"/>
  <c r="BA9" i="1"/>
  <c r="AY9" i="1"/>
  <c r="AW9" i="1"/>
  <c r="AQ9" i="1"/>
  <c r="AK9" i="1"/>
  <c r="AE9" i="1"/>
  <c r="Y9" i="1"/>
  <c r="S9" i="1"/>
  <c r="M9" i="1"/>
  <c r="G9" i="1"/>
  <c r="BC8" i="1"/>
  <c r="BA8" i="1"/>
  <c r="AY8" i="1"/>
  <c r="AW8" i="1"/>
  <c r="AU8" i="1"/>
  <c r="AS8" i="1"/>
  <c r="AQ8" i="1"/>
  <c r="AM8" i="1"/>
  <c r="AK8" i="1"/>
  <c r="AI8" i="1"/>
  <c r="AG8" i="1"/>
  <c r="AE8" i="1"/>
  <c r="AC8" i="1"/>
  <c r="AA8" i="1"/>
  <c r="Y8" i="1"/>
  <c r="W8" i="1"/>
  <c r="U8" i="1"/>
  <c r="S8" i="1"/>
  <c r="Q8" i="1"/>
  <c r="O8" i="1"/>
  <c r="M8" i="1"/>
  <c r="I8" i="1"/>
  <c r="G8" i="1"/>
  <c r="F302" i="2"/>
  <c r="F296" i="2"/>
  <c r="F29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2" i="2"/>
  <c r="F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3" i="2"/>
  <c r="H172" i="2"/>
  <c r="H171" i="2"/>
  <c r="H170" i="2"/>
  <c r="H169" i="2"/>
  <c r="H168" i="2"/>
  <c r="H166" i="2"/>
  <c r="F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F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M130" i="2"/>
  <c r="H130" i="2"/>
  <c r="H129" i="2"/>
  <c r="H128" i="2"/>
  <c r="H127" i="2"/>
  <c r="H126" i="2"/>
  <c r="H125" i="2"/>
  <c r="F125" i="2"/>
  <c r="H124" i="2"/>
  <c r="F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M49" i="2"/>
  <c r="H49" i="2"/>
  <c r="M48" i="2"/>
  <c r="H48" i="2"/>
  <c r="M47" i="2"/>
  <c r="H47" i="2"/>
  <c r="M46" i="2"/>
  <c r="H46" i="2"/>
  <c r="M45" i="2"/>
  <c r="H45" i="2"/>
  <c r="M44" i="2"/>
  <c r="H44" i="2"/>
  <c r="M43" i="2"/>
  <c r="H43" i="2"/>
  <c r="M42" i="2"/>
  <c r="H42" i="2"/>
  <c r="M41" i="2"/>
  <c r="H41" i="2"/>
  <c r="M40" i="2"/>
  <c r="H40" i="2"/>
  <c r="M39" i="2"/>
  <c r="H39" i="2"/>
  <c r="M38" i="2"/>
  <c r="H38" i="2"/>
  <c r="M37" i="2"/>
  <c r="H37" i="2"/>
  <c r="M36" i="2"/>
  <c r="H36" i="2"/>
  <c r="M35" i="2"/>
  <c r="H35" i="2"/>
  <c r="M34" i="2"/>
  <c r="H34" i="2"/>
  <c r="M33" i="2"/>
  <c r="H33" i="2"/>
  <c r="M32" i="2"/>
  <c r="H32" i="2"/>
  <c r="M31" i="2"/>
  <c r="H31" i="2"/>
  <c r="M30" i="2"/>
  <c r="H30" i="2"/>
  <c r="M29" i="2"/>
  <c r="H29" i="2"/>
  <c r="M28" i="2"/>
  <c r="H28" i="2"/>
  <c r="M27" i="2"/>
  <c r="H27" i="2"/>
  <c r="M26" i="2"/>
  <c r="H26" i="2"/>
  <c r="M25" i="2"/>
  <c r="H25" i="2"/>
  <c r="M24" i="2"/>
  <c r="H24" i="2"/>
  <c r="H23" i="2"/>
  <c r="H22" i="2"/>
  <c r="H21" i="2"/>
  <c r="H20" i="2"/>
  <c r="L19" i="2"/>
  <c r="H19" i="2"/>
  <c r="L18" i="2"/>
  <c r="H18" i="2"/>
  <c r="F18" i="2"/>
  <c r="L17" i="2"/>
  <c r="H17" i="2"/>
  <c r="L16" i="2"/>
  <c r="H16" i="2"/>
  <c r="L15" i="2"/>
  <c r="H15" i="2"/>
  <c r="L14" i="2"/>
  <c r="H14" i="2"/>
  <c r="L13" i="2"/>
  <c r="H13" i="2"/>
  <c r="L12" i="2"/>
  <c r="H12" i="2"/>
  <c r="L11" i="2"/>
  <c r="H11" i="2"/>
  <c r="L10" i="2"/>
  <c r="H10" i="2"/>
  <c r="L9" i="2"/>
  <c r="H9" i="2"/>
  <c r="L8" i="2"/>
  <c r="H8" i="2"/>
  <c r="L7" i="2"/>
  <c r="H7" i="2"/>
  <c r="L6" i="2"/>
  <c r="H6" i="2"/>
  <c r="L5" i="2"/>
  <c r="H5" i="2"/>
  <c r="P4" i="2"/>
  <c r="E230" i="7"/>
  <c r="E188" i="7"/>
  <c r="E177" i="7"/>
  <c r="H133" i="7"/>
  <c r="E30" i="7"/>
  <c r="K40" i="5" s="1" a="1"/>
  <c r="K40" i="5" s="1"/>
  <c r="M40" i="5" s="1"/>
  <c r="E29" i="7"/>
  <c r="J12" i="7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G67" i="5"/>
  <c r="C67" i="5"/>
  <c r="BQ52" i="5"/>
  <c r="BK52" i="5"/>
  <c r="BE52" i="5"/>
  <c r="AY52" i="5"/>
  <c r="AS52" i="5"/>
  <c r="AM52" i="5"/>
  <c r="AG52" i="5"/>
  <c r="AA52" i="5"/>
  <c r="U52" i="5"/>
  <c r="O52" i="5"/>
  <c r="I52" i="5"/>
  <c r="C52" i="5"/>
  <c r="CG47" i="5"/>
  <c r="CE47" i="5"/>
  <c r="CC47" i="5"/>
  <c r="BY47" i="5"/>
  <c r="CA47" i="5" s="1"/>
  <c r="BW47" i="5"/>
  <c r="BU47" i="5"/>
  <c r="BS47" i="5"/>
  <c r="BQ47" i="5"/>
  <c r="BO47" i="5"/>
  <c r="BM47" i="5"/>
  <c r="BK47" i="5"/>
  <c r="BI47" i="5"/>
  <c r="BG47" i="5"/>
  <c r="BE47" i="5"/>
  <c r="BC47" i="5"/>
  <c r="BA47" i="5"/>
  <c r="AY47" i="5"/>
  <c r="AW47" i="5"/>
  <c r="AU47" i="5"/>
  <c r="AS47" i="5"/>
  <c r="AQ47" i="5"/>
  <c r="AO47" i="5"/>
  <c r="AM47" i="5"/>
  <c r="AK47" i="5"/>
  <c r="AI47" i="5"/>
  <c r="AG47" i="5"/>
  <c r="AE47" i="5"/>
  <c r="AC47" i="5"/>
  <c r="AA47" i="5"/>
  <c r="Y47" i="5"/>
  <c r="W47" i="5"/>
  <c r="U47" i="5"/>
  <c r="S47" i="5"/>
  <c r="Q47" i="5"/>
  <c r="O47" i="5"/>
  <c r="M47" i="5"/>
  <c r="I47" i="5"/>
  <c r="C47" i="5"/>
  <c r="CG46" i="5"/>
  <c r="CE46" i="5"/>
  <c r="CC46" i="5"/>
  <c r="CA46" i="5"/>
  <c r="BY46" i="5"/>
  <c r="BW46" i="5"/>
  <c r="BU46" i="5"/>
  <c r="BS46" i="5"/>
  <c r="BQ46" i="5"/>
  <c r="BO46" i="5"/>
  <c r="BM46" i="5"/>
  <c r="BK46" i="5"/>
  <c r="BI46" i="5"/>
  <c r="BG46" i="5"/>
  <c r="BE46" i="5"/>
  <c r="BC46" i="5"/>
  <c r="BA46" i="5"/>
  <c r="AY46" i="5"/>
  <c r="AW46" i="5"/>
  <c r="AU46" i="5"/>
  <c r="AS46" i="5"/>
  <c r="AQ46" i="5"/>
  <c r="AO46" i="5"/>
  <c r="AM46" i="5"/>
  <c r="AK46" i="5"/>
  <c r="AI46" i="5"/>
  <c r="AG46" i="5"/>
  <c r="AE46" i="5"/>
  <c r="AC46" i="5"/>
  <c r="AA46" i="5"/>
  <c r="Y46" i="5"/>
  <c r="W46" i="5"/>
  <c r="U46" i="5"/>
  <c r="S46" i="5"/>
  <c r="Q46" i="5"/>
  <c r="O46" i="5"/>
  <c r="M46" i="5"/>
  <c r="I46" i="5"/>
  <c r="G46" i="5"/>
  <c r="E46" i="5"/>
  <c r="C46" i="5"/>
  <c r="CC43" i="5"/>
  <c r="BW43" i="5"/>
  <c r="BU43" i="5"/>
  <c r="BS43" i="5"/>
  <c r="BQ43" i="5"/>
  <c r="BO43" i="5"/>
  <c r="BM43" i="5"/>
  <c r="BK43" i="5"/>
  <c r="BI43" i="5"/>
  <c r="BG43" i="5"/>
  <c r="BE43" i="5"/>
  <c r="BC43" i="5"/>
  <c r="BA43" i="5"/>
  <c r="AY43" i="5"/>
  <c r="AW43" i="5"/>
  <c r="AU43" i="5"/>
  <c r="AS43" i="5"/>
  <c r="AQ43" i="5"/>
  <c r="AO43" i="5"/>
  <c r="AM43" i="5"/>
  <c r="AK43" i="5"/>
  <c r="AI43" i="5"/>
  <c r="AG43" i="5"/>
  <c r="AE43" i="5"/>
  <c r="AC43" i="5"/>
  <c r="AA43" i="5"/>
  <c r="Y43" i="5"/>
  <c r="W43" i="5"/>
  <c r="U43" i="5"/>
  <c r="S43" i="5"/>
  <c r="Q43" i="5"/>
  <c r="O43" i="5"/>
  <c r="I43" i="5"/>
  <c r="C43" i="5"/>
  <c r="CC41" i="5"/>
  <c r="BW41" i="5"/>
  <c r="BU41" i="5"/>
  <c r="BS41" i="5"/>
  <c r="BQ41" i="5"/>
  <c r="BO41" i="5"/>
  <c r="BM41" i="5"/>
  <c r="BK41" i="5"/>
  <c r="BI41" i="5"/>
  <c r="BG41" i="5"/>
  <c r="BE41" i="5"/>
  <c r="BC41" i="5"/>
  <c r="BA41" i="5"/>
  <c r="AY41" i="5"/>
  <c r="AW41" i="5"/>
  <c r="AU41" i="5"/>
  <c r="AS41" i="5"/>
  <c r="AQ41" i="5"/>
  <c r="AO41" i="5"/>
  <c r="AM41" i="5"/>
  <c r="AK41" i="5"/>
  <c r="AI41" i="5"/>
  <c r="AG41" i="5"/>
  <c r="AE41" i="5"/>
  <c r="AC41" i="5"/>
  <c r="AA41" i="5"/>
  <c r="Y41" i="5"/>
  <c r="W41" i="5"/>
  <c r="U41" i="5"/>
  <c r="S41" i="5"/>
  <c r="Q41" i="5"/>
  <c r="O41" i="5"/>
  <c r="I41" i="5"/>
  <c r="C41" i="5"/>
  <c r="CC40" i="5"/>
  <c r="BW40" i="5"/>
  <c r="BU40" i="5"/>
  <c r="BO40" i="5"/>
  <c r="BI40" i="5"/>
  <c r="BC40" i="5"/>
  <c r="AW40" i="5"/>
  <c r="AQ40" i="5"/>
  <c r="AK40" i="5"/>
  <c r="AE40" i="5"/>
  <c r="Y40" i="5"/>
  <c r="S40" i="5"/>
  <c r="CC39" i="5"/>
  <c r="BW39" i="5"/>
  <c r="BU39" i="5"/>
  <c r="BO39" i="5"/>
  <c r="BI39" i="5"/>
  <c r="BC39" i="5"/>
  <c r="AW39" i="5"/>
  <c r="AQ39" i="5"/>
  <c r="AK39" i="5"/>
  <c r="AE39" i="5"/>
  <c r="Y39" i="5"/>
  <c r="S39" i="5"/>
  <c r="E39" i="5" a="1"/>
  <c r="E39" i="5" s="1"/>
  <c r="CC38" i="5"/>
  <c r="BW38" i="5"/>
  <c r="BU38" i="5"/>
  <c r="BO38" i="5"/>
  <c r="BI38" i="5"/>
  <c r="BC38" i="5"/>
  <c r="AW38" i="5"/>
  <c r="AQ38" i="5"/>
  <c r="AK38" i="5"/>
  <c r="AE38" i="5"/>
  <c r="Y38" i="5"/>
  <c r="S38" i="5"/>
  <c r="CC37" i="5"/>
  <c r="BW37" i="5"/>
  <c r="BU37" i="5"/>
  <c r="BO37" i="5"/>
  <c r="BI37" i="5"/>
  <c r="BC37" i="5"/>
  <c r="AW37" i="5"/>
  <c r="AQ37" i="5"/>
  <c r="AK37" i="5"/>
  <c r="AE37" i="5"/>
  <c r="Y37" i="5"/>
  <c r="S37" i="5"/>
  <c r="CC36" i="5"/>
  <c r="BW36" i="5"/>
  <c r="BU36" i="5"/>
  <c r="BO36" i="5"/>
  <c r="BI36" i="5"/>
  <c r="BC36" i="5"/>
  <c r="AW36" i="5"/>
  <c r="AQ36" i="5"/>
  <c r="AK36" i="5"/>
  <c r="AE36" i="5"/>
  <c r="Y36" i="5"/>
  <c r="S36" i="5"/>
  <c r="CC35" i="5"/>
  <c r="BW35" i="5"/>
  <c r="BU35" i="5"/>
  <c r="BO35" i="5"/>
  <c r="BI35" i="5"/>
  <c r="BC35" i="5"/>
  <c r="AW35" i="5"/>
  <c r="AQ35" i="5"/>
  <c r="AK35" i="5"/>
  <c r="AE35" i="5"/>
  <c r="Y35" i="5"/>
  <c r="S35" i="5"/>
  <c r="CC34" i="5"/>
  <c r="BW34" i="5"/>
  <c r="BU34" i="5"/>
  <c r="BO34" i="5"/>
  <c r="BI34" i="5"/>
  <c r="BC34" i="5"/>
  <c r="AW34" i="5"/>
  <c r="AQ34" i="5"/>
  <c r="AK34" i="5"/>
  <c r="AE34" i="5"/>
  <c r="Y34" i="5"/>
  <c r="S34" i="5"/>
  <c r="CC33" i="5"/>
  <c r="BW33" i="5"/>
  <c r="BU33" i="5"/>
  <c r="BO33" i="5"/>
  <c r="BI33" i="5"/>
  <c r="BC33" i="5"/>
  <c r="AW33" i="5"/>
  <c r="AQ33" i="5"/>
  <c r="AK33" i="5"/>
  <c r="AE33" i="5"/>
  <c r="Y33" i="5"/>
  <c r="S33" i="5"/>
  <c r="CC32" i="5"/>
  <c r="BW32" i="5"/>
  <c r="BU32" i="5"/>
  <c r="BO32" i="5"/>
  <c r="BI32" i="5"/>
  <c r="BC32" i="5"/>
  <c r="AW32" i="5"/>
  <c r="AQ32" i="5"/>
  <c r="AK32" i="5"/>
  <c r="AE32" i="5"/>
  <c r="Y32" i="5"/>
  <c r="S32" i="5"/>
  <c r="CC31" i="5"/>
  <c r="BW31" i="5"/>
  <c r="BU31" i="5"/>
  <c r="BO31" i="5"/>
  <c r="BI31" i="5"/>
  <c r="BC31" i="5"/>
  <c r="AW31" i="5"/>
  <c r="AQ31" i="5"/>
  <c r="AK31" i="5"/>
  <c r="AE31" i="5"/>
  <c r="Y31" i="5"/>
  <c r="S31" i="5"/>
  <c r="CC30" i="5"/>
  <c r="BW30" i="5"/>
  <c r="BU30" i="5"/>
  <c r="BO30" i="5"/>
  <c r="BI30" i="5"/>
  <c r="BC30" i="5"/>
  <c r="AW30" i="5"/>
  <c r="AQ30" i="5"/>
  <c r="AK30" i="5"/>
  <c r="AE30" i="5"/>
  <c r="Y30" i="5"/>
  <c r="S30" i="5"/>
  <c r="CC29" i="5"/>
  <c r="BW29" i="5"/>
  <c r="BU29" i="5"/>
  <c r="BO29" i="5"/>
  <c r="BI29" i="5"/>
  <c r="BC29" i="5"/>
  <c r="AW29" i="5"/>
  <c r="AQ29" i="5"/>
  <c r="AK29" i="5"/>
  <c r="AE29" i="5"/>
  <c r="Y29" i="5"/>
  <c r="S29" i="5"/>
  <c r="CC28" i="5"/>
  <c r="BW28" i="5"/>
  <c r="BU28" i="5"/>
  <c r="BO28" i="5"/>
  <c r="BI28" i="5"/>
  <c r="BC28" i="5"/>
  <c r="AW28" i="5"/>
  <c r="AQ28" i="5"/>
  <c r="AK28" i="5"/>
  <c r="AE28" i="5"/>
  <c r="Y28" i="5"/>
  <c r="S28" i="5"/>
  <c r="CC27" i="5"/>
  <c r="BW27" i="5"/>
  <c r="BU27" i="5"/>
  <c r="BO27" i="5"/>
  <c r="BI27" i="5"/>
  <c r="BC27" i="5"/>
  <c r="AW27" i="5"/>
  <c r="AQ27" i="5"/>
  <c r="AK27" i="5"/>
  <c r="AE27" i="5"/>
  <c r="Y27" i="5"/>
  <c r="S27" i="5"/>
  <c r="CC26" i="5"/>
  <c r="BW26" i="5"/>
  <c r="BU26" i="5"/>
  <c r="BO26" i="5"/>
  <c r="BI26" i="5"/>
  <c r="BC26" i="5"/>
  <c r="AW26" i="5"/>
  <c r="AQ26" i="5"/>
  <c r="AK26" i="5"/>
  <c r="AE26" i="5"/>
  <c r="Y26" i="5"/>
  <c r="S26" i="5"/>
  <c r="CC25" i="5"/>
  <c r="BW25" i="5"/>
  <c r="BU25" i="5"/>
  <c r="BO25" i="5"/>
  <c r="BI25" i="5"/>
  <c r="BC25" i="5"/>
  <c r="AW25" i="5"/>
  <c r="AQ25" i="5"/>
  <c r="AK25" i="5"/>
  <c r="AE25" i="5"/>
  <c r="Y25" i="5"/>
  <c r="U25" i="5"/>
  <c r="S25" i="5"/>
  <c r="O25" i="5"/>
  <c r="I25" i="5"/>
  <c r="E25" i="5" a="1"/>
  <c r="E25" i="5" s="1"/>
  <c r="CC24" i="5"/>
  <c r="BW24" i="5"/>
  <c r="BU24" i="5"/>
  <c r="BO24" i="5"/>
  <c r="BI24" i="5"/>
  <c r="BC24" i="5"/>
  <c r="AW24" i="5"/>
  <c r="AQ24" i="5"/>
  <c r="AK24" i="5"/>
  <c r="AE24" i="5"/>
  <c r="Y24" i="5"/>
  <c r="S24" i="5"/>
  <c r="E24" i="5" a="1"/>
  <c r="E24" i="5" s="1"/>
  <c r="CC23" i="5"/>
  <c r="BW23" i="5"/>
  <c r="BU23" i="5"/>
  <c r="BO23" i="5"/>
  <c r="BI23" i="5"/>
  <c r="BC23" i="5"/>
  <c r="AW23" i="5"/>
  <c r="AQ23" i="5"/>
  <c r="AK23" i="5"/>
  <c r="AE23" i="5"/>
  <c r="Y23" i="5"/>
  <c r="S23" i="5"/>
  <c r="CC22" i="5"/>
  <c r="BW22" i="5"/>
  <c r="BU22" i="5"/>
  <c r="BO22" i="5"/>
  <c r="BI22" i="5"/>
  <c r="BC22" i="5"/>
  <c r="AW22" i="5"/>
  <c r="AQ22" i="5"/>
  <c r="AK22" i="5"/>
  <c r="AE22" i="5"/>
  <c r="Y22" i="5"/>
  <c r="S22" i="5"/>
  <c r="CC21" i="5"/>
  <c r="BW21" i="5"/>
  <c r="BU21" i="5"/>
  <c r="BO21" i="5"/>
  <c r="BI21" i="5"/>
  <c r="BC21" i="5"/>
  <c r="AW21" i="5"/>
  <c r="AQ21" i="5"/>
  <c r="AK21" i="5"/>
  <c r="AE21" i="5"/>
  <c r="Y21" i="5"/>
  <c r="S21" i="5"/>
  <c r="C21" i="5"/>
  <c r="CC20" i="5"/>
  <c r="BW20" i="5"/>
  <c r="BU20" i="5"/>
  <c r="BO20" i="5"/>
  <c r="BI20" i="5"/>
  <c r="BC20" i="5"/>
  <c r="AW20" i="5"/>
  <c r="AQ20" i="5"/>
  <c r="AK20" i="5"/>
  <c r="AE20" i="5"/>
  <c r="Y20" i="5"/>
  <c r="S20" i="5"/>
  <c r="C20" i="5"/>
  <c r="CC19" i="5"/>
  <c r="BW19" i="5"/>
  <c r="BU19" i="5"/>
  <c r="BO19" i="5"/>
  <c r="BI19" i="5"/>
  <c r="BC19" i="5"/>
  <c r="AW19" i="5"/>
  <c r="AQ19" i="5"/>
  <c r="AK19" i="5"/>
  <c r="AE19" i="5"/>
  <c r="Y19" i="5"/>
  <c r="S19" i="5"/>
  <c r="K19" i="5" a="1"/>
  <c r="K19" i="5" s="1"/>
  <c r="E19" i="5" a="1"/>
  <c r="E19" i="5" s="1"/>
  <c r="CE18" i="5"/>
  <c r="CG18" i="5" s="1"/>
  <c r="CC18" i="5"/>
  <c r="BY18" i="5"/>
  <c r="CA18" i="5" s="1"/>
  <c r="BW18" i="5"/>
  <c r="BU18" i="5"/>
  <c r="BO18" i="5"/>
  <c r="BI18" i="5"/>
  <c r="BC18" i="5"/>
  <c r="AW18" i="5"/>
  <c r="AQ18" i="5"/>
  <c r="AK18" i="5"/>
  <c r="AE18" i="5"/>
  <c r="Y18" i="5"/>
  <c r="S18" i="5"/>
  <c r="M18" i="5"/>
  <c r="G18" i="5"/>
  <c r="CE17" i="5"/>
  <c r="CG17" i="5" s="1"/>
  <c r="CC17" i="5"/>
  <c r="BY17" i="5"/>
  <c r="CA17" i="5" s="1"/>
  <c r="BW17" i="5"/>
  <c r="BU17" i="5"/>
  <c r="BO17" i="5"/>
  <c r="BI17" i="5"/>
  <c r="BC17" i="5"/>
  <c r="AW17" i="5"/>
  <c r="AQ17" i="5"/>
  <c r="AK17" i="5"/>
  <c r="AE17" i="5"/>
  <c r="Y17" i="5"/>
  <c r="S17" i="5"/>
  <c r="M17" i="5"/>
  <c r="G17" i="5"/>
  <c r="CE16" i="5"/>
  <c r="CG16" i="5" s="1"/>
  <c r="CC16" i="5"/>
  <c r="BY16" i="5"/>
  <c r="CA16" i="5" s="1"/>
  <c r="BW16" i="5"/>
  <c r="BU16" i="5"/>
  <c r="BO16" i="5"/>
  <c r="BI16" i="5"/>
  <c r="BC16" i="5"/>
  <c r="AW16" i="5"/>
  <c r="AQ16" i="5"/>
  <c r="AK16" i="5"/>
  <c r="AE16" i="5"/>
  <c r="Y16" i="5"/>
  <c r="S16" i="5"/>
  <c r="M16" i="5"/>
  <c r="G16" i="5"/>
  <c r="CE15" i="5"/>
  <c r="CG15" i="5" s="1"/>
  <c r="CC15" i="5"/>
  <c r="BY15" i="5"/>
  <c r="CA15" i="5" s="1"/>
  <c r="BW15" i="5"/>
  <c r="BU15" i="5"/>
  <c r="BO15" i="5"/>
  <c r="BI15" i="5"/>
  <c r="BC15" i="5"/>
  <c r="AW15" i="5"/>
  <c r="AQ15" i="5"/>
  <c r="AK15" i="5"/>
  <c r="AE15" i="5"/>
  <c r="Y15" i="5"/>
  <c r="S15" i="5"/>
  <c r="M15" i="5"/>
  <c r="G15" i="5"/>
  <c r="CE14" i="5"/>
  <c r="CG14" i="5" s="1"/>
  <c r="CC14" i="5"/>
  <c r="BY14" i="5"/>
  <c r="BW14" i="5"/>
  <c r="BU14" i="5"/>
  <c r="BO14" i="5"/>
  <c r="BI14" i="5"/>
  <c r="BC14" i="5"/>
  <c r="AW14" i="5"/>
  <c r="AQ14" i="5"/>
  <c r="AK14" i="5"/>
  <c r="AE14" i="5"/>
  <c r="Y14" i="5"/>
  <c r="S14" i="5"/>
  <c r="M14" i="5"/>
  <c r="G14" i="5"/>
  <c r="CG11" i="5"/>
  <c r="CE11" i="5"/>
  <c r="CC11" i="5"/>
  <c r="CA11" i="5"/>
  <c r="BY11" i="5"/>
  <c r="BW11" i="5"/>
  <c r="BU11" i="5"/>
  <c r="BS11" i="5"/>
  <c r="BQ11" i="5"/>
  <c r="BO11" i="5"/>
  <c r="BM11" i="5"/>
  <c r="BK11" i="5"/>
  <c r="BI11" i="5"/>
  <c r="BG11" i="5"/>
  <c r="BE11" i="5"/>
  <c r="BC11" i="5"/>
  <c r="BA11" i="5"/>
  <c r="AY11" i="5"/>
  <c r="AW11" i="5"/>
  <c r="AU11" i="5"/>
  <c r="AS11" i="5"/>
  <c r="AQ11" i="5"/>
  <c r="AO11" i="5"/>
  <c r="AM11" i="5"/>
  <c r="AK11" i="5"/>
  <c r="AI11" i="5"/>
  <c r="AG11" i="5"/>
  <c r="AE11" i="5"/>
  <c r="AC11" i="5"/>
  <c r="AA11" i="5"/>
  <c r="Y11" i="5"/>
  <c r="W11" i="5"/>
  <c r="U11" i="5"/>
  <c r="S11" i="5"/>
  <c r="Q11" i="5"/>
  <c r="O11" i="5"/>
  <c r="M11" i="5"/>
  <c r="K11" i="5"/>
  <c r="I11" i="5"/>
  <c r="G11" i="5"/>
  <c r="E11" i="5"/>
  <c r="C11" i="5"/>
  <c r="CG10" i="5"/>
  <c r="CE10" i="5"/>
  <c r="CC10" i="5"/>
  <c r="CA10" i="5"/>
  <c r="BY10" i="5"/>
  <c r="BW10" i="5"/>
  <c r="BU10" i="5"/>
  <c r="BO10" i="5"/>
  <c r="BI10" i="5"/>
  <c r="BC10" i="5"/>
  <c r="AW10" i="5"/>
  <c r="AQ10" i="5"/>
  <c r="AK10" i="5"/>
  <c r="AE10" i="5"/>
  <c r="Y10" i="5"/>
  <c r="S10" i="5"/>
  <c r="M10" i="5"/>
  <c r="G10" i="5"/>
  <c r="E10" i="5"/>
  <c r="CG9" i="5"/>
  <c r="CE9" i="5"/>
  <c r="CC9" i="5"/>
  <c r="CA9" i="5"/>
  <c r="BY9" i="5"/>
  <c r="BW9" i="5"/>
  <c r="BU9" i="5"/>
  <c r="BO9" i="5"/>
  <c r="BI9" i="5"/>
  <c r="BC9" i="5"/>
  <c r="AW9" i="5"/>
  <c r="AQ9" i="5"/>
  <c r="AK9" i="5"/>
  <c r="AE9" i="5"/>
  <c r="Y9" i="5"/>
  <c r="S9" i="5"/>
  <c r="M9" i="5"/>
  <c r="G9" i="5"/>
  <c r="CG8" i="5"/>
  <c r="CE8" i="5"/>
  <c r="CC8" i="5"/>
  <c r="CA8" i="5"/>
  <c r="BY8" i="5"/>
  <c r="BW8" i="5"/>
  <c r="BU8" i="5"/>
  <c r="BS8" i="5"/>
  <c r="BQ8" i="5"/>
  <c r="BO8" i="5"/>
  <c r="BM8" i="5"/>
  <c r="BK8" i="5"/>
  <c r="BI8" i="5"/>
  <c r="BG8" i="5"/>
  <c r="BE8" i="5"/>
  <c r="BC8" i="5"/>
  <c r="BA8" i="5"/>
  <c r="AY8" i="5"/>
  <c r="AW8" i="5"/>
  <c r="AU8" i="5"/>
  <c r="AS8" i="5"/>
  <c r="AQ8" i="5"/>
  <c r="AO8" i="5"/>
  <c r="AM8" i="5"/>
  <c r="AK8" i="5"/>
  <c r="AI8" i="5"/>
  <c r="AG8" i="5"/>
  <c r="AE8" i="5"/>
  <c r="AC8" i="5"/>
  <c r="AA8" i="5"/>
  <c r="Y8" i="5"/>
  <c r="W8" i="5"/>
  <c r="U8" i="5"/>
  <c r="S8" i="5"/>
  <c r="Q8" i="5"/>
  <c r="O8" i="5"/>
  <c r="M8" i="5"/>
  <c r="K8" i="5"/>
  <c r="I8" i="5"/>
  <c r="G8" i="5"/>
  <c r="E8" i="5"/>
  <c r="C8" i="5"/>
  <c r="BW3" i="5"/>
  <c r="J98" i="6"/>
  <c r="C97" i="6"/>
  <c r="C96" i="6"/>
  <c r="C95" i="6"/>
  <c r="C94" i="6"/>
  <c r="C93" i="6"/>
  <c r="C92" i="6"/>
  <c r="C91" i="6"/>
  <c r="C90" i="6"/>
  <c r="C89" i="6"/>
  <c r="C88" i="6"/>
  <c r="C87" i="6"/>
  <c r="D86" i="6"/>
  <c r="C86" i="6"/>
  <c r="C85" i="6"/>
  <c r="D84" i="6"/>
  <c r="C84" i="6"/>
  <c r="C83" i="6"/>
  <c r="D82" i="6"/>
  <c r="C82" i="6"/>
  <c r="C81" i="6"/>
  <c r="D80" i="6"/>
  <c r="C80" i="6"/>
  <c r="C79" i="6"/>
  <c r="C78" i="6"/>
  <c r="C77" i="6"/>
  <c r="C76" i="6"/>
  <c r="D75" i="6"/>
  <c r="C75" i="6"/>
  <c r="C74" i="6"/>
  <c r="D73" i="6"/>
  <c r="C73" i="6"/>
  <c r="C72" i="6"/>
  <c r="C71" i="6"/>
  <c r="C70" i="6"/>
  <c r="C69" i="6"/>
  <c r="C68" i="6"/>
  <c r="C67" i="6"/>
  <c r="C66" i="6"/>
  <c r="D65" i="6"/>
  <c r="C65" i="6"/>
  <c r="C64" i="6"/>
  <c r="C63" i="6"/>
  <c r="C62" i="6"/>
  <c r="C61" i="6"/>
  <c r="C60" i="6"/>
  <c r="C59" i="6"/>
  <c r="W58" i="6"/>
  <c r="U58" i="6"/>
  <c r="N58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D35" i="6"/>
  <c r="C35" i="6"/>
  <c r="D34" i="6"/>
  <c r="C34" i="6"/>
  <c r="C33" i="6"/>
  <c r="C32" i="6"/>
  <c r="C31" i="6"/>
  <c r="C30" i="6"/>
  <c r="C29" i="6"/>
  <c r="C28" i="6"/>
  <c r="C27" i="6"/>
  <c r="C26" i="6"/>
  <c r="C25" i="6"/>
  <c r="D24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D4" i="6"/>
  <c r="K29" i="5" l="1" a="1"/>
  <c r="K29" i="5" s="1"/>
  <c r="M29" i="5" s="1"/>
  <c r="E33" i="5" a="1"/>
  <c r="E33" i="5" s="1"/>
  <c r="G33" i="5" s="1"/>
  <c r="E23" i="5" a="1"/>
  <c r="E23" i="5" s="1"/>
  <c r="E34" i="5" a="1"/>
  <c r="E34" i="5" s="1"/>
  <c r="G34" i="5" s="1"/>
  <c r="E28" i="5" a="1"/>
  <c r="E28" i="5" s="1"/>
  <c r="E32" i="5" a="1"/>
  <c r="E32" i="5" s="1"/>
  <c r="G32" i="5" s="1"/>
  <c r="K33" i="5" a="1"/>
  <c r="K33" i="5" s="1"/>
  <c r="K35" i="5" a="1"/>
  <c r="K35" i="5" s="1"/>
  <c r="M35" i="5" s="1"/>
  <c r="K39" i="5" a="1"/>
  <c r="K39" i="5" s="1"/>
  <c r="M39" i="5" s="1"/>
  <c r="E27" i="5" a="1"/>
  <c r="E27" i="5" s="1"/>
  <c r="K28" i="5" a="1"/>
  <c r="K28" i="5" s="1"/>
  <c r="M28" i="5" s="1"/>
  <c r="K32" i="5" a="1"/>
  <c r="K32" i="5" s="1"/>
  <c r="K34" i="5" a="1"/>
  <c r="K34" i="5" s="1"/>
  <c r="M34" i="5" s="1"/>
  <c r="E38" i="5" a="1"/>
  <c r="E38" i="5" s="1"/>
  <c r="G38" i="5" s="1"/>
  <c r="K24" i="5" a="1"/>
  <c r="K24" i="5" s="1"/>
  <c r="M24" i="5" s="1"/>
  <c r="K25" i="5" a="1"/>
  <c r="K25" i="5" s="1"/>
  <c r="M25" i="5" s="1"/>
  <c r="E26" i="5" a="1"/>
  <c r="E26" i="5" s="1"/>
  <c r="G26" i="5" s="1"/>
  <c r="E31" i="5" a="1"/>
  <c r="E31" i="5" s="1"/>
  <c r="G31" i="5" s="1"/>
  <c r="K38" i="5" a="1"/>
  <c r="K38" i="5" s="1"/>
  <c r="M38" i="5" s="1"/>
  <c r="E22" i="5" a="1"/>
  <c r="E22" i="5" s="1"/>
  <c r="K23" i="5" a="1"/>
  <c r="K23" i="5" s="1"/>
  <c r="M23" i="5" s="1"/>
  <c r="K27" i="5" a="1"/>
  <c r="K27" i="5" s="1"/>
  <c r="M27" i="5" s="1"/>
  <c r="K31" i="5" a="1"/>
  <c r="K31" i="5" s="1"/>
  <c r="M31" i="5" s="1"/>
  <c r="E37" i="5" a="1"/>
  <c r="E37" i="5" s="1"/>
  <c r="G37" i="5" s="1"/>
  <c r="E20" i="5" a="1"/>
  <c r="E20" i="5" s="1"/>
  <c r="E21" i="5" a="1"/>
  <c r="E21" i="5" s="1"/>
  <c r="G21" i="5" s="1"/>
  <c r="K26" i="5" a="1"/>
  <c r="K26" i="5" s="1"/>
  <c r="M26" i="5" s="1"/>
  <c r="E30" i="5" a="1"/>
  <c r="E30" i="5" s="1"/>
  <c r="K37" i="5" a="1"/>
  <c r="K37" i="5" s="1"/>
  <c r="M37" i="5" s="1"/>
  <c r="K21" i="5" a="1"/>
  <c r="K21" i="5" s="1"/>
  <c r="M21" i="5" s="1"/>
  <c r="K22" i="5" a="1"/>
  <c r="K22" i="5" s="1"/>
  <c r="M22" i="5" s="1"/>
  <c r="K30" i="5" a="1"/>
  <c r="K30" i="5" s="1"/>
  <c r="M30" i="5" s="1"/>
  <c r="E36" i="5" a="1"/>
  <c r="E36" i="5" s="1"/>
  <c r="E40" i="5" a="1"/>
  <c r="E40" i="5" s="1"/>
  <c r="G40" i="5" s="1"/>
  <c r="K20" i="5" a="1"/>
  <c r="K20" i="5" s="1"/>
  <c r="M20" i="5" s="1"/>
  <c r="E29" i="5" a="1"/>
  <c r="E29" i="5" s="1"/>
  <c r="G29" i="5" s="1"/>
  <c r="E35" i="5" a="1"/>
  <c r="E35" i="5" s="1"/>
  <c r="K36" i="5" a="1"/>
  <c r="K36" i="5" s="1"/>
  <c r="M36" i="5" s="1"/>
  <c r="G25" i="5"/>
  <c r="CE28" i="5"/>
  <c r="CG28" i="5" s="1"/>
  <c r="CE19" i="5"/>
  <c r="CG19" i="5" s="1"/>
  <c r="G19" i="5"/>
  <c r="BY19" i="5"/>
  <c r="CA19" i="5" s="1"/>
  <c r="G23" i="5"/>
  <c r="G24" i="5"/>
  <c r="BY39" i="5"/>
  <c r="CA39" i="5" s="1"/>
  <c r="G39" i="5"/>
  <c r="G28" i="5"/>
  <c r="CA14" i="5"/>
  <c r="M19" i="5"/>
  <c r="CE34" i="5" l="1"/>
  <c r="CG34" i="5" s="1"/>
  <c r="BY28" i="5"/>
  <c r="CA28" i="5" s="1"/>
  <c r="BY32" i="5"/>
  <c r="CA32" i="5" s="1"/>
  <c r="CE39" i="5"/>
  <c r="CG39" i="5" s="1"/>
  <c r="BY33" i="5"/>
  <c r="CA33" i="5" s="1"/>
  <c r="CE32" i="5"/>
  <c r="CG32" i="5" s="1"/>
  <c r="CE24" i="5"/>
  <c r="CG24" i="5" s="1"/>
  <c r="CE37" i="5"/>
  <c r="CG37" i="5" s="1"/>
  <c r="BY27" i="5"/>
  <c r="CA27" i="5" s="1"/>
  <c r="BY24" i="5"/>
  <c r="CA24" i="5" s="1"/>
  <c r="BY34" i="5"/>
  <c r="CA34" i="5" s="1"/>
  <c r="BY37" i="5"/>
  <c r="CA37" i="5" s="1"/>
  <c r="CE38" i="5"/>
  <c r="CG38" i="5" s="1"/>
  <c r="BY35" i="5"/>
  <c r="CA35" i="5" s="1"/>
  <c r="CE30" i="5"/>
  <c r="CG30" i="5" s="1"/>
  <c r="BY31" i="5"/>
  <c r="CA31" i="5" s="1"/>
  <c r="BY22" i="5"/>
  <c r="CA22" i="5" s="1"/>
  <c r="BY21" i="5"/>
  <c r="CA21" i="5" s="1"/>
  <c r="CE36" i="5"/>
  <c r="CG36" i="5" s="1"/>
  <c r="CE25" i="5"/>
  <c r="CG25" i="5" s="1"/>
  <c r="BY25" i="5"/>
  <c r="CA25" i="5" s="1"/>
  <c r="CE31" i="5"/>
  <c r="CG31" i="5" s="1"/>
  <c r="CE20" i="5"/>
  <c r="CG20" i="5" s="1"/>
  <c r="G20" i="5"/>
  <c r="CE22" i="5"/>
  <c r="CG22" i="5" s="1"/>
  <c r="G22" i="5"/>
  <c r="BY23" i="5"/>
  <c r="CA23" i="5" s="1"/>
  <c r="CE23" i="5"/>
  <c r="CG23" i="5" s="1"/>
  <c r="G30" i="5"/>
  <c r="G36" i="5"/>
  <c r="BY36" i="5"/>
  <c r="CA36" i="5" s="1"/>
  <c r="K41" i="5"/>
  <c r="K43" i="5" s="1"/>
  <c r="M32" i="5"/>
  <c r="CE27" i="5"/>
  <c r="CG27" i="5" s="1"/>
  <c r="G27" i="5"/>
  <c r="BY20" i="5"/>
  <c r="CA20" i="5" s="1"/>
  <c r="BY29" i="5"/>
  <c r="CA29" i="5" s="1"/>
  <c r="BY38" i="5"/>
  <c r="CA38" i="5" s="1"/>
  <c r="CE29" i="5"/>
  <c r="CG29" i="5" s="1"/>
  <c r="E41" i="5"/>
  <c r="E43" i="5" s="1"/>
  <c r="E47" i="5" s="1"/>
  <c r="G47" i="5" s="1"/>
  <c r="CE40" i="5"/>
  <c r="CG40" i="5" s="1"/>
  <c r="CE21" i="5"/>
  <c r="CG21" i="5" s="1"/>
  <c r="BY40" i="5"/>
  <c r="CA40" i="5" s="1"/>
  <c r="BY30" i="5"/>
  <c r="CA30" i="5" s="1"/>
  <c r="CE26" i="5"/>
  <c r="CG26" i="5" s="1"/>
  <c r="BY26" i="5"/>
  <c r="CA26" i="5" s="1"/>
  <c r="CE35" i="5"/>
  <c r="CG35" i="5" s="1"/>
  <c r="G35" i="5"/>
  <c r="CE33" i="5"/>
  <c r="CG33" i="5" s="1"/>
  <c r="M33" i="5"/>
  <c r="G41" i="5" l="1"/>
  <c r="G43" i="5" s="1"/>
  <c r="CA41" i="5"/>
  <c r="CA43" i="5" s="1"/>
  <c r="M41" i="5"/>
  <c r="M43" i="5" s="1"/>
  <c r="CE41" i="5"/>
  <c r="CE43" i="5" s="1"/>
  <c r="BY41" i="5"/>
  <c r="BY43" i="5" s="1"/>
  <c r="CG41" i="5"/>
  <c r="CG43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Baumgarten, Allen</author>
  </authors>
  <commentList>
    <comment ref="C14" authorId="0" shapeId="0" xr:uid="{04AE4822-8B54-4E1B-863F-6EA89CA35096}">
      <text>
        <r>
          <rPr>
            <b/>
            <sz val="11"/>
            <color indexed="81"/>
            <rFont val="Tahoma"/>
            <family val="2"/>
          </rPr>
          <t>2nd</t>
        </r>
      </text>
    </comment>
    <comment ref="C15" authorId="0" shapeId="0" xr:uid="{7C9C9EC0-A4CD-471C-BCE9-23E6BE3C094E}">
      <text>
        <r>
          <rPr>
            <b/>
            <sz val="11"/>
            <color indexed="81"/>
            <rFont val="Tahoma"/>
            <family val="2"/>
          </rPr>
          <t>29th</t>
        </r>
      </text>
    </comment>
    <comment ref="C16" authorId="0" shapeId="0" xr:uid="{5CFDE2CC-7266-4518-A4F5-DFE196185834}">
      <text>
        <r>
          <rPr>
            <b/>
            <sz val="11"/>
            <color indexed="81"/>
            <rFont val="Tahoma"/>
            <family val="2"/>
          </rPr>
          <t>1st-5th</t>
        </r>
      </text>
    </comment>
    <comment ref="C18" authorId="0" shapeId="0" xr:uid="{545E8C3C-0C3C-4D1A-9D23-2E8E50F45C78}">
      <text>
        <r>
          <rPr>
            <b/>
            <sz val="11"/>
            <color indexed="81"/>
            <rFont val="Tahoma"/>
            <family val="2"/>
          </rPr>
          <t>10th</t>
        </r>
      </text>
    </comment>
    <comment ref="C25" authorId="0" shapeId="0" xr:uid="{BC789B58-1CB9-48C8-A7BF-CA97F2783D83}">
      <text>
        <r>
          <rPr>
            <b/>
            <sz val="11"/>
            <color indexed="81"/>
            <rFont val="Tahoma"/>
            <family val="2"/>
          </rPr>
          <t>Synchronicity pmt due by 18th!</t>
        </r>
      </text>
    </comment>
    <comment ref="I25" authorId="0" shapeId="0" xr:uid="{176EC9BA-F2F2-46D7-A78F-93B0A3AAFD8E}">
      <text>
        <r>
          <rPr>
            <b/>
            <sz val="11"/>
            <color indexed="81"/>
            <rFont val="Tahoma"/>
            <family val="2"/>
          </rPr>
          <t>Synchronicity pmt due by 18th!</t>
        </r>
      </text>
    </comment>
    <comment ref="O25" authorId="0" shapeId="0" xr:uid="{C1455B07-9C8D-40FC-A042-92760377D1DE}">
      <text>
        <r>
          <rPr>
            <b/>
            <sz val="11"/>
            <color indexed="81"/>
            <rFont val="Tahoma"/>
            <family val="2"/>
          </rPr>
          <t>Synchronicity pmt due by 18th!</t>
        </r>
      </text>
    </comment>
    <comment ref="U25" authorId="0" shapeId="0" xr:uid="{7336C7AA-27BF-427E-9856-5BEF5D387126}">
      <text>
        <r>
          <rPr>
            <b/>
            <sz val="11"/>
            <color indexed="81"/>
            <rFont val="Tahoma"/>
            <family val="2"/>
          </rPr>
          <t>Synchronicity pmt due by 18th!</t>
        </r>
      </text>
    </comment>
    <comment ref="C31" authorId="0" shapeId="0" xr:uid="{B12A43BC-3DA3-4315-990A-96FAF98DE7BE}">
      <text>
        <r>
          <rPr>
            <b/>
            <sz val="11"/>
            <color indexed="81"/>
            <rFont val="Tahoma"/>
            <family val="2"/>
          </rPr>
          <t>28th</t>
        </r>
      </text>
    </comment>
    <comment ref="I31" authorId="0" shapeId="0" xr:uid="{5175FA25-E747-4674-A29D-2D631AF4D28C}">
      <text>
        <r>
          <rPr>
            <b/>
            <sz val="11"/>
            <color indexed="81"/>
            <rFont val="Tahoma"/>
            <family val="2"/>
          </rPr>
          <t>28th</t>
        </r>
      </text>
    </comment>
    <comment ref="O31" authorId="0" shapeId="0" xr:uid="{B4094EAE-43CD-4BB4-8D09-521DFE060BDA}">
      <text>
        <r>
          <rPr>
            <b/>
            <sz val="11"/>
            <color indexed="81"/>
            <rFont val="Tahoma"/>
            <family val="2"/>
          </rPr>
          <t>28th</t>
        </r>
      </text>
    </comment>
    <comment ref="U31" authorId="0" shapeId="0" xr:uid="{A513D7D8-119F-4CB5-891A-831FBC595B2A}">
      <text>
        <r>
          <rPr>
            <b/>
            <sz val="11"/>
            <color indexed="81"/>
            <rFont val="Tahoma"/>
            <family val="2"/>
          </rPr>
          <t>28th</t>
        </r>
      </text>
    </comment>
    <comment ref="AA31" authorId="0" shapeId="0" xr:uid="{521910EE-0097-4FEC-8BD3-020C02D7EC70}">
      <text>
        <r>
          <rPr>
            <b/>
            <sz val="11"/>
            <color indexed="81"/>
            <rFont val="Tahoma"/>
            <family val="2"/>
          </rPr>
          <t>28th</t>
        </r>
      </text>
    </comment>
    <comment ref="AG31" authorId="0" shapeId="0" xr:uid="{D9B1B77D-D46A-4B1D-91D7-AFD42FE1B9FE}">
      <text>
        <r>
          <rPr>
            <b/>
            <sz val="11"/>
            <color indexed="81"/>
            <rFont val="Tahoma"/>
            <family val="2"/>
          </rPr>
          <t>28th</t>
        </r>
      </text>
    </comment>
    <comment ref="C32" authorId="0" shapeId="0" xr:uid="{525191C6-D86B-4045-8CC9-48E1F106F0DA}">
      <text>
        <r>
          <rPr>
            <b/>
            <sz val="11"/>
            <color indexed="81"/>
            <rFont val="Tahoma"/>
            <family val="2"/>
          </rPr>
          <t>7th-9th</t>
        </r>
      </text>
    </comment>
    <comment ref="I32" authorId="0" shapeId="0" xr:uid="{9A16CEB8-894B-4DA8-9FF5-DAAE164A5706}">
      <text>
        <r>
          <rPr>
            <b/>
            <sz val="11"/>
            <color indexed="81"/>
            <rFont val="Tahoma"/>
            <family val="2"/>
          </rPr>
          <t>7th-9th</t>
        </r>
      </text>
    </comment>
    <comment ref="O32" authorId="0" shapeId="0" xr:uid="{BA1190DE-A8F8-4502-8E85-751EA72E0BA4}">
      <text>
        <r>
          <rPr>
            <b/>
            <sz val="11"/>
            <color indexed="81"/>
            <rFont val="Tahoma"/>
            <family val="2"/>
          </rPr>
          <t>7th-9th</t>
        </r>
      </text>
    </comment>
    <comment ref="U32" authorId="0" shapeId="0" xr:uid="{06DF5881-E447-45AC-ACC6-561827460492}">
      <text>
        <r>
          <rPr>
            <b/>
            <sz val="11"/>
            <color indexed="81"/>
            <rFont val="Tahoma"/>
            <family val="2"/>
          </rPr>
          <t>7th-9th</t>
        </r>
      </text>
    </comment>
    <comment ref="AA32" authorId="0" shapeId="0" xr:uid="{28B7FDB1-0F1A-400A-AC4D-CD4EF0735100}">
      <text>
        <r>
          <rPr>
            <b/>
            <sz val="11"/>
            <color indexed="81"/>
            <rFont val="Tahoma"/>
            <family val="2"/>
          </rPr>
          <t>7th-9th</t>
        </r>
      </text>
    </comment>
    <comment ref="AG32" authorId="0" shapeId="0" xr:uid="{BC88D419-681F-4509-8B5B-B2E2F1EA4C66}">
      <text>
        <r>
          <rPr>
            <b/>
            <sz val="11"/>
            <color indexed="81"/>
            <rFont val="Tahoma"/>
            <family val="2"/>
          </rPr>
          <t>7th-9th</t>
        </r>
      </text>
    </comment>
    <comment ref="C33" authorId="0" shapeId="0" xr:uid="{CB714CD2-0702-4C5F-8D2E-1A62B25B9657}">
      <text>
        <r>
          <rPr>
            <b/>
            <sz val="11"/>
            <color indexed="81"/>
            <rFont val="Tahoma"/>
            <family val="2"/>
          </rPr>
          <t>21st</t>
        </r>
      </text>
    </comment>
    <comment ref="I33" authorId="0" shapeId="0" xr:uid="{0099C585-30DC-43A9-AEAF-304EF265140F}">
      <text>
        <r>
          <rPr>
            <b/>
            <sz val="11"/>
            <color indexed="81"/>
            <rFont val="Tahoma"/>
            <family val="2"/>
          </rPr>
          <t>21st</t>
        </r>
      </text>
    </comment>
    <comment ref="O33" authorId="0" shapeId="0" xr:uid="{239DE474-DED6-43B4-A000-69482E6AD39A}">
      <text>
        <r>
          <rPr>
            <b/>
            <sz val="11"/>
            <color indexed="81"/>
            <rFont val="Tahoma"/>
            <family val="2"/>
          </rPr>
          <t>21st</t>
        </r>
      </text>
    </comment>
    <comment ref="U33" authorId="0" shapeId="0" xr:uid="{9E4A14FD-D682-4924-8E97-FE7A9E1A8526}">
      <text>
        <r>
          <rPr>
            <b/>
            <sz val="11"/>
            <color indexed="81"/>
            <rFont val="Tahoma"/>
            <family val="2"/>
          </rPr>
          <t>21st</t>
        </r>
      </text>
    </comment>
    <comment ref="AA33" authorId="0" shapeId="0" xr:uid="{1EAD1868-4C6E-40E1-BCA8-3769E82D19BD}">
      <text>
        <r>
          <rPr>
            <b/>
            <sz val="11"/>
            <color indexed="81"/>
            <rFont val="Tahoma"/>
            <family val="2"/>
          </rPr>
          <t>21st</t>
        </r>
      </text>
    </comment>
    <comment ref="AG33" authorId="0" shapeId="0" xr:uid="{E5B01B3F-7723-4F3E-BAB8-E8A37D6DF55B}">
      <text>
        <r>
          <rPr>
            <b/>
            <sz val="11"/>
            <color indexed="81"/>
            <rFont val="Tahoma"/>
            <family val="2"/>
          </rPr>
          <t>21st</t>
        </r>
      </text>
    </comment>
    <comment ref="C34" authorId="0" shapeId="0" xr:uid="{2F603BD8-F753-41B9-9BDE-B9B3613CE615}">
      <text>
        <r>
          <rPr>
            <b/>
            <sz val="11"/>
            <color indexed="81"/>
            <rFont val="Tahoma"/>
            <family val="2"/>
          </rPr>
          <t>2nd</t>
        </r>
      </text>
    </comment>
    <comment ref="I34" authorId="0" shapeId="0" xr:uid="{6C23F989-1C6F-4CBB-8467-E2B0982E9DDF}">
      <text>
        <r>
          <rPr>
            <b/>
            <sz val="11"/>
            <color indexed="81"/>
            <rFont val="Tahoma"/>
            <family val="2"/>
          </rPr>
          <t>2nd</t>
        </r>
      </text>
    </comment>
    <comment ref="O34" authorId="0" shapeId="0" xr:uid="{38B4F0E9-22D9-4FC1-A46C-96201B25980C}">
      <text>
        <r>
          <rPr>
            <b/>
            <sz val="11"/>
            <color indexed="81"/>
            <rFont val="Tahoma"/>
            <family val="2"/>
          </rPr>
          <t>2nd</t>
        </r>
      </text>
    </comment>
    <comment ref="U34" authorId="0" shapeId="0" xr:uid="{0B0684C3-8AC9-4A47-8DA2-A047F032D720}">
      <text>
        <r>
          <rPr>
            <b/>
            <sz val="11"/>
            <color indexed="81"/>
            <rFont val="Tahoma"/>
            <family val="2"/>
          </rPr>
          <t>2nd</t>
        </r>
      </text>
    </comment>
    <comment ref="AA34" authorId="0" shapeId="0" xr:uid="{A12C2CBC-7EF9-479C-A8D2-0EBD73E80C76}">
      <text>
        <r>
          <rPr>
            <b/>
            <sz val="11"/>
            <color indexed="81"/>
            <rFont val="Tahoma"/>
            <family val="2"/>
          </rPr>
          <t>2nd</t>
        </r>
      </text>
    </comment>
    <comment ref="AG34" authorId="0" shapeId="0" xr:uid="{17D49E41-DD15-400B-A235-14CD7C81C264}">
      <text>
        <r>
          <rPr>
            <b/>
            <sz val="11"/>
            <color indexed="81"/>
            <rFont val="Tahoma"/>
            <family val="2"/>
          </rPr>
          <t>2nd</t>
        </r>
      </text>
    </comment>
    <comment ref="C35" authorId="0" shapeId="0" xr:uid="{7BAB634C-D0D4-4B1A-B8A2-52BB2B1999BF}">
      <text>
        <r>
          <rPr>
            <b/>
            <sz val="11"/>
            <color indexed="81"/>
            <rFont val="Tahoma"/>
            <family val="2"/>
          </rPr>
          <t>3rd/4th</t>
        </r>
      </text>
    </comment>
    <comment ref="I35" authorId="0" shapeId="0" xr:uid="{CCE14938-0DE4-46C5-82D3-BB8019C04B6A}">
      <text>
        <r>
          <rPr>
            <b/>
            <sz val="11"/>
            <color indexed="81"/>
            <rFont val="Tahoma"/>
            <family val="2"/>
          </rPr>
          <t>3rd/4th</t>
        </r>
      </text>
    </comment>
    <comment ref="O35" authorId="0" shapeId="0" xr:uid="{A4526813-A2A2-46FE-8104-D951F6FBE382}">
      <text>
        <r>
          <rPr>
            <b/>
            <sz val="11"/>
            <color indexed="81"/>
            <rFont val="Tahoma"/>
            <family val="2"/>
          </rPr>
          <t>3rd/4th</t>
        </r>
      </text>
    </comment>
    <comment ref="U35" authorId="0" shapeId="0" xr:uid="{F83CC532-017B-4E71-9790-4EAB38122C59}">
      <text>
        <r>
          <rPr>
            <b/>
            <sz val="11"/>
            <color indexed="81"/>
            <rFont val="Tahoma"/>
            <family val="2"/>
          </rPr>
          <t>3rd/4th</t>
        </r>
      </text>
    </comment>
    <comment ref="AA35" authorId="0" shapeId="0" xr:uid="{0A7DE486-8CEB-4A28-9660-E3CC0D83C83A}">
      <text>
        <r>
          <rPr>
            <b/>
            <sz val="11"/>
            <color indexed="81"/>
            <rFont val="Tahoma"/>
            <family val="2"/>
          </rPr>
          <t>3rd/4th</t>
        </r>
      </text>
    </comment>
    <comment ref="AG35" authorId="0" shapeId="0" xr:uid="{08CB1AC6-F6C4-4BBE-9EF0-BE7FF97E3142}">
      <text>
        <r>
          <rPr>
            <b/>
            <sz val="11"/>
            <color indexed="81"/>
            <rFont val="Tahoma"/>
            <family val="2"/>
          </rPr>
          <t>3rd/4th</t>
        </r>
      </text>
    </comment>
    <comment ref="C36" authorId="0" shapeId="0" xr:uid="{AF4F8D57-B138-4DFF-A550-5E30DA2D9C56}">
      <text>
        <r>
          <rPr>
            <b/>
            <sz val="11"/>
            <color indexed="81"/>
            <rFont val="Tahoma"/>
            <family val="2"/>
          </rPr>
          <t>2nd-4th</t>
        </r>
      </text>
    </comment>
    <comment ref="I36" authorId="0" shapeId="0" xr:uid="{4818C1D8-FF7F-49ED-AA61-81159E135C3E}">
      <text>
        <r>
          <rPr>
            <b/>
            <sz val="11"/>
            <color indexed="81"/>
            <rFont val="Tahoma"/>
            <family val="2"/>
          </rPr>
          <t>2nd-4th</t>
        </r>
      </text>
    </comment>
    <comment ref="O36" authorId="0" shapeId="0" xr:uid="{0D39CA76-2C72-463E-9121-E15BA59F3DF1}">
      <text>
        <r>
          <rPr>
            <b/>
            <sz val="11"/>
            <color indexed="81"/>
            <rFont val="Tahoma"/>
            <family val="2"/>
          </rPr>
          <t>2nd-4th</t>
        </r>
      </text>
    </comment>
    <comment ref="U36" authorId="0" shapeId="0" xr:uid="{7A0C3394-F332-4C90-A198-F9875BDF01A1}">
      <text>
        <r>
          <rPr>
            <b/>
            <sz val="11"/>
            <color indexed="81"/>
            <rFont val="Tahoma"/>
            <family val="2"/>
          </rPr>
          <t>2nd-4th</t>
        </r>
      </text>
    </comment>
    <comment ref="AA36" authorId="0" shapeId="0" xr:uid="{919E169F-BB28-4825-BF00-44B3F2B62CB8}">
      <text>
        <r>
          <rPr>
            <b/>
            <sz val="11"/>
            <color indexed="81"/>
            <rFont val="Tahoma"/>
            <family val="2"/>
          </rPr>
          <t>2nd-4th</t>
        </r>
      </text>
    </comment>
    <comment ref="AG36" authorId="0" shapeId="0" xr:uid="{BE91DB0D-34F8-4CB0-B30A-FB0F725DB29C}">
      <text>
        <r>
          <rPr>
            <b/>
            <sz val="11"/>
            <color indexed="81"/>
            <rFont val="Tahoma"/>
            <family val="2"/>
          </rPr>
          <t>2nd-4th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tc={7E6E21DF-4D68-493A-A10B-5CF5BDFB5EBA}</author>
    <author>tc={1CD325E5-2436-48EF-928E-10741AB9DA85}</author>
  </authors>
  <commentList>
    <comment ref="D246" authorId="0" shapeId="0" xr:uid="{7E6E21DF-4D68-493A-A10B-5CF5BDFB5EBA}">
      <text>
        <t>[Threaded comment]
Your version of Excel allows you to read this threaded comment; however, any edits to it will get removed if the file is opened in a newer version of Excel. Learn more: https://go.microsoft.com/fwlink/?linkid=870924
Comment:
    Guitar Lesson for $50</t>
      </text>
    </comment>
    <comment ref="D248" authorId="1" shapeId="0" xr:uid="{1CD325E5-2436-48EF-928E-10741AB9DA85}">
      <text>
        <t>[Threaded comment]
Your version of Excel allows you to read this threaded comment; however, any edits to it will get removed if the file is opened in a newer version of Excel. Learn more: https://go.microsoft.com/fwlink/?linkid=870924
Comment:
    Pie, groceries for Gladys, house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Baumgarten, Allen</author>
  </authors>
  <commentList>
    <comment ref="E79" authorId="0" shapeId="0" xr:uid="{45A0512C-2483-41A0-8FCD-66B042784BC1}">
      <text>
        <r>
          <rPr>
            <b/>
            <sz val="9"/>
            <color indexed="81"/>
            <rFont val="Tahoma"/>
            <family val="2"/>
          </rPr>
          <t>Baumgarten, Allen:</t>
        </r>
        <r>
          <rPr>
            <sz val="9"/>
            <color indexed="81"/>
            <rFont val="Tahoma"/>
            <family val="2"/>
          </rPr>
          <t xml:space="preserve">
20 for tutoring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Baumgarten, Allen</author>
  </authors>
  <commentList>
    <comment ref="AC10" authorId="0" shapeId="0" xr:uid="{6E8A61F5-BFA1-4E2A-900F-722D3F3E1EC1}">
      <text>
        <r>
          <rPr>
            <b/>
            <sz val="9"/>
            <color indexed="81"/>
            <rFont val="Tahoma"/>
            <family val="2"/>
          </rPr>
          <t>Baumgarten, Allen:</t>
        </r>
        <r>
          <rPr>
            <sz val="9"/>
            <color indexed="81"/>
            <rFont val="Tahoma"/>
            <family val="2"/>
          </rPr>
          <t xml:space="preserve">
$100 sent through BillPay on 9/4.  Earlier one sent on 8/14.</t>
        </r>
      </text>
    </comment>
    <comment ref="O25" authorId="0" shapeId="0" xr:uid="{14195DB6-080B-4C11-BB04-1933E662E515}">
      <text>
        <r>
          <rPr>
            <b/>
            <sz val="9"/>
            <color indexed="81"/>
            <rFont val="Tahoma"/>
            <family val="2"/>
          </rPr>
          <t>Baumgarten, Allen:</t>
        </r>
        <r>
          <rPr>
            <sz val="9"/>
            <color indexed="81"/>
            <rFont val="Tahoma"/>
            <family val="2"/>
          </rPr>
          <t xml:space="preserve">
--Pay the balance of $437 due to Boca Reg Med Ctr
--Give $200 to Austin Peay</t>
        </r>
      </text>
    </comment>
    <comment ref="AC25" authorId="0" shapeId="0" xr:uid="{4F36FD0E-BE14-46D4-981B-3C986E0C2EE1}">
      <text>
        <r>
          <rPr>
            <b/>
            <sz val="9"/>
            <color indexed="81"/>
            <rFont val="Tahoma"/>
            <family val="2"/>
          </rPr>
          <t>Baumgarten, Allen:</t>
        </r>
        <r>
          <rPr>
            <sz val="9"/>
            <color indexed="81"/>
            <rFont val="Tahoma"/>
            <family val="2"/>
          </rPr>
          <t xml:space="preserve">
Pay $300 towards Fender amp; balance in October.</t>
        </r>
      </text>
    </comment>
    <comment ref="AI25" authorId="0" shapeId="0" xr:uid="{334483E6-EDE3-4614-98F5-4E667184AFFE}">
      <text>
        <r>
          <rPr>
            <b/>
            <sz val="9"/>
            <color indexed="81"/>
            <rFont val="Tahoma"/>
            <family val="2"/>
          </rPr>
          <t>Baumgarten, Allen:</t>
        </r>
        <r>
          <rPr>
            <sz val="9"/>
            <color indexed="81"/>
            <rFont val="Tahoma"/>
            <family val="2"/>
          </rPr>
          <t xml:space="preserve">
Pay balance on Fender amp.</t>
        </r>
      </text>
    </comment>
    <comment ref="Q37" authorId="0" shapeId="0" xr:uid="{C891C648-9030-4977-9A7B-AE559BFF08F3}">
      <text>
        <r>
          <rPr>
            <b/>
            <sz val="9"/>
            <color indexed="81"/>
            <rFont val="Tahoma"/>
            <family val="2"/>
          </rPr>
          <t>Baumgarten, Allen:</t>
        </r>
        <r>
          <rPr>
            <sz val="9"/>
            <color indexed="81"/>
            <rFont val="Tahoma"/>
            <family val="2"/>
          </rPr>
          <t xml:space="preserve">
Airline tics to San Fran</t>
        </r>
      </text>
    </comment>
  </commentList>
</comments>
</file>

<file path=xl/sharedStrings.xml><?xml version="1.0" encoding="utf-8"?>
<sst xmlns="http://schemas.openxmlformats.org/spreadsheetml/2006/main" count="3478" uniqueCount="790">
  <si>
    <t>May, 2018</t>
  </si>
  <si>
    <t>Jun, 2018</t>
  </si>
  <si>
    <t>Fcst/</t>
  </si>
  <si>
    <t>Budget</t>
  </si>
  <si>
    <t>Actual</t>
  </si>
  <si>
    <t>Income</t>
  </si>
  <si>
    <t>CTCA</t>
  </si>
  <si>
    <t>Condo</t>
  </si>
  <si>
    <t>HOA</t>
  </si>
  <si>
    <t>Subtotal:</t>
  </si>
  <si>
    <t>Expenses</t>
  </si>
  <si>
    <t>Mortgage</t>
  </si>
  <si>
    <t>Rent</t>
  </si>
  <si>
    <t>Auto Insurance</t>
  </si>
  <si>
    <t>Cell Phone</t>
  </si>
  <si>
    <t>Groceries</t>
  </si>
  <si>
    <t>Gas</t>
  </si>
  <si>
    <t>Eating Out</t>
  </si>
  <si>
    <t>Entertainment</t>
  </si>
  <si>
    <t>Coffees</t>
  </si>
  <si>
    <t>Misc</t>
  </si>
  <si>
    <t>For Sam; house</t>
  </si>
  <si>
    <t>Condo Extra Princ</t>
  </si>
  <si>
    <t>Car Extra Princ</t>
  </si>
  <si>
    <t>Opening Cash Balance:</t>
  </si>
  <si>
    <t>Closing Cash Balance:</t>
  </si>
  <si>
    <t>Details</t>
  </si>
  <si>
    <t>Posting Date</t>
  </si>
  <si>
    <t>Description</t>
  </si>
  <si>
    <t>Amount</t>
  </si>
  <si>
    <t>Type</t>
  </si>
  <si>
    <t>Balance</t>
  </si>
  <si>
    <t>Check or Slip #</t>
  </si>
  <si>
    <t>DEBIT</t>
  </si>
  <si>
    <t>POS DEBIT                WAL-MART #1589            DELRAY BEACH FL</t>
  </si>
  <si>
    <t>MISC_DEBIT</t>
  </si>
  <si>
    <t>POS DEBIT                COSTCO WHSE #0345         BOCA RATON   FL</t>
  </si>
  <si>
    <t>POS DEBIT                PETSMART # 2113           DELRAY BEACH FL</t>
  </si>
  <si>
    <t>POS DEBIT                OUTBACK #1082             DELRAY BCH.  FL</t>
  </si>
  <si>
    <t>POS DEBIT                TIPSY BOAR                HOLLYWOOD    FL</t>
  </si>
  <si>
    <t>POS DEBIT                HOLLYWD TOWN PKG ON ST    HOLLYWOOD    FL</t>
  </si>
  <si>
    <t>POS DEBIT                SUNSHINE # 30010          POMPANO BEAC FL</t>
  </si>
  <si>
    <t>POS DEBIT                STARBUCKS STORE 11609     HOLLYWOOD    FL</t>
  </si>
  <si>
    <t>POS DEBIT                BARNESNOBLE 1400 GLADES   BOCA RATON   FL</t>
  </si>
  <si>
    <t>POS DEBIT                SUNPASS OPERATIONS       BOCA RATON    FL</t>
  </si>
  <si>
    <t>BARNESNOBLE 1400 Glade BOCA RATON FL 353899  05/18</t>
  </si>
  <si>
    <t>DEBIT_CARD</t>
  </si>
  <si>
    <t>CHILI'S THE CREEK FORT LAUDERDA FL           05/18</t>
  </si>
  <si>
    <t>STARBUCKS STORE 2971 FORT LAUDERDA FL        05/17</t>
  </si>
  <si>
    <t>CREDIT</t>
  </si>
  <si>
    <t>CANCER TREATMENT DIRECT DEP                 PPD ID: 9111111102</t>
  </si>
  <si>
    <t>ACH_CREDIT</t>
  </si>
  <si>
    <t>PUBLIX SUPER MAR 114 POMPANO BEACH FL930791  05/17</t>
  </si>
  <si>
    <t>PEI WEI #0203  Q02 BOCA RATON FL             05/16</t>
  </si>
  <si>
    <t>DTV*DIRECTV HARDWARE 800-347-3288 CA         05/17</t>
  </si>
  <si>
    <t>CVS/PHARMACY #07 07173 BOCA RATON FL 963668  05/16</t>
  </si>
  <si>
    <t>SEMC - CAFETERIA NEWNAN GA                   05/14</t>
  </si>
  <si>
    <t>ATM WITHDRAWAL                       005587  05/15101 S POM</t>
  </si>
  <si>
    <t>ATM</t>
  </si>
  <si>
    <t>PUBLIX SUPER MAR 21230 BOCA RATON FL 625106  05/15</t>
  </si>
  <si>
    <t>FT LAUD HOLLYWOOD IN FT LAUDERDALE FL        05/14</t>
  </si>
  <si>
    <t>ATLANTA CHOPHOUSE ATL ATLANTA GA             05/14</t>
  </si>
  <si>
    <t>HOME2 SUITES NEWNAN/AT NEWNAN GA             05/15</t>
  </si>
  <si>
    <t>Tipsy Boar Hollywood FL                      05/13</t>
  </si>
  <si>
    <t>SEMC - PHARMACY NEWNAN GA            652769  05/14</t>
  </si>
  <si>
    <t>TACO MAC 15 NEWNAN GA                        05/13</t>
  </si>
  <si>
    <t>STIRLING PETROL FORT LAUDERDA FL             05/13</t>
  </si>
  <si>
    <t>STARBUCKS STORE 11609 HOLLYWOOD FL           05/12</t>
  </si>
  <si>
    <t>PUBLIX SUPER MAR 21230 BOCA RATON FL 557896  05/12</t>
  </si>
  <si>
    <t>WHOLEFDS BCA 101 1400B BOCA RATON FL 752019  05/12</t>
  </si>
  <si>
    <t>BARNESNOBLE 1400 Glade BOCA RATON FL 812640  05/12</t>
  </si>
  <si>
    <t>SUPERCUTS BOCA RATON FL              365125  05/11</t>
  </si>
  <si>
    <t>CHILI'S THE CREEK FORT LAUDERDA FL           05/10</t>
  </si>
  <si>
    <t>TOTAL WINE AND MORE 90 BOCA RATON FL 298172  05/10</t>
  </si>
  <si>
    <t>PEI WEI #0203  Q02 BOCA RATON FL             05/09</t>
  </si>
  <si>
    <t>ATM WITHDRAWAL                       001432  05/09101 S POM</t>
  </si>
  <si>
    <t>TST* BRASS TAPS - FT FORT LAUDERDA FL        05/09</t>
  </si>
  <si>
    <t>INVASIVE SPECIES BRE FORT LAUDERDA FL        05/08</t>
  </si>
  <si>
    <t>CYPRESS CREEK MA FORT LAUDERDA FL    716190  05/08</t>
  </si>
  <si>
    <t>PUBLIX SUPER MAR 5050 BOCA RATON FL  537431  05/08</t>
  </si>
  <si>
    <t>CHILI'S THE CREEK FORT LAUDERDA FL           05/07</t>
  </si>
  <si>
    <t>Tipsy Boar Hollywood FL                      05/06</t>
  </si>
  <si>
    <t>PUBLIX SUPER MAR 5050 BOCA RATON FL          05/07 Purchase $25.01 Cash Back $20.00</t>
  </si>
  <si>
    <t>CDD SELF PARKING GARAGE HOLLYWOOD FL         05/06</t>
  </si>
  <si>
    <t>STARBUCKS STORE 11609 HOLLYWOOD FL           05/06</t>
  </si>
  <si>
    <t>PEI WEI #0203  Q02 BOCA RATON FL             05/06</t>
  </si>
  <si>
    <t>PUBLIX SUPER MAR 21230 BOCA RATON FL         05/06 Purchase $32.09 Cash Back $20.00</t>
  </si>
  <si>
    <t>BARNESNOBLE 1400 Glade BOCA RATON FL 704513  05/05</t>
  </si>
  <si>
    <t>BARNESNOBLE 1400 Glade BOCA RATON FL 754445  05/05</t>
  </si>
  <si>
    <t>SQUARE ONE AMERICAN RE 561-9239176 FL        05/03</t>
  </si>
  <si>
    <t>SHELL Service Station BOCA RATON FL  061321  05/04</t>
  </si>
  <si>
    <t>PUBLIX SUPER MAR 21230 BOCA RATON FL         05/04 Purchase $9.36 Cash Back $20.00</t>
  </si>
  <si>
    <t>COSTCO WHSE #0345 BOCA RATON FL      027899  05/04</t>
  </si>
  <si>
    <t>DSLIP</t>
  </si>
  <si>
    <t>DEPOSIT  ID NUMBER 725414</t>
  </si>
  <si>
    <t>DEPOSIT</t>
  </si>
  <si>
    <t>STARBUCKS STORE 08588 BOCA RATON FL          05/01</t>
  </si>
  <si>
    <t>FAU- TRAFFIC &amp; PARKING BOCA RATON FL         05/01</t>
  </si>
  <si>
    <t>BARNESNOBLE 1400 Glade BOCA RATON FL 608051  05/01</t>
  </si>
  <si>
    <t>CHILI'S THE CREEK FORT LAUDERDA FL           04/30</t>
  </si>
  <si>
    <t>STARBUCKS STORE 0847 POMPANO BEACH FL        04/30</t>
  </si>
  <si>
    <t>STARBUCKS STORE 08588 BOCA RATON FL          04/30</t>
  </si>
  <si>
    <t>HOLLYWOOD BEACH GARAGE HOLLYWOOD FL          04/29</t>
  </si>
  <si>
    <t>Giorgio's Bakery &amp; Bist hollywood FL         04/29</t>
  </si>
  <si>
    <t>INTEREST PAYMENT</t>
  </si>
  <si>
    <t>MISC_CREDIT</t>
  </si>
  <si>
    <t>KMF              KMFUSA.com                 PPD ID: 9200704262</t>
  </si>
  <si>
    <t>ACH_DEBIT</t>
  </si>
  <si>
    <t>PUBLIX SUPER MAR 21230 BOCA RATON FL 607278  04/30</t>
  </si>
  <si>
    <t>CHILI'S THE CREEK FORT LAUDERDA FL           04/29</t>
  </si>
  <si>
    <t>ATM WITHDRAWAL                       003734  04/29101 S POM</t>
  </si>
  <si>
    <t>CHEVRON 0308377 POMPANO BEACH FL             04/29</t>
  </si>
  <si>
    <t>TIPSY BOAR HOLLYWOOD FL                      04/28</t>
  </si>
  <si>
    <t>STIRLING PETROL FORT LAUDERDA FL             04/28</t>
  </si>
  <si>
    <t>BARNESNOBLE 1400 Glade BOCA RATON FL 211830  04/28</t>
  </si>
  <si>
    <t>BARNESNOBLE 1400 Glade BOCA RATON FL 653300  04/28</t>
  </si>
  <si>
    <t>BARNESNOBLE 1400 Glade BOCA RATON FL 759886  04/28</t>
  </si>
  <si>
    <t>BARNESNOBLE 1400 Glade BOCA RATON FL 758511  04/28</t>
  </si>
  <si>
    <t>WORLD OF BEER PLANTATION FL                  04/26</t>
  </si>
  <si>
    <t>SWEET TOMATOES 80 Q14 BOCA RATON FL          04/25</t>
  </si>
  <si>
    <t>SHELL Service Station BOCA RATON FL  060354  04/25</t>
  </si>
  <si>
    <t>CVS/PHARMACY #03 03818 BOCA RATON FL 062382  04/25</t>
  </si>
  <si>
    <t>NON-CHASE ATM WITHDRAW               201558  04/2421230 SAI</t>
  </si>
  <si>
    <t>21230 SAINT ANDREWS BLV BOCA RATON FL201558  04/24</t>
  </si>
  <si>
    <t>ATM WITHDRAWAL                       001385  04/225950 GLAD</t>
  </si>
  <si>
    <t>ATM WITHDRAWAL                       008463  04/21101 S POM</t>
  </si>
  <si>
    <t>ATM WITHDRAWAL                       006668  04/215950 GLAD</t>
  </si>
  <si>
    <t>Transfer from CHK XXXXX3721</t>
  </si>
  <si>
    <t>ACCT_XFER</t>
  </si>
  <si>
    <t>ATM CHECK DEPOSIT 04/21 5950 GLADES RD BOCA RATON FL</t>
  </si>
  <si>
    <t>ATM_DEPOSIT</t>
  </si>
  <si>
    <t>Jul, 2018</t>
  </si>
  <si>
    <t>Delta</t>
  </si>
  <si>
    <t>Dec, 2018</t>
  </si>
  <si>
    <t>Nov, 2018</t>
  </si>
  <si>
    <t>Oct, 2018</t>
  </si>
  <si>
    <t>Sep, 2018</t>
  </si>
  <si>
    <t>Aug, 2018</t>
  </si>
  <si>
    <t>Gym</t>
  </si>
  <si>
    <t>= to be recorded; clear cells are recorded</t>
  </si>
  <si>
    <t>ORIG CO NAME:KMF              CO ENTRY DESCR:KMFUSA.com SEC:PPD                        ORIG ID:9200704262</t>
  </si>
  <si>
    <t>POS DEBIT                CHILIS THE CREEK          FORT LAUDERD FL</t>
  </si>
  <si>
    <t>ATM DEBIT 101 S POMPANO PKWY       POMPANO BEACHFL</t>
  </si>
  <si>
    <t>POS DEBIT                WM SUPERC WAL-MART SUP    POMPANO      FL</t>
  </si>
  <si>
    <t>POS DEBIT                WHISKEY TANGO ALL AMERI   HOLLYWOOD    FL</t>
  </si>
  <si>
    <t>POS DEBIT                HOLLYWD BCH PKG-ON STR    HOLLYWOOD    FL</t>
  </si>
  <si>
    <t>POS DEBIT                MARATHON PETRO149062      BOCA RATON   FL</t>
  </si>
  <si>
    <t>POS DEBIT                RAW JUCE                  BOCA RATON   FL</t>
  </si>
  <si>
    <t>POS DEBIT                FT LAUD HOLLYWOOD INTL    FT LAUDERDAL FL</t>
  </si>
  <si>
    <t>POS DEBIT                LYFT   *PENDING           SAN FRANCISC CA</t>
  </si>
  <si>
    <t>POS DEBIT                DINICS BEEF AND PORK      PHILADELPHIA PA</t>
  </si>
  <si>
    <t>POS DEBIT                PHILADELPHIA MUSEUM OF    PHILADELPHIA PA</t>
  </si>
  <si>
    <t>POS DEBIT                KAMAL MIDDLE EASTERN SP   PHILADELPHIA PA</t>
  </si>
  <si>
    <t>POS DEBIT                DOWNTOWN CHEESE           PHILADELPHIA PA</t>
  </si>
  <si>
    <t>POS DEBIT                OLD CITY COFFEE  - 2 RT   PHILADELPHIA PA</t>
  </si>
  <si>
    <t>POS DEBIT                PROFI'S CREPERIE I        PHILADELPHIA PA</t>
  </si>
  <si>
    <t>POS DEBIT                FOUR POINTS BY SHERATO    PHILADELPHIA PA</t>
  </si>
  <si>
    <t>POS DEBIT                TST* INDEPENDENC          PHILADELPHIA PA</t>
  </si>
  <si>
    <t>POS DEBIT                OLYMPIA GYRO              PHILADELPHIA PA</t>
  </si>
  <si>
    <t>POS DEBIT                THE FRANKLIN INSTITUTE    PHILADELPHIA PA</t>
  </si>
  <si>
    <t>POS DEBIT                COMMISSARY AT THE FRANK   PHILADELPHIA PA</t>
  </si>
  <si>
    <t>POS DEBIT                PMOA ADMISSIONS           PHILADELPHIA PA</t>
  </si>
  <si>
    <t>POS DEBIT                SWEET AS FUDGE CANDY S    PHILADELPHIA PA</t>
  </si>
  <si>
    <t>POS DEBIT                KAUFFMANS LANCASTER CO    PHILADELPHIA PA</t>
  </si>
  <si>
    <t>POS DEBIT                BEILERS DONUTS            PHILADELPHIA PA</t>
  </si>
  <si>
    <t>POS DEBIT                FOUR POINTS BY SHERATO   PHILADELPHIA  PA</t>
  </si>
  <si>
    <t>POS DEBIT                LYFT   *PENDING          SAN FRANCISC  CA</t>
  </si>
  <si>
    <t>POS DEBIT                YARDS BREWING CO         PHILADELPHIA  PA</t>
  </si>
  <si>
    <t>POS DEBIT                ERMC-CAFETERIA           PHILADELPHIA  PA</t>
  </si>
  <si>
    <t>POS DEBIT                LYFT   *CANCEL FEE       SAN FRANCISC  CA</t>
  </si>
  <si>
    <t>POS DEBIT                LORI'S GIFTS STORE #481  PHILADELPHIA  PA</t>
  </si>
  <si>
    <t>MAGGIANOS 12TH &amp; FILB PHILADELPHIA PA        05/24</t>
  </si>
  <si>
    <t>ERMC-CAFETERIA PHILADELPHIA PA               05/24</t>
  </si>
  <si>
    <t>LYFT   *RIDE THU 7AM LYFT.COM CA             05/24</t>
  </si>
  <si>
    <t>FOUR POINTS BY SHERAT PHILADELPHIA PA        05/24</t>
  </si>
  <si>
    <t>FOUR POINTS BY SHERAT PHILADELPHIA PA        05/25</t>
  </si>
  <si>
    <t>MAGGIANOS 12TH &amp; FILB PHILADELPHIA PA        05/23</t>
  </si>
  <si>
    <t>LYFT   *RIDE WED 6PM LYFT.COM CA             05/23</t>
  </si>
  <si>
    <t>ERMC-CAFETERIA PHILADELPHIA PA               05/23</t>
  </si>
  <si>
    <t>ERMC PHARMACY PHILADELPHIA PA                05/23</t>
  </si>
  <si>
    <t>LYFT   *RIDE WED 7AM LYFT.COM CA             05/23</t>
  </si>
  <si>
    <t>FOUR POINTS BY SHERAT PHILADELPHIA PA        05/23</t>
  </si>
  <si>
    <t>LYFT   *RIDE TUE 9PM LYFT.COM CA             05/22</t>
  </si>
  <si>
    <t>LYFT   *RIDE TUE 7PM LYFT.COM CA             05/22</t>
  </si>
  <si>
    <t>MARSHALLS 1026 MARKET PHILADELPHIA PA        05/23</t>
  </si>
  <si>
    <t>LYFT   *CANCEL FEE LYFT.COM CA               05/22</t>
  </si>
  <si>
    <t>LYFT   *RIDE TUE 6PM LYFT.COM CA             05/22</t>
  </si>
  <si>
    <t>FORT LAUDERDALE AIRP FORT LAUDERDA FL        05/22</t>
  </si>
  <si>
    <t>BOCAS PREMIER DRY YAMAT BOCA RATON FL        05/22</t>
  </si>
  <si>
    <t>Tipsy Boar Hollywood FL                      05/20</t>
  </si>
  <si>
    <t>MARSHALLS 8180 GLADES BOCA RATON FL          05/21</t>
  </si>
  <si>
    <t>Class</t>
  </si>
  <si>
    <t>Auto Pmt</t>
  </si>
  <si>
    <t>Business Travel</t>
  </si>
  <si>
    <t>Travel</t>
  </si>
  <si>
    <t>Dry Cleaning</t>
  </si>
  <si>
    <t>Paycheck</t>
  </si>
  <si>
    <t>Withdrawal</t>
  </si>
  <si>
    <t>Haircut</t>
  </si>
  <si>
    <t>Month</t>
  </si>
  <si>
    <t>May</t>
  </si>
  <si>
    <t>Apr</t>
  </si>
  <si>
    <t>Cash</t>
  </si>
  <si>
    <t>Juicer</t>
  </si>
  <si>
    <t>Grand Total</t>
  </si>
  <si>
    <t>Sum of Amount</t>
  </si>
  <si>
    <t>(All)</t>
  </si>
  <si>
    <t>Sam/house</t>
  </si>
  <si>
    <t>Transfer</t>
  </si>
  <si>
    <t>Condo Income</t>
  </si>
  <si>
    <t>Int Pmt</t>
  </si>
  <si>
    <t>Savings(Loss)</t>
  </si>
  <si>
    <t>May-Dec, 2018</t>
  </si>
  <si>
    <t>budgeted</t>
  </si>
  <si>
    <t>actual</t>
  </si>
  <si>
    <t>shorts</t>
  </si>
  <si>
    <t>lunch</t>
  </si>
  <si>
    <t>DONE</t>
  </si>
  <si>
    <t>Tue night</t>
  </si>
  <si>
    <t>Wed morning</t>
  </si>
  <si>
    <t>Wed night</t>
  </si>
  <si>
    <t>Thur morning</t>
  </si>
  <si>
    <t>Thur night (dinner)</t>
  </si>
  <si>
    <t>Snack</t>
  </si>
  <si>
    <t>WHISKTY TANGO ALL AMERICAN HOLLYWOOD FL</t>
  </si>
  <si>
    <t>POS DEBIT SHELL SERVICE STATION BOCA RATON FL</t>
  </si>
  <si>
    <t>POS DEBIT DUNKIN #353914 Q35 BOCA RATON FL</t>
  </si>
  <si>
    <t>POS DEBIT CVS/PHARM 03818--21140 BOCA RATON FL</t>
  </si>
  <si>
    <t>WITHDRAWAL FOR SAM'S BIRTHDAY GIFT</t>
  </si>
  <si>
    <t>&lt;--- update with ending May balance!</t>
  </si>
  <si>
    <t>Paychecks</t>
  </si>
  <si>
    <t>To do:</t>
  </si>
  <si>
    <t>Jun</t>
  </si>
  <si>
    <t>Jul</t>
  </si>
  <si>
    <t>Aug</t>
  </si>
  <si>
    <t>Sep</t>
  </si>
  <si>
    <t>Oct</t>
  </si>
  <si>
    <t>Nov</t>
  </si>
  <si>
    <t>Dec</t>
  </si>
  <si>
    <t>Wire Gladys some cash, including</t>
  </si>
  <si>
    <t>$298 for Gardens North hitting</t>
  </si>
  <si>
    <t>between Jun 5-10th</t>
  </si>
  <si>
    <t>POS DEBIT HEALTHY FAMILY DENTIST COCONUT CREEK</t>
  </si>
  <si>
    <t>POS DEBIT BOCAS PREMIER DRY YAMA BOCA RATON</t>
  </si>
  <si>
    <t>Look for:</t>
  </si>
  <si>
    <t>$248.61 for Hope Joy Pride</t>
  </si>
  <si>
    <t>$1,588.42 for Philly Trip</t>
  </si>
  <si>
    <t>$500 from KIA</t>
  </si>
  <si>
    <t>Transfer from CHK XXXXX1115 to cover $298 condo fees</t>
  </si>
  <si>
    <t>Transfer from CHK XXXXX1115 to cover $100 for cell</t>
  </si>
  <si>
    <t>Transfer from CHK XXXXX1115 to cover $102 for auto insurance/other</t>
  </si>
  <si>
    <t>ORIG CO NAME:WF HOME MTG      CO ENTRY DESCR:AUTO PAY   SEC:PPD                        ORIG ID:W952318940</t>
  </si>
  <si>
    <t>POS DEBIT                STARBUCKS STORE 08476     POMPANO BEAC FL</t>
  </si>
  <si>
    <t>POS DEBIT                PEI WEI #0203  Q02        BOCA RATON   FL</t>
  </si>
  <si>
    <t>POS DEBIT                210 WEST BOCA MEDICAL C   BOCA RATON   FL</t>
  </si>
  <si>
    <t>POS DEBIT                HOLLYWOOD BEACH GARAGE    HOLLYWOOD    FL</t>
  </si>
  <si>
    <t>POS DEBIT                QUICKMART                 HALLANDALE   FL</t>
  </si>
  <si>
    <t>POS DEBIT                WHOLEFDS BCA 101 1400B    BOCA RATON   FL</t>
  </si>
  <si>
    <t>POS DEBIT                BOCAS PREMIER DRY YAMA   BOCA RATON    FL</t>
  </si>
  <si>
    <t>Fcst only</t>
  </si>
  <si>
    <t>PUBLIX SUPER MAR 21230 BOCA RATON FL 817091  06/04</t>
  </si>
  <si>
    <t>POS DEBIT                REGAL CINEMSA CYPRESS C   FT LAUDERDAL FL</t>
  </si>
  <si>
    <t>POS DEBIT                HOOTERS OF FT. LAU        FT LAUDERDAL FL</t>
  </si>
  <si>
    <t>POS DEBIT                RACETRAC469               POMPANO BCH  FL</t>
  </si>
  <si>
    <t>POS DEBIT                SHELL SERVICE STATION     HOLLYWOOD    FL</t>
  </si>
  <si>
    <t>POS DEBIT                PICANHA BRAZIL STEAK H   BOCA RATON    FL</t>
  </si>
  <si>
    <t>PUBLIX SUPER MAR 5050 BOCA RATON FL  042305  06/08</t>
  </si>
  <si>
    <t>WOB COCONUT CREEK COCONUT CREEK FL           06/07</t>
  </si>
  <si>
    <t>PUBLIX SUPER MAR 5050 BOCA RATON FL  757540  06/07</t>
  </si>
  <si>
    <t>CHILI'S THE CREEK FORT LAUDERDA FL           06/07</t>
  </si>
  <si>
    <t>UROMEDIX-EU6 SUNRISE FL                      06/06</t>
  </si>
  <si>
    <t>RACETRAC121 OAKLAND PARK FL          080554  06/06</t>
  </si>
  <si>
    <t>BARNESNOBLE 1400 Glade BOCA RATON FL 957984  06/05</t>
  </si>
  <si>
    <t>BARNESNOBLE 1400 Glade BOCA RATON FL 637836  06/05</t>
  </si>
  <si>
    <t>OCEANSIDE PARKING LO POMPANO BEACH FL        06/04</t>
  </si>
  <si>
    <t>POS DEBIT                PUBLIX SUPER MAR 5050 C   BOCA RATON   FL</t>
  </si>
  <si>
    <t>POS DEBIT                EINSTEIN BROS BAGELS077   BOCA RATON   FL</t>
  </si>
  <si>
    <t>POS DEBIT                THE SEED                  BOCA RATON   FL</t>
  </si>
  <si>
    <t>POS DEBIT                Two Georges at the Cove  Deerfield Be  FL</t>
  </si>
  <si>
    <t>POS DEBIT                DUNKIN #353914 Q35       BOCA RATON    FL</t>
  </si>
  <si>
    <t>ORIG CO NAME:CANCER TREATMENT CO ENTRY DESCR:DIRECT DEP SEC:PPD                        ORIG ID:9111111102</t>
  </si>
  <si>
    <t>PUBLIX SUPER MAR 21230 BOCA RATON FL 636260  06/14</t>
  </si>
  <si>
    <t>BARNESNOBLE 1400 Glade BOCA RATON FL 901907  06/14</t>
  </si>
  <si>
    <t>PUBLIX SUPER MAR 5050 BOCA RATON FL  124393  06/14</t>
  </si>
  <si>
    <t>PUBLIX SUPER MAR 21230 BOCA RATON FL 726038  06/13</t>
  </si>
  <si>
    <t>BIERGARTEN BOCA RATON FL                     06/12</t>
  </si>
  <si>
    <t>PUBLIX SUPER MAR 21230 BOCA RATON FL 349659  06/12</t>
  </si>
  <si>
    <t>BARNESNOBLE 1400 Glade BOCA RATON FL 539262  06/12</t>
  </si>
  <si>
    <t>WHOLEFDS BCA 101 1400B BOCA RATON FL 643212  06/12</t>
  </si>
  <si>
    <t>BARNESNOBLE 1400 Glade BOCA RATON FL 906088  06/12</t>
  </si>
  <si>
    <t>Tipsy Boar Hollywood FL                      06/10</t>
  </si>
  <si>
    <t>Jun Total</t>
  </si>
  <si>
    <t>FORECASTED</t>
  </si>
  <si>
    <t>DEPOSIT  ID NUMBER 257919</t>
  </si>
  <si>
    <t>DUNKIN #353914 Q35 BOCA RATON FL             06/14</t>
  </si>
  <si>
    <t>1400 GLADES ROAD, BOCA RATON FL      538524  06/16</t>
  </si>
  <si>
    <t>GLADES ROAD MAR BOCA RATON FL                06/15</t>
  </si>
  <si>
    <t>POS DEBIT                MCDONALD'S F29261        BOCA RATON    FL</t>
  </si>
  <si>
    <t>TOTAL WINE AND MORE 90 BOCA RATON FL 271956  06/20</t>
  </si>
  <si>
    <t>NORTH PAVILION PARKI DEERFIELD BEA FL        06/19</t>
  </si>
  <si>
    <t>HAIR CUTTERY #3983 BOCA RATON FL             06/20</t>
  </si>
  <si>
    <t>BARNESNOBLE 1400 Glade BOCA RATON FL 234383  06/19</t>
  </si>
  <si>
    <t>PUBLIX SUPER MAR 5050 BOCA RATON FL  754248  06/19</t>
  </si>
  <si>
    <t>CHILI'S THE CREEK FORT LAUDERDA FL           06/18</t>
  </si>
  <si>
    <t>THE SEED BOCA RATON FL                       06/19</t>
  </si>
  <si>
    <t>SAM ASH MUSIC #32 MARGATE FL                 06/17</t>
  </si>
  <si>
    <t>Tipsy Boar Hollywood FL                      06/17</t>
  </si>
  <si>
    <t>PUBLIX SUPER MAR 5050 BOCA RATON FL  501229  06/18</t>
  </si>
  <si>
    <t>BARNESNOBLE 1400 Glade BOCA RATON FL 924351  06/17</t>
  </si>
  <si>
    <t>WHOLEFDS BCA 101 1400B BOCA RATON FL         06/17 Purchase $6.95 Cash Back $20.00</t>
  </si>
  <si>
    <t>CRYSTAL LAKE CIT POMPANO BEACH FL    803468  06/17</t>
  </si>
  <si>
    <t>HOLLYWD BCH PKG-ON STRE HOLLYWOOD FL         06/16</t>
  </si>
  <si>
    <t>HOLLYWD BCH PKG-OFF STR HOLLYWOOD FL         06/16</t>
  </si>
  <si>
    <t>SQ *FRANCIS PRODUCE Hollywood FL             06/16</t>
  </si>
  <si>
    <t>AMAZON MKTPLACE PMTS AMZN.COM/BILL WA        06/17</t>
  </si>
  <si>
    <t>NON-CHASE ATM WITHDRAW               538524  06/161400 GLAD</t>
  </si>
  <si>
    <t>BARNESNOBLE 1400 Glade BOCA RATON FL 634778  06/16</t>
  </si>
  <si>
    <t>ATM -     1701 E YOUNG CIR         HOLLYWOOD    FL</t>
  </si>
  <si>
    <t>ATM DEBIT                @DOWNTOWN HOLLYWOO        HOLLYWOOD    FL</t>
  </si>
  <si>
    <t>POS DEBIT                CHEVRON/SUNSHINE #503     DAVIE        FL</t>
  </si>
  <si>
    <t>POS DEBIT                AMAZON MKTPLACE PMTS      AMZN.COM/BIL WA</t>
  </si>
  <si>
    <t>POS DEBIT                FAU- TRAFFIC &amp; PARKING    BOCA RATON   FL</t>
  </si>
  <si>
    <t>ATM DEBIT                1400 GLADES ROAD,         BOCA RATON   FL</t>
  </si>
  <si>
    <t>BIS STORE # 129 BOCA RATON FL                06/22</t>
  </si>
  <si>
    <t>CHEVRON 0308377 POMPANO BEACH FL             06/22</t>
  </si>
  <si>
    <t>SWEET TOMATOES 80 Q14 BOCA RATON FL          06/22</t>
  </si>
  <si>
    <t>SWEET TOMATOES 80 Q14 BOCA RATON FL          06/21</t>
  </si>
  <si>
    <t>ATM WITHDRAWAL                       001821  06/21101 S POM</t>
  </si>
  <si>
    <t>ATM WITHDRAWAL                       001821  06/21101 S POM Half for Tutoring</t>
  </si>
  <si>
    <t>Electric</t>
  </si>
  <si>
    <t>current balance</t>
  </si>
  <si>
    <t>Projected</t>
  </si>
  <si>
    <t>Paycheck 6/29</t>
  </si>
  <si>
    <t>Xfinity</t>
  </si>
  <si>
    <t>Netflix</t>
  </si>
  <si>
    <t>Tipsy Boar Hollywood FL                      06/24</t>
  </si>
  <si>
    <t>POS DEBIT                SWEET TOMATOES #80       BOCA RATON    FL</t>
  </si>
  <si>
    <t xml:space="preserve">CHECK 4101  </t>
  </si>
  <si>
    <t>WORLD OF BEER PLANTATION FL                  06/28</t>
  </si>
  <si>
    <t>COMCAST/XFINITY 800-266-2278 FL              06/29</t>
  </si>
  <si>
    <t>BOCAS PREMIER DRY YAMAT BOCA RATON FL        06/28</t>
  </si>
  <si>
    <t>WEST BROWARD FORT LAUDERDA FL                06/28</t>
  </si>
  <si>
    <t>BRANDSMART USA -DFB DEERFIELD BEA FL         06/28</t>
  </si>
  <si>
    <t>TOTAL WINE AND MORE 90 BOCA RATON FL 346957  06/27</t>
  </si>
  <si>
    <t>NON-CHASE ATM WITHDRAW               708040  06/2721230 SAI</t>
  </si>
  <si>
    <t>ATM WITHDRAWAL                       007984  06/27853 S FED</t>
  </si>
  <si>
    <t>21230 SAINT ANDREWS BLV BOCA RATON FL708040  06/27</t>
  </si>
  <si>
    <t>ATM WITHDRAWAL                       008281  06/265950 GLAD</t>
  </si>
  <si>
    <t>WITHDRAWAL 06/26</t>
  </si>
  <si>
    <t>POS DEBIT                WM SUPERC WAL-MART SUP    BOCA RATON   FL</t>
  </si>
  <si>
    <t>POS DEBIT                PUBLIX SUPER MAR 1001 S   BOCA RATON   FL</t>
  </si>
  <si>
    <t>ATM CREDIT               00000000000               ISA980400000 00</t>
  </si>
  <si>
    <t>POS DEBIT                CVS/PHARM 03275--686 G    BOCA RATON   FL</t>
  </si>
  <si>
    <t>POS DEBIT                DUFFY'S OF BOCA           BOCA RATON   FL</t>
  </si>
  <si>
    <t>POS DEBIT                WM SUPERC WAL-MART SUP    SUNRISE (W)  FL</t>
  </si>
  <si>
    <t>POS DEBIT                IKEA SUNRISE              SUNRISE      FL</t>
  </si>
  <si>
    <t>WITHDRAWAL</t>
  </si>
  <si>
    <t>ATM DEP - 5950 GLADES RD           BOCA RATON   FL</t>
  </si>
  <si>
    <t>POS DEBIT                TRANSFERRED $75 FOR CELL, GYM, OTHER ON 7/2</t>
  </si>
  <si>
    <t>POS DEBIT                HERTZ RENT A CAR         OKLAHOMA CIT  OK</t>
  </si>
  <si>
    <t>POS DEBIT                PRIP MART 299            BOCA RATON    FL</t>
  </si>
  <si>
    <t>POS DEBIT                TRAVEL INSURANCE POLIC   RICHMOND      VA</t>
  </si>
  <si>
    <t>POS DEBIT                BIERGARTEN               BOCA RATON    FL</t>
  </si>
  <si>
    <t>POS DEBIT                MENCHIE'S BOCA RATON     BOCA RATON    FL</t>
  </si>
  <si>
    <t>THE GARDENS NORT LOCKBOX                    PPD ID: 1592314821</t>
  </si>
  <si>
    <t>BARNESNOBLE 1400 Glade BOCA RATON FL 841015  08/06</t>
  </si>
  <si>
    <t>PUBLIX SUPER MAR 1001 BOCA RATON FL  030687  08/05</t>
  </si>
  <si>
    <t>SUPERCUTS BOCA RATON FL              329466  08/05</t>
  </si>
  <si>
    <t>WAL-MART #3858 BOCA RATON FL                 08/05</t>
  </si>
  <si>
    <t>ROBOT BREWING COMPANY BOCA RATON FL          08/04</t>
  </si>
  <si>
    <t>ATM WITHDRAWAL                       002238  08/048285 W SU</t>
  </si>
  <si>
    <t>MENCHIE'S BOCA RATON BOCA RATON FL           08/03</t>
  </si>
  <si>
    <t>SWEET TOMATOES 80 Q14 BOCA RATON FL          08/03</t>
  </si>
  <si>
    <t>PRICELINE*HOTEL ROOMS 800-774-2354 CT        08/03</t>
  </si>
  <si>
    <t>DEPOSIT  ID NUMBER 813077</t>
  </si>
  <si>
    <t>BARNESNOBLE 1400 Glade BOCA RATON FL 535635  08/03</t>
  </si>
  <si>
    <t>PEI WEI #0203  Q02 BOCA RATON FL             08/02</t>
  </si>
  <si>
    <t>WF HOME MTG      AUTO PAY                   PPD ID: W952318940</t>
  </si>
  <si>
    <t>NETFLIX.COM NETFLIX.COM CA                   08/02</t>
  </si>
  <si>
    <t>APL* ITUNES.COM/BILL 866-712-7753 CA         08/02</t>
  </si>
  <si>
    <t>PRIP MART 299 BOCA RATON FL          053850  08/01</t>
  </si>
  <si>
    <t>GUPPIES #33 BOCA RATON FL                    08/01</t>
  </si>
  <si>
    <t>BIERGARTEN BOCA RATON FL                     07/31</t>
  </si>
  <si>
    <t>GUITAR CENTER #783 COCONUT CREEK FL          07/31</t>
  </si>
  <si>
    <t>BOCAS PREMIER DRY YAMAT BOCA RATON FL        07/30</t>
  </si>
  <si>
    <t>Tipsy Boar Hollywood FL                      07/29</t>
  </si>
  <si>
    <t>PUBLIX SUPER MAR 1001 BOCA RATON FL  535555  07/30</t>
  </si>
  <si>
    <t>WITHDRAWAL 07/30</t>
  </si>
  <si>
    <t>TOTAL WINE AND MORE 90 BOCA RATON FL 301567  07/29</t>
  </si>
  <si>
    <t>PUBLIX SUPER MAR 7060 BOCA RATON FL  942953  07/29</t>
  </si>
  <si>
    <t>MD NOW BR (561)361-1515 BOCA RATON FL        07/29</t>
  </si>
  <si>
    <t>IKEA SUNRISE SUNRISE FL              409592  07/29</t>
  </si>
  <si>
    <t>IKEA SUNRISE SUNRISE FL              398569  07/29</t>
  </si>
  <si>
    <t>BARNESNOBLE 1400 Glade BOCA RATON FL 201006  07/29</t>
  </si>
  <si>
    <t>BARNESNOBLE 1400 Glade BOCA RATON FL 624834  07/29</t>
  </si>
  <si>
    <t>ROBOT BREWING COMPANY BOCA RATON FL          07/28</t>
  </si>
  <si>
    <t>SHELL Service Station HOLLYWOOD FL   040573  07/28</t>
  </si>
  <si>
    <t>ATM WITHDRAWAL                       007429  07/281701 E YO</t>
  </si>
  <si>
    <t>BARNESNOBLE 1400 Glade BOCA RATON FL 514820  07/28</t>
  </si>
  <si>
    <t>BARNESNOBLE 1400 Glade BOCA RATON FL 840271  07/28</t>
  </si>
  <si>
    <t>TREK BICYCLE BOCA RATON FL                   07/27</t>
  </si>
  <si>
    <t>DEPOSIT  ID NUMBER 673898</t>
  </si>
  <si>
    <t>PUBLIX SUPER MAR 1001 BOCA RATON FL          07/27 Purchase $10.30 Cash Back $20.00</t>
  </si>
  <si>
    <t>GUITAR CENTER #791 DELRAY BEACH FL           07/27</t>
  </si>
  <si>
    <t>GUITARCENTER.COM INTE 866-498-7882 CA        07/25</t>
  </si>
  <si>
    <t>WIKIMEDIAFO 415-839-6885 CA                  07/25</t>
  </si>
  <si>
    <t>PUBLIX SUPER MAR 1001 BOCA RATON FL  815987  07/25</t>
  </si>
  <si>
    <t>GUITAR CENTER #783 COCONUT CREEK FL  226703  07/25</t>
  </si>
  <si>
    <t>PEI WEI #0203  Q02 BOCA RATON FL             07/24</t>
  </si>
  <si>
    <t>BIERGARTEN BOCA RATON FL                     07/24</t>
  </si>
  <si>
    <t>ANNSFLORIST_1 FT LAUDERDALE FL               07/22</t>
  </si>
  <si>
    <t>BOCA DEL MAR'S BOCA RATON FL                 07/24</t>
  </si>
  <si>
    <t>BRANDSMART USA -DFB DEERFIELD BEA FL         07/24</t>
  </si>
  <si>
    <t>PUBLIX SUPER MAR 1001 BOCA RATON FL  910279  07/24</t>
  </si>
  <si>
    <t>DEPOSITED ITEM RETURNED       NSF 1st        099003879                                       # OF ITEMS00001CK#:0000000177                                        DEP AMT0000130000     DEP DATE072018CK AMT0000130000</t>
  </si>
  <si>
    <t>DEPOSIT_RETURN</t>
  </si>
  <si>
    <t>COMCAST/XFINITY 800-266-2278 FL              07/21</t>
  </si>
  <si>
    <t>APL* ITUNES.COM/BILL 866-712-7753 CA         07/23</t>
  </si>
  <si>
    <t>WORLD OF BEER PLANTATION FL                  07/22</t>
  </si>
  <si>
    <t>THE HOME DEPOT #0208 POMPANO BEACH FL        07/22 Purchase $47.79 Cash Back $40.00</t>
  </si>
  <si>
    <t>STIRLING PETROL FORT LAUDERDA FL             07/21</t>
  </si>
  <si>
    <t>GUITAR CENTER #770 HALLANDALE FL             07/21</t>
  </si>
  <si>
    <t>PUBLIX SUPER MAR 1740 HOLLYWOOD FL   855350  07/21</t>
  </si>
  <si>
    <t>BARNESNOBLE 1400 Glade BOCA RATON FL 664972  07/21</t>
  </si>
  <si>
    <t>BARNESNOBLE 1400 Glade BOCA RATON FL 639818  07/21</t>
  </si>
  <si>
    <t>BEER TRADE CO DELRAY BEACH FL                07/21</t>
  </si>
  <si>
    <t>CITY OF DELRAY BEACH DELRAY BEACH FL         07/21</t>
  </si>
  <si>
    <t>THE HOME DEPOT #0208 POMPANO BEACH FL085266  07/22</t>
  </si>
  <si>
    <t>CAMINO REAL MOB BOCA RATON FL                07/20</t>
  </si>
  <si>
    <t>PEI WEI #0203  Q02 BOCA RATON FL             07/19</t>
  </si>
  <si>
    <t>ATM CHECK DEPOSIT 07/20 714 NW 51ST ST BOCA RATON FL</t>
  </si>
  <si>
    <t>DUNKIN #353914 Q35 BOCA RATON FL             07/18</t>
  </si>
  <si>
    <t>CHECK</t>
  </si>
  <si>
    <t xml:space="preserve">CHECK 4102  </t>
  </si>
  <si>
    <t>CHECK_PAID</t>
  </si>
  <si>
    <t>PUBLIX SUPER MAR 1001 BOCA RATON FL  807806  07/18</t>
  </si>
  <si>
    <t>BARNESNOBLE 1400 Glade BOCA RATON FL 964366  07/18</t>
  </si>
  <si>
    <t>Online Payment 7324174953 To Gardens North Condo Association 07/18</t>
  </si>
  <si>
    <t>BILLPAY</t>
  </si>
  <si>
    <t>SWEET TOMATOES 80 Q14 BOCA RATON FL          07/17</t>
  </si>
  <si>
    <t>FAU- TRAFFIC &amp; PARKING BOCA RATON FL         07/17</t>
  </si>
  <si>
    <t>BIERGARTEN BOCA RATON FL                     07/17</t>
  </si>
  <si>
    <t>FPL DIRECT DEBIT ELEC PYMT  6111089451 WEBI WEB ID: 3590247775</t>
  </si>
  <si>
    <t>WINN-DIXIE   #03 7024 BOCA RATON FL          07/17 Purchase $19.25 Cash Back $20.00</t>
  </si>
  <si>
    <t>BARNESNOBLE 1400 Glade BOCA RATON FL 241578  07/17</t>
  </si>
  <si>
    <t>PACKY'S SPORTS PUB L LIGHTHOUSE PO FL        07/16</t>
  </si>
  <si>
    <t>UNITED      016716375 800-932-2732 TX        07/15</t>
  </si>
  <si>
    <t>AMERICAN AIR00171637506 FORT WORTH TX        07/15</t>
  </si>
  <si>
    <t>Tipsy Boar Hollywood FL                      07/15</t>
  </si>
  <si>
    <t>EXPEDIA 7366242798802 EXPEDIA.COM WA         07/15</t>
  </si>
  <si>
    <t>BARNESNOBLE 1400 Glade BOCA RATON FL 827159  07/15</t>
  </si>
  <si>
    <t>CVS/PHARMACY #03 03818 BOCA RATON FL 547136  07/15</t>
  </si>
  <si>
    <t>SHELL Service Station HOLLYWOOD FL   080507  07/15</t>
  </si>
  <si>
    <t>BARNESNOBLE 1400 Glade BOCA RATON FL 205169  07/15</t>
  </si>
  <si>
    <t>ROBOT BREWING COMPANY BOCA RATON FL          07/14</t>
  </si>
  <si>
    <t>PUBLIX SUPER MAR 21230 BOCA RATON FL         07/14 Purchase $20.78 Cash Back $20.00</t>
  </si>
  <si>
    <t>HAIR CUTTERY #3983 BOCA RATON FL             07/15</t>
  </si>
  <si>
    <t>BARNESNOBLE 1400 Glade BOCA RATON FL 318228  07/14</t>
  </si>
  <si>
    <t>DEATH OR GLORY DELRAY BEACH FL               07/14</t>
  </si>
  <si>
    <t>PUBLIX SUPER MAR 1001 BOCA RATON FL  628619  07/13</t>
  </si>
  <si>
    <t>WITHDRAWAL 07/13</t>
  </si>
  <si>
    <t>PEI WEI #0203  Q02 BOCA RATON FL             07/12</t>
  </si>
  <si>
    <t>SHELL Service Station BOCA RATON FL  043016  07/12</t>
  </si>
  <si>
    <t>ROBOT BREWING COMPANY BOCA RATON FL          07/11</t>
  </si>
  <si>
    <t>THE SEED BOCA RATON FL                       07/12</t>
  </si>
  <si>
    <t>PUBLIX SUPER MAR 1001 BOCA RATON FL  322764  07/11</t>
  </si>
  <si>
    <t>WORLD OF BEER PLANTATION FL                  07/10</t>
  </si>
  <si>
    <t>BIERGARTEN BOCA RATON FL                     07/10</t>
  </si>
  <si>
    <t>BOCAS PREMIER DRY YAMAT BOCA RATON FL        07/09</t>
  </si>
  <si>
    <t>PUBLIX SUPER MAR 1001 BOCA RATON FL  750871  07/08</t>
  </si>
  <si>
    <t>WM SUPERC Wal-Mart Sup BOCA RATON FL         07/08</t>
  </si>
  <si>
    <t>GUITAR CENTER #770 HALLANDALE FL             07/08</t>
  </si>
  <si>
    <t>ROBOT BREWING COMPANY BOCA RATON FL          07/07</t>
  </si>
  <si>
    <t>SHELL Service Station HOLLYWOOD FL   043544  07/07</t>
  </si>
  <si>
    <t>MICKEY BYRNES IRISH PUB HOLLYWOOD FL         07/07</t>
  </si>
  <si>
    <t>ATM WITHDRAWAL                       009118  07/071701 E YO</t>
  </si>
  <si>
    <t>BARNESNOBLE 1400 Glade BOCA RATON FL 136236  07/07</t>
  </si>
  <si>
    <t>PUBLIX SUPER MAR 1001 BOCA RATON FL  351075  07/06</t>
  </si>
  <si>
    <t>BARNESNOBLE 1400 Glade BOCA RATON FL 734817  07/06</t>
  </si>
  <si>
    <t>SWEET TOMATOES 80 Q14 BOCA RATON FL          07/05</t>
  </si>
  <si>
    <t>THE SEED BOCA RATON FL                       07/06</t>
  </si>
  <si>
    <t>WM SUPERC Wal-Mart Sup BOCA RATON FL         07/05</t>
  </si>
  <si>
    <t>SHELL Service Station DELRAY BEACH FL066596  07/05</t>
  </si>
  <si>
    <t>PUBLIX SUPER MAR 5050 BOCA RATON FL  813314  07/05</t>
  </si>
  <si>
    <t>BARNESNOBLE 1400 Glade BOCA RATON FL 802562  07/04</t>
  </si>
  <si>
    <t>TST* BOB S PIZZA &amp; A DEERFIELD BEA FL        07/05</t>
  </si>
  <si>
    <t>BARNESNOBLE 1400 Glade BOCA RATON FL 664675  07/04</t>
  </si>
  <si>
    <t>CINEMARK THEATRES 1048 BOCA RATON FL         07/03</t>
  </si>
  <si>
    <t>TILTED KILT-BOCA RATON BOCA RATON FL         07/03</t>
  </si>
  <si>
    <t>BRANDSMART USA -DFB DEERFIELD BEA FL         07/03</t>
  </si>
  <si>
    <t>CHILI'S THE CREEK FORT LAUDERDA FL           07/02</t>
  </si>
  <si>
    <t>SHELL Service Station BOCA RATON FL  097083  07/02</t>
  </si>
  <si>
    <t>Online Transfer to CHK ...3721 transaction#: 7280525053 07/02</t>
  </si>
  <si>
    <t>WM SUPERC Wal-Mart Sup BOCA RATON FL         07/01</t>
  </si>
  <si>
    <t>PUBLIX SUPER MAR 1001 BOCA RATON FL  741288  07/01</t>
  </si>
  <si>
    <t>BARNESNOBLE 1400 Glade BOCA RATON FL 729321  07/01</t>
  </si>
  <si>
    <t>BARNESNOBLE 1400 Glade BOCA RATON FL 763499  07/01</t>
  </si>
  <si>
    <t>CVS/PHARM 03275--686 G BOCA RATON FL         07/01</t>
  </si>
  <si>
    <t>DUFFY'S OF BOCA BOCA RATON FL                06/30</t>
  </si>
  <si>
    <t>WM SUPERC Wal-Mart Sup SUNRISE (W) FL        06/30</t>
  </si>
  <si>
    <t>IKEA SUNRISE SUNRISE FL              932084  06/30</t>
  </si>
  <si>
    <t>WITHDRAWAL 07/02</t>
  </si>
  <si>
    <t>SWEET TOMATOES 80 Q14 BOCA RATON FL          06/29</t>
  </si>
  <si>
    <t>ATM CHECK DEPOSIT 06/30 5950 GLADES RD BOCA RATON FL</t>
  </si>
  <si>
    <t>AT&amp;T</t>
  </si>
  <si>
    <t>YouFit</t>
  </si>
  <si>
    <t>Massage Envy</t>
  </si>
  <si>
    <t>Public Storage</t>
  </si>
  <si>
    <t>Jan, 19</t>
  </si>
  <si>
    <t>Feb</t>
  </si>
  <si>
    <t>Mar</t>
  </si>
  <si>
    <t>Jan-Dec, 2019</t>
  </si>
  <si>
    <t>delta</t>
  </si>
  <si>
    <t>Xfinity = $37.95 (on the 21st)</t>
  </si>
  <si>
    <t>9/20</t>
  </si>
  <si>
    <t>9/21</t>
  </si>
  <si>
    <t>Balance:</t>
  </si>
  <si>
    <t>9/21-10/5</t>
  </si>
  <si>
    <t>Misc exp</t>
  </si>
  <si>
    <t>($212 watches, $65 lesson)</t>
  </si>
  <si>
    <t>9/26</t>
  </si>
  <si>
    <t>Amp</t>
  </si>
  <si>
    <t>pick up Saturday to play over weekend?</t>
  </si>
  <si>
    <t>9/28</t>
  </si>
  <si>
    <t>adjust to match balance</t>
  </si>
  <si>
    <t>Atty</t>
  </si>
  <si>
    <t>9/27</t>
  </si>
  <si>
    <t>Car pmt</t>
  </si>
  <si>
    <t>10/1</t>
  </si>
  <si>
    <t>10/2</t>
  </si>
  <si>
    <t>Mortg</t>
  </si>
  <si>
    <t>Transfer in to maintain balance</t>
  </si>
  <si>
    <t>10/4</t>
  </si>
  <si>
    <t>10/5</t>
  </si>
  <si>
    <t>Assessmt</t>
  </si>
  <si>
    <t>10/6</t>
  </si>
  <si>
    <t>Sam; other stuff</t>
  </si>
  <si>
    <t>Guitar lessons:  Jimi F.</t>
  </si>
  <si>
    <t>10/10</t>
  </si>
  <si>
    <t>Rent Inc</t>
  </si>
  <si>
    <t>Put into savings account</t>
  </si>
  <si>
    <t>Shoes</t>
  </si>
  <si>
    <t>10/12</t>
  </si>
  <si>
    <t>Bonus check</t>
  </si>
  <si>
    <t>TRANSFTER to SAVINGS</t>
  </si>
  <si>
    <t>10/16</t>
  </si>
  <si>
    <t>Tax refund hit</t>
  </si>
  <si>
    <t>10/17</t>
  </si>
  <si>
    <t>Synchronicity Pmt</t>
  </si>
  <si>
    <t>10/18</t>
  </si>
  <si>
    <t>Return shoes to Nordstrom</t>
  </si>
  <si>
    <t>10/19</t>
  </si>
  <si>
    <t>Appraiser (transfer to Gladys)</t>
  </si>
  <si>
    <t>10/27</t>
  </si>
  <si>
    <t>Other expenses</t>
  </si>
  <si>
    <t>Maintain Balance</t>
  </si>
  <si>
    <t>11/2</t>
  </si>
  <si>
    <t>Music ticket</t>
  </si>
  <si>
    <t>11/5</t>
  </si>
  <si>
    <t>11/4</t>
  </si>
  <si>
    <t>transf in</t>
  </si>
  <si>
    <t>transf out</t>
  </si>
  <si>
    <t>Savings:</t>
  </si>
  <si>
    <t>Checking:</t>
  </si>
  <si>
    <t>11/10</t>
  </si>
  <si>
    <t>11/8</t>
  </si>
  <si>
    <t>11/16</t>
  </si>
  <si>
    <t>Address changes.  Update address with:</t>
  </si>
  <si>
    <t>Synchronicity pmt</t>
  </si>
  <si>
    <t>Synchronicity</t>
  </si>
  <si>
    <t>Chase billing</t>
  </si>
  <si>
    <t>11/19</t>
  </si>
  <si>
    <t>Voice translator</t>
  </si>
  <si>
    <t>Bring to balance</t>
  </si>
  <si>
    <t>FPL</t>
  </si>
  <si>
    <t>Increase to cover car pmt</t>
  </si>
  <si>
    <t>11/27</t>
  </si>
  <si>
    <t>11/30</t>
  </si>
  <si>
    <t>12/2</t>
  </si>
  <si>
    <t>12/4</t>
  </si>
  <si>
    <t>12/14</t>
  </si>
  <si>
    <t>12/16</t>
  </si>
  <si>
    <t>12/27</t>
  </si>
  <si>
    <t>12/28</t>
  </si>
  <si>
    <t>1/2</t>
  </si>
  <si>
    <t>1/4</t>
  </si>
  <si>
    <t>11/18</t>
  </si>
  <si>
    <t>Pedal:  Sam Ash</t>
  </si>
  <si>
    <t>2019 Budget</t>
  </si>
  <si>
    <t>2018 Budget</t>
  </si>
  <si>
    <t>12/10</t>
  </si>
  <si>
    <t>Christmas gifts</t>
  </si>
  <si>
    <t>11/20</t>
  </si>
  <si>
    <t>11/23</t>
  </si>
  <si>
    <t>11/29</t>
  </si>
  <si>
    <t>12/3</t>
  </si>
  <si>
    <t>Assessmt (last one)</t>
  </si>
  <si>
    <t>12/1-2</t>
  </si>
  <si>
    <t>DR Trip</t>
  </si>
  <si>
    <t>1/3</t>
  </si>
  <si>
    <t>12/5</t>
  </si>
  <si>
    <t>Increase to cover rent</t>
  </si>
  <si>
    <t>current --&gt;</t>
  </si>
  <si>
    <t>M Bal</t>
  </si>
  <si>
    <t>Esur (Nov)</t>
  </si>
  <si>
    <t>12/25</t>
  </si>
  <si>
    <t>12/26</t>
  </si>
  <si>
    <t>Jan</t>
  </si>
  <si>
    <t>POS DEBIT                MASSAGE ENVY 0180         BOCA RATON   FL</t>
  </si>
  <si>
    <t>POS DEBIT                PUBLIX SUPER MAR 21230    BOCA RATON   FL</t>
  </si>
  <si>
    <t>POS DEBIT                NEW ROYAL DAY SPA INC    KEY LARGO     FL</t>
  </si>
  <si>
    <t>POS DEBIT                GILBERTS RESORT          KEY LARGO     FL</t>
  </si>
  <si>
    <t>POS DEBIT                APL*ITUNES.COM/BILL      800-275-2273  CA</t>
  </si>
  <si>
    <t>Category</t>
  </si>
  <si>
    <t>POS DEBIT                GOTINDER.COM/HELP         000-0000000  TX</t>
  </si>
  <si>
    <t>POS DEBIT                CRAZY UNCLE MIKES        BOCA RATON    FL</t>
  </si>
  <si>
    <t>Netflix.com netflix.com CA                   01/02</t>
  </si>
  <si>
    <t>PUBLIC STORAGE 26829 800-567-0759 FL         01/02</t>
  </si>
  <si>
    <t>BARNESNOBLE 1400 Glade BOCA RATON FL 825108  01/03</t>
  </si>
  <si>
    <t>ORIG CO NAME:THE GARDENS NORT CO ENTRY DESCR:LOCKBOX    SEC:PPD                        ORIG ID:1592314821</t>
  </si>
  <si>
    <t>ATM DEBIT 3901 N FEDERAL HWY       BOCA RATON   FL</t>
  </si>
  <si>
    <t>POS DEBIT                PUBLIX SUPER MAR 4141 N   BOCA RATON   FL</t>
  </si>
  <si>
    <t>POS DEBIT                APL* ITUNES.COM/BILL      866-712-7753 CA</t>
  </si>
  <si>
    <t>POS DEBIT                CRAZY UNCLE MIKES         BOCA RATON   FL</t>
  </si>
  <si>
    <t>POS DEBIT                SUPERCUTS                 BOCA RATON   FL</t>
  </si>
  <si>
    <t>POS DEBIT                CHEVRON/GRYPHON 2080 MG   FT. LAUDERDA FL</t>
  </si>
  <si>
    <t>POS DEBIT                CVS/PHARMACY #03 03818-   BOCA RATON   FL</t>
  </si>
  <si>
    <t>WHOLEFDS BCA 101 1400B BOCA RATON FL 144255  01/04</t>
  </si>
  <si>
    <t>Forecasted</t>
  </si>
  <si>
    <t>ORIG CO NAME:FPL DIRECT DEBIT CO ENTRY DESCR:ELEC PYMT  SEC:PPD                        ORIG ID:3590247775</t>
  </si>
  <si>
    <t>POS DEBIT                MY MUSIC MASTER CLASS    GLENDALE      CA</t>
  </si>
  <si>
    <t>Synchrony</t>
  </si>
  <si>
    <t>POS DEBIT                RAW JUCE                 BOCA RATON    FL</t>
  </si>
  <si>
    <t>POS DEBIT                POLLO TROPICAL 10247     BOCA RATON    FL</t>
  </si>
  <si>
    <t>TOTAL WINE AND MORE 90 BOCA RATON FL 263705  01/09</t>
  </si>
  <si>
    <t>SHELL Service Station BOCA RATON FL  076301  01/09</t>
  </si>
  <si>
    <t>Current balance:</t>
  </si>
  <si>
    <t>POS DEBIT                SHELL SERVICE STATION     LAUDERHILL   FL</t>
  </si>
  <si>
    <t>POS DEBIT                JO BABY                   LAUDERHILL   FL</t>
  </si>
  <si>
    <t>POS DEBIT                ANTHONYS COAL FIRED PIZ  BOCA RATON    FL</t>
  </si>
  <si>
    <t>POS DEBIT                SQ *LAUDERALE            Fort Lauderd  FL</t>
  </si>
  <si>
    <t>NON-CHASE ATM WITHDRAW               294805  01/117024 BERA</t>
  </si>
  <si>
    <t>PUBLIX SUPER MAR 21230 BOCA RATON FL 701032  01/11</t>
  </si>
  <si>
    <t>First Watch Restaurants BOCA RATON FL        01/10</t>
  </si>
  <si>
    <t>7024 BERACASAWAY BOCA RATON FL       294805  01/11</t>
  </si>
  <si>
    <t>Deposit/Withdr</t>
  </si>
  <si>
    <t>Achieved balance:</t>
  </si>
  <si>
    <t>POS DEBIT                APL* ITUNES.COM/BILL     866-712-7753  CA</t>
  </si>
  <si>
    <t>gotinder.com/help 000-0000000 TX             01/15</t>
  </si>
  <si>
    <t>PUBLIX SUPER MAR 4141 BOCA RATON FL  317230  01/14</t>
  </si>
  <si>
    <t>Savings</t>
  </si>
  <si>
    <t>Checking</t>
  </si>
  <si>
    <t>cover rent, mortgage, car, HOA</t>
  </si>
  <si>
    <t>GUITAR CENTER #791 DELRAY BEACH FL           01/16</t>
  </si>
  <si>
    <t>POS DEBIT                POLLO TROPICAL 10058     DELRAY BEACH  FL</t>
  </si>
  <si>
    <t>POS DEBIT                STARBUCKS STORE 21822     DELRAY BEACH FL</t>
  </si>
  <si>
    <t>POS DEBIT                GUITAR CENTER #791        DELRAY BEACH FL</t>
  </si>
  <si>
    <t>POS DEBIT                GUITARCENTER.COM CALL     DRAPER       UT</t>
  </si>
  <si>
    <t>POS DEBIT                DR DAVID GOLDBERG         BOCA RATON   FL</t>
  </si>
  <si>
    <t>POS DEBIT                MARATHON PETRO149062     BOCA RATON    FL</t>
  </si>
  <si>
    <t>gotinder.com/help 000-0000000 TX             01/17</t>
  </si>
  <si>
    <t>WHOLEFDS BCA 101 1400B BOCA RATON FL 858599  01/17</t>
  </si>
  <si>
    <t>POS DEBIT                CORNER PORCH             DELRAY BEACH  FL</t>
  </si>
  <si>
    <t>Synchrony Bank   CC PYMT    602052281390228 TEL ID: 9856794001</t>
  </si>
  <si>
    <t>POS DEBIT                SUBWAY RESTAURANT         LAUDERDALE L FL</t>
  </si>
  <si>
    <t>POS DEBIT                THE HOME DEPOT #6315      DELRAY BEACH FL</t>
  </si>
  <si>
    <t>ONLINE TRANSFER TO CHK ...3721 TRANSACTION#: 7867603097 01/22</t>
  </si>
  <si>
    <t>POS DEBIT                BOCA MART, INC.           BOCA RATON   FL</t>
  </si>
  <si>
    <t>POS DEBIT                7-ELEVEN 34819            WESTON       FL</t>
  </si>
  <si>
    <t>POS DEBIT                APL*ITUNES.COM/BILL       800-275-2273 CA</t>
  </si>
  <si>
    <t>POS DEBIT                STARBUCKS STORE 08588    BOCA RATON    FL</t>
  </si>
  <si>
    <t>POS DEBIT                IN *CENTER FOR HEALTH    BOCA RATON    FL</t>
  </si>
  <si>
    <t>POS DEBIT                COMCAST/XFINITY          800-266-2278  FL</t>
  </si>
  <si>
    <t>POS DEBIT                LATINAMERICANCUPID.COM    SOUTHPORT    PA</t>
  </si>
  <si>
    <t>WHOLEFDS BCA 101 1400B BOCA RATON FL 000597  01/24</t>
  </si>
  <si>
    <t>SWEET TOMATOES 80 Q14 BOCA RATON FL          01/23</t>
  </si>
  <si>
    <t>TRADER JOE'S #771 QPS DELRAY BEACH FL478626  01/23</t>
  </si>
  <si>
    <t>Med/Dental</t>
  </si>
  <si>
    <t>HAIR CUTTERY #2846 DEERFIELD BEA FL          01/25</t>
  </si>
  <si>
    <t>POS DEBIT                UROMEDIX-EU6             SUNRISE       FL</t>
  </si>
  <si>
    <t>POS DEBIT                ABC*YOUFIT HEALTH CLUB   561-3672326   FL</t>
  </si>
  <si>
    <t>TOTAL WINE AND MORE 90 BOCA RATON FL 345568  01/28</t>
  </si>
  <si>
    <t>PUBLIX SUPER MAR 4141 BOCA RATON FL  950786  01/27</t>
  </si>
  <si>
    <t>TRADER JOE'S #771 QPS DELRAY BEACH FL092948  01/27</t>
  </si>
  <si>
    <t>WHOLEFDS BCA 101 1400B BOCA RATON FL 337627  01/27</t>
  </si>
  <si>
    <t>BARNESNOBLE 1400 Glade BOCA RATON FL 753217  01/27</t>
  </si>
  <si>
    <t>WHOLEFDS BCA 101 1400B BOCA RATON FL 338865  01/27</t>
  </si>
  <si>
    <t>SUNPASS*ACC588612 888-865-5352 FL            01/27</t>
  </si>
  <si>
    <t>MARATHON PETRO14 BOCA RATON FL       885321  01/26</t>
  </si>
  <si>
    <t>FUNKY BUDDHA LOUNGE AND BOCA RATON FL        01/26</t>
  </si>
  <si>
    <t>WHOLEFDS BCA 101 1400B BOCA RATON FL 605797  01/26</t>
  </si>
  <si>
    <t>STARBUCKS STORE 08257 BOCA RATON FL          01/26</t>
  </si>
  <si>
    <t>ATM WITHDRAWAL                       009561  01/263901 N FE</t>
  </si>
  <si>
    <t>SUNPASS*ACC588612 888-865-5352 FL            01/26</t>
  </si>
  <si>
    <t>CRAZY UNCLE MIKES BOCA RATON FL              01/25</t>
  </si>
  <si>
    <t>DR DAVID GOLDBERG BOCA RATON FL              01/25</t>
  </si>
  <si>
    <t>PUBLIX SUPER MAR 5050 BOCA RATON FL  761010  01/29</t>
  </si>
  <si>
    <t>CVS/PHARMACY #00 00770 BOCA RATON FL 016361  01/31</t>
  </si>
  <si>
    <t>POLLO TROPICAL 10058 DELRAY BEACH FL         01/30</t>
  </si>
  <si>
    <t>BOCAS PREMIER DRY YAMAT BOCA RATON FL        01/30</t>
  </si>
  <si>
    <t>SHELL Service Station DELRAY BEACH FL005489  01/30</t>
  </si>
  <si>
    <t>PUBLIX SUPER MAR 5050 BOCA RATON FL  314410  01/30</t>
  </si>
  <si>
    <t>GUITAR CENTER #791 DELRAY BEACH FL           01/29</t>
  </si>
  <si>
    <t>POS DEBIT                TST* YUCA RESTAU          MIAMI BEACH  FL</t>
  </si>
  <si>
    <t>POS DEBIT                PARK ONE OF FLORDIA       MIAMI        FL</t>
  </si>
  <si>
    <t>POS DEBIT                BB *PEREZ ART MUSEUM      MIAMI        FL</t>
  </si>
  <si>
    <t>POS DEBIT                CRAZY UNCLE MIKE          BOCA RATON   FL</t>
  </si>
  <si>
    <t>POS DEBIT                MARATHON PETRO14          BOCA RATON   FL</t>
  </si>
  <si>
    <t>POS DEBIT                PUBLIC STORAGE 26829      BOCA RATON   FL</t>
  </si>
  <si>
    <t>POS DEBIT                NETFLIX.COM               NETFLIX.COM  CA                                                                                                                                                                                                                                                                   00NN08172</t>
  </si>
  <si>
    <t>ATM WITHDRAWAL                       006454  02/011850 N FE</t>
  </si>
  <si>
    <t>IN *CENTER FOR HEALTH 561-7899558 FL         01/31</t>
  </si>
  <si>
    <t>POS DEBIT                AVENTURA EYE SPECIALIS    WEESTON      FL</t>
  </si>
  <si>
    <t>POS DEBIT                TOTAL WINE AND MORE 905   BOCA RATON   FL</t>
  </si>
  <si>
    <t>POS DEBIT                BEDBATH&amp;BEYOND# 1400C G   BOCA RATON   FL</t>
  </si>
  <si>
    <t>POS DEBIT                HAIR CUTTERY #2846        DEERFIELD BE FL</t>
  </si>
  <si>
    <t>POS DEBIT                CABANA NUEVO LATINO- D   DELRAY BEACH  FL</t>
  </si>
  <si>
    <t>POS DEBIT                TST* ALL MEATS B         BOCA RATON    FL</t>
  </si>
  <si>
    <t>POS DEBIT                CRAZY UNCLE MIKE         BOCA RATON    FL</t>
  </si>
  <si>
    <t>POS DEBIT                818 HEAT                  BOCA RATON   FL</t>
  </si>
  <si>
    <t>CRAZY UNCLE MIKES BOCA RATON FL              02/06</t>
  </si>
  <si>
    <t>WHOLEFDS BCA 101 1400B BOCA RATON FL         02/07 Purchase $2.49 Cash Back $10.00</t>
  </si>
  <si>
    <t>BOCA MART, INC. BOCA RATON FL                02/07</t>
  </si>
  <si>
    <t>POLLO TROPICAL 10247 BOCA RATON FL           02/06</t>
  </si>
  <si>
    <t>Online Transfer from SAV ...0138 transaction#: 7919850372</t>
  </si>
  <si>
    <t>FPL DIRECT DEBIT ELEC PYMT                  PPD ID: 3590247775</t>
  </si>
  <si>
    <t>PUBLIX SUPER MAR 9846 BOCA RATON FL  062362  02/06</t>
  </si>
  <si>
    <t>PETCO 1789 BOCA RATON FL             132613  02/06</t>
  </si>
  <si>
    <t>PUBLIX SUPER MAR 4141 BOCA RATON FL  228297  02/06</t>
  </si>
  <si>
    <t>TRADER JOE'S #771 QPS DELRAY BEACH FL539567  02/06</t>
  </si>
  <si>
    <t>POLLO TROPICAL 10058 DELRAY BEACH FL         02/05</t>
  </si>
  <si>
    <t>IN *CENTER FOR HEALTH 561-7899558 FL         02/05</t>
  </si>
  <si>
    <t>BIERGARTEN BOCA RATON FL                     02/05</t>
  </si>
  <si>
    <t>MARATHON PETRO14 BOCA RATON FL       797802  02/05</t>
  </si>
  <si>
    <t>WITHDRAWAL 02/05</t>
  </si>
  <si>
    <t>PUBLIX SUPER MAR 4141 BOCA RATON FL  615534  02/05</t>
  </si>
  <si>
    <t>IKEA.COM 320623212 888-434-4532 MD           02/04</t>
  </si>
  <si>
    <t>Household</t>
  </si>
  <si>
    <t>Rent deposit</t>
  </si>
  <si>
    <t>POS DEBIT                IN *CENTER FOR HEALTH     BOCA RATON   FL</t>
  </si>
  <si>
    <t>POS DEBIT                ROBOT BREWING COMPANY    BOCA RATON    FL</t>
  </si>
  <si>
    <t>ATM WITHDRAWAL                       004811  02/123901 N FE</t>
  </si>
  <si>
    <t>CRAZY UNCLE MIKES BOCA RATON FL              02/10</t>
  </si>
  <si>
    <t>PUBLIX SUPER MAR 4141 BOCA RATON FL  903245  02/11</t>
  </si>
  <si>
    <t>THE HOME DEPOT #6315 DELRAY BEACH FL 635836  02/11</t>
  </si>
  <si>
    <t>WHOLEFDS BCA 101 1400B BOCA RATON FL 623640  02/11</t>
  </si>
  <si>
    <t>POS DEBIT                STARBUCKS STORE 08588     BOCA RATON   FL</t>
  </si>
  <si>
    <t>POS DEBIT                TRADER JOE'S #771 QPS     DELRAY BEACH FL</t>
  </si>
  <si>
    <t>POS DEBIT                PRIP MART 199             BOCA RATON   FL</t>
  </si>
  <si>
    <t>CRAZY UNCLE MIKES BOCA RATON FL              02/13</t>
  </si>
  <si>
    <t>POLLO TROPICAL 10058 DELRAY BEACH FL         02/13</t>
  </si>
  <si>
    <t>GUITAR CENTER #791 DELRAY BEACH FL           02/13</t>
  </si>
  <si>
    <t>SWEET TOMATOES 80 Q14 BOCA RATON FL          02/13</t>
  </si>
  <si>
    <t>THE HOME DEPOT #6315 DELRAY BEACH FL 063173  02/13</t>
  </si>
  <si>
    <t>book</t>
  </si>
  <si>
    <t>Music/hobbies</t>
  </si>
  <si>
    <t>Kia</t>
  </si>
  <si>
    <t>Paycheck (2/22)</t>
  </si>
  <si>
    <t>WHOLEFDS BCA 101 1400B BOCA RATON FL 907356  02/21</t>
  </si>
  <si>
    <t>MARATHON PETRO14 BOCA RATON FL       773033  02/21</t>
  </si>
  <si>
    <t>PUBLIX SUPER MAR 4141 BOCA RATON FL  621274  02/21</t>
  </si>
  <si>
    <t>POLLO TROPICAL 10058 DELRAY BEACH FL         02/20</t>
  </si>
  <si>
    <t>STARBUCKS STORE 08588 BOCA RATON FL          02/20</t>
  </si>
  <si>
    <t>HAIR CUTTERY #3983 BOCA RATON FL             02/20</t>
  </si>
  <si>
    <t>WHOLEFDS BCA 101 1400B BOCA RATON FL 861016  02/20</t>
  </si>
  <si>
    <t>STARBUCKS STORE 08588 BOCA RATON FL          02/19</t>
  </si>
  <si>
    <t>Online Transfer to CHK ...3721 transaction#: 7954030791 02/19</t>
  </si>
  <si>
    <t>POS DEBIT                SQ *BOCA WALK IN ORTHO    BOCA RATON   FL</t>
  </si>
  <si>
    <t>POS DEBIT                ABC*YOUFIT HEALTH CLUB    561-3672326  FL</t>
  </si>
  <si>
    <t>POS DEBIT                STARBUCKS STORE 08257     BOCA RATON   FL</t>
  </si>
  <si>
    <t>POS CREDIT               THE HOME DEPOT #6315      DELRAY BEACH FL</t>
  </si>
  <si>
    <t>POS DEBIT                NORDSTROM RACK # 1400 G   BOCA RATON   FL</t>
  </si>
  <si>
    <t>POS DEBIT                COMCAST/XFINITY           800-266-2278 FL</t>
  </si>
  <si>
    <t>POS DEBIT                HOMEDEPOT.COM             800-430-3376 GA</t>
  </si>
  <si>
    <t>POS DEBIT                RAMI PETROLEUM,           POMPANO BEAC FL</t>
  </si>
  <si>
    <t>POS DEBIT                THE HOME DEPOT #0218      DEERFIELD BE FL</t>
  </si>
  <si>
    <t>POS DEBIT                APL*ITUNES.COM/BILL       866-712-7753 CA</t>
  </si>
  <si>
    <t>PUBLIX SUPER MAR 21230 BOCA RATON FL 756885  02/22</t>
  </si>
  <si>
    <t>Clothes</t>
  </si>
  <si>
    <t>Youfit</t>
  </si>
  <si>
    <t>COMCAST/XFINITY 800-266-2278 FL              02/25</t>
  </si>
  <si>
    <t>PUBLIX SUPER MAR 21230 BOCA RATON FL 735573  02/25</t>
  </si>
  <si>
    <t>POS DEBIT                ECHST.NET                 866-452-5108 WA</t>
  </si>
  <si>
    <t>BIERGARTEN BOCA RATON FL                     02/26</t>
  </si>
  <si>
    <t>ABC*YOUFIT HEALTH CLUB 561-3672326 FL        02/25</t>
  </si>
  <si>
    <t>TOTAL WINE AND MORE 90 BOCA RATON FL 223633  02/26</t>
  </si>
  <si>
    <t>SECUREHOOKUP.COM/BILL 833-344-3573 CA        02/25</t>
  </si>
  <si>
    <t>CRAZY UNCLE MIKES BOCA RATON FL              02/24</t>
  </si>
  <si>
    <t>$25 Bday tip</t>
  </si>
  <si>
    <t>annual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</si>
</sst>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;@"/>
    <numFmt numFmtId="165" formatCode="_(&quot;$&quot;* #,##0_);_(&quot;$&quot;* \(#,##0\);_(&quot;$&quot;* &quot;-&quot;??_);_(@_)"/>
    <numFmt numFmtId="166" formatCode="0.000"/>
    <numFmt numFmtId="167" formatCode="#,###,;\(#,###,\);\-"/>
    <numFmt numFmtId="168" formatCode="_(* #,##0_);_(* \(#,##0\);_(* &quot;-&quot;??_);_(@_)"/>
    <numFmt numFmtId="169" formatCode="mmm\-dd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b/>
      <u val="singleAccounting"/>
      <sz val="14"/>
      <color theme="1"/>
      <name val="Calibri"/>
      <family val="2"/>
      <scheme val="minor"/>
    </font>
    <font>
      <b/>
      <u val="doubleAccounting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70C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6"/>
      <color rgb="FF00B0F0"/>
      <name val="Calibri"/>
      <family val="2"/>
      <scheme val="minor"/>
    </font>
    <font>
      <b/>
      <sz val="11"/>
      <color indexed="81"/>
      <name val="Tahoma"/>
      <family val="2"/>
    </font>
    <font>
      <b/>
      <sz val="11"/>
      <color rgb="FF00B05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E1FE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F9FE"/>
        <bgColor indexed="64"/>
      </patternFill>
    </fill>
    <fill>
      <patternFill patternType="solid">
        <fgColor theme="6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ashed">
        <color theme="0" tint="-0.34998626667073579"/>
      </top>
      <bottom style="dashed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theme="2" tint="-0.24994659260841701"/>
      </top>
      <bottom style="hair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/>
      <diagonal/>
    </border>
    <border>
      <left/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/>
      <top/>
      <bottom/>
      <diagonal/>
    </border>
    <border>
      <left/>
      <right style="thin">
        <color theme="2" tint="-0.24994659260841701"/>
      </right>
      <top/>
      <bottom/>
      <diagonal/>
    </border>
    <border>
      <left style="thin">
        <color theme="2" tint="-0.24994659260841701"/>
      </left>
      <right/>
      <top/>
      <bottom style="thin">
        <color theme="2" tint="-0.24994659260841701"/>
      </bottom>
      <diagonal/>
    </border>
    <border>
      <left/>
      <right style="thin">
        <color theme="2" tint="-0.24994659260841701"/>
      </right>
      <top/>
      <bottom style="thin">
        <color theme="2" tint="-0.24994659260841701"/>
      </bottom>
      <diagonal/>
    </border>
    <border>
      <left style="medium">
        <color rgb="FF0BADE7"/>
      </left>
      <right/>
      <top style="medium">
        <color rgb="FF0BADE7"/>
      </top>
      <bottom style="medium">
        <color rgb="FF0BADE7"/>
      </bottom>
      <diagonal/>
    </border>
    <border>
      <left/>
      <right style="medium">
        <color rgb="FF0BADE7"/>
      </right>
      <top style="medium">
        <color rgb="FF0BADE7"/>
      </top>
      <bottom style="medium">
        <color rgb="FF0BADE7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164" fontId="0" fillId="0" borderId="0" xfId="0" applyNumberFormat="1" applyAlignment="1">
      <alignment horizontal="left"/>
    </xf>
    <xf numFmtId="0" fontId="16" fillId="0" borderId="0" xfId="0" applyFont="1"/>
    <xf numFmtId="43" fontId="0" fillId="0" borderId="0" xfId="1" applyFont="1"/>
    <xf numFmtId="0" fontId="0" fillId="33" borderId="0" xfId="0" applyFill="1"/>
    <xf numFmtId="164" fontId="0" fillId="33" borderId="0" xfId="0" applyNumberFormat="1" applyFill="1" applyAlignment="1">
      <alignment horizontal="left"/>
    </xf>
    <xf numFmtId="43" fontId="0" fillId="33" borderId="0" xfId="1" applyFont="1" applyFill="1"/>
    <xf numFmtId="0" fontId="0" fillId="34" borderId="0" xfId="0" applyFill="1"/>
    <xf numFmtId="164" fontId="0" fillId="34" borderId="0" xfId="0" applyNumberFormat="1" applyFill="1" applyAlignment="1">
      <alignment horizontal="left"/>
    </xf>
    <xf numFmtId="43" fontId="0" fillId="34" borderId="0" xfId="1" applyFont="1" applyFill="1"/>
    <xf numFmtId="0" fontId="0" fillId="0" borderId="10" xfId="0" applyBorder="1"/>
    <xf numFmtId="0" fontId="21" fillId="0" borderId="10" xfId="0" applyFont="1" applyBorder="1"/>
    <xf numFmtId="0" fontId="0" fillId="36" borderId="0" xfId="0" applyFill="1"/>
    <xf numFmtId="0" fontId="0" fillId="0" borderId="0" xfId="0" quotePrefix="1"/>
    <xf numFmtId="164" fontId="0" fillId="36" borderId="0" xfId="0" applyNumberFormat="1" applyFill="1" applyAlignment="1">
      <alignment horizontal="left"/>
    </xf>
    <xf numFmtId="43" fontId="0" fillId="36" borderId="0" xfId="1" applyFont="1" applyFill="1"/>
    <xf numFmtId="43" fontId="0" fillId="0" borderId="0" xfId="0" applyNumberFormat="1"/>
    <xf numFmtId="43" fontId="0" fillId="35" borderId="0" xfId="1" applyFont="1" applyFill="1"/>
    <xf numFmtId="0" fontId="0" fillId="37" borderId="0" xfId="0" applyFill="1"/>
    <xf numFmtId="164" fontId="0" fillId="37" borderId="0" xfId="0" applyNumberFormat="1" applyFill="1" applyAlignment="1">
      <alignment horizontal="left"/>
    </xf>
    <xf numFmtId="43" fontId="0" fillId="37" borderId="0" xfId="1" applyFont="1" applyFill="1"/>
    <xf numFmtId="0" fontId="16" fillId="38" borderId="0" xfId="0" applyFont="1" applyFill="1"/>
    <xf numFmtId="0" fontId="0" fillId="0" borderId="11" xfId="0" applyBorder="1"/>
    <xf numFmtId="0" fontId="0" fillId="0" borderId="12" xfId="0" applyBorder="1"/>
    <xf numFmtId="164" fontId="0" fillId="0" borderId="12" xfId="0" applyNumberFormat="1" applyBorder="1" applyAlignment="1">
      <alignment horizontal="left"/>
    </xf>
    <xf numFmtId="43" fontId="0" fillId="0" borderId="12" xfId="1" applyFont="1" applyBorder="1"/>
    <xf numFmtId="43" fontId="0" fillId="0" borderId="13" xfId="1" applyFont="1" applyBorder="1"/>
    <xf numFmtId="0" fontId="0" fillId="0" borderId="14" xfId="0" applyBorder="1"/>
    <xf numFmtId="0" fontId="0" fillId="0" borderId="15" xfId="0" applyBorder="1"/>
    <xf numFmtId="164" fontId="0" fillId="0" borderId="15" xfId="0" applyNumberFormat="1" applyBorder="1" applyAlignment="1">
      <alignment horizontal="left"/>
    </xf>
    <xf numFmtId="43" fontId="0" fillId="0" borderId="15" xfId="1" applyFont="1" applyBorder="1"/>
    <xf numFmtId="43" fontId="0" fillId="0" borderId="16" xfId="1" applyFont="1" applyBorder="1"/>
    <xf numFmtId="0" fontId="0" fillId="36" borderId="14" xfId="0" applyFill="1" applyBorder="1"/>
    <xf numFmtId="0" fontId="0" fillId="36" borderId="15" xfId="0" applyFill="1" applyBorder="1"/>
    <xf numFmtId="164" fontId="0" fillId="36" borderId="15" xfId="0" applyNumberFormat="1" applyFill="1" applyBorder="1" applyAlignment="1">
      <alignment horizontal="left"/>
    </xf>
    <xf numFmtId="43" fontId="0" fillId="36" borderId="15" xfId="1" applyFont="1" applyFill="1" applyBorder="1"/>
    <xf numFmtId="43" fontId="0" fillId="36" borderId="16" xfId="1" applyFont="1" applyFill="1" applyBorder="1"/>
    <xf numFmtId="0" fontId="0" fillId="0" borderId="0" xfId="0" pivotButton="1"/>
    <xf numFmtId="41" fontId="0" fillId="0" borderId="0" xfId="0" applyNumberFormat="1"/>
    <xf numFmtId="0" fontId="0" fillId="37" borderId="11" xfId="0" applyFill="1" applyBorder="1"/>
    <xf numFmtId="0" fontId="0" fillId="37" borderId="12" xfId="0" applyFill="1" applyBorder="1"/>
    <xf numFmtId="164" fontId="0" fillId="37" borderId="12" xfId="0" applyNumberFormat="1" applyFill="1" applyBorder="1" applyAlignment="1">
      <alignment horizontal="left"/>
    </xf>
    <xf numFmtId="43" fontId="0" fillId="37" borderId="12" xfId="1" applyFont="1" applyFill="1" applyBorder="1"/>
    <xf numFmtId="43" fontId="0" fillId="37" borderId="13" xfId="1" applyFont="1" applyFill="1" applyBorder="1"/>
    <xf numFmtId="0" fontId="0" fillId="0" borderId="0" xfId="0" applyAlignment="1">
      <alignment horizontal="right"/>
    </xf>
    <xf numFmtId="41" fontId="0" fillId="0" borderId="0" xfId="1" applyNumberFormat="1" applyFont="1"/>
    <xf numFmtId="41" fontId="18" fillId="0" borderId="0" xfId="1" applyNumberFormat="1" applyFont="1"/>
    <xf numFmtId="41" fontId="16" fillId="0" borderId="0" xfId="1" applyNumberFormat="1" applyFont="1"/>
    <xf numFmtId="41" fontId="0" fillId="36" borderId="0" xfId="1" applyNumberFormat="1" applyFont="1" applyFill="1"/>
    <xf numFmtId="41" fontId="20" fillId="0" borderId="0" xfId="1" applyNumberFormat="1" applyFont="1"/>
    <xf numFmtId="41" fontId="21" fillId="0" borderId="10" xfId="1" applyNumberFormat="1" applyFont="1" applyBorder="1"/>
    <xf numFmtId="41" fontId="22" fillId="0" borderId="10" xfId="1" applyNumberFormat="1" applyFont="1" applyBorder="1"/>
    <xf numFmtId="41" fontId="18" fillId="36" borderId="0" xfId="1" applyNumberFormat="1" applyFont="1" applyFill="1"/>
    <xf numFmtId="0" fontId="0" fillId="0" borderId="17" xfId="0" applyBorder="1"/>
    <xf numFmtId="41" fontId="0" fillId="0" borderId="17" xfId="1" applyNumberFormat="1" applyFont="1" applyBorder="1"/>
    <xf numFmtId="41" fontId="0" fillId="36" borderId="17" xfId="1" applyNumberFormat="1" applyFont="1" applyFill="1" applyBorder="1"/>
    <xf numFmtId="41" fontId="21" fillId="0" borderId="0" xfId="1" applyNumberFormat="1" applyFont="1"/>
    <xf numFmtId="0" fontId="23" fillId="0" borderId="0" xfId="0" applyFont="1"/>
    <xf numFmtId="41" fontId="24" fillId="0" borderId="0" xfId="1" applyNumberFormat="1" applyFont="1" applyAlignment="1">
      <alignment horizontal="center"/>
    </xf>
    <xf numFmtId="164" fontId="0" fillId="0" borderId="0" xfId="0" applyNumberFormat="1"/>
    <xf numFmtId="0" fontId="25" fillId="37" borderId="0" xfId="0" applyFont="1" applyFill="1"/>
    <xf numFmtId="43" fontId="25" fillId="37" borderId="0" xfId="1" applyFont="1" applyFill="1"/>
    <xf numFmtId="43" fontId="25" fillId="35" borderId="0" xfId="1" applyFont="1" applyFill="1"/>
    <xf numFmtId="43" fontId="25" fillId="0" borderId="0" xfId="0" applyNumberFormat="1" applyFont="1"/>
    <xf numFmtId="16" fontId="0" fillId="0" borderId="18" xfId="0" applyNumberFormat="1" applyBorder="1"/>
    <xf numFmtId="0" fontId="0" fillId="0" borderId="19" xfId="0" applyBorder="1"/>
    <xf numFmtId="16" fontId="0" fillId="0" borderId="20" xfId="0" applyNumberFormat="1" applyBorder="1"/>
    <xf numFmtId="0" fontId="0" fillId="0" borderId="21" xfId="0" applyBorder="1"/>
    <xf numFmtId="16" fontId="0" fillId="0" borderId="22" xfId="0" applyNumberFormat="1" applyBorder="1"/>
    <xf numFmtId="0" fontId="0" fillId="0" borderId="23" xfId="0" applyBorder="1"/>
    <xf numFmtId="41" fontId="26" fillId="39" borderId="10" xfId="1" applyNumberFormat="1" applyFont="1" applyFill="1" applyBorder="1"/>
    <xf numFmtId="0" fontId="18" fillId="0" borderId="0" xfId="0" applyFont="1"/>
    <xf numFmtId="0" fontId="0" fillId="40" borderId="0" xfId="0" applyFill="1"/>
    <xf numFmtId="41" fontId="22" fillId="35" borderId="10" xfId="1" applyNumberFormat="1" applyFont="1" applyFill="1" applyBorder="1"/>
    <xf numFmtId="0" fontId="0" fillId="41" borderId="0" xfId="0" applyFill="1"/>
    <xf numFmtId="164" fontId="0" fillId="41" borderId="0" xfId="0" applyNumberFormat="1" applyFill="1" applyAlignment="1">
      <alignment horizontal="left"/>
    </xf>
    <xf numFmtId="43" fontId="0" fillId="41" borderId="0" xfId="1" applyFont="1" applyFill="1"/>
    <xf numFmtId="41" fontId="0" fillId="41" borderId="17" xfId="1" applyNumberFormat="1" applyFont="1" applyFill="1" applyBorder="1"/>
    <xf numFmtId="16" fontId="0" fillId="40" borderId="20" xfId="0" applyNumberFormat="1" applyFill="1" applyBorder="1"/>
    <xf numFmtId="0" fontId="0" fillId="40" borderId="21" xfId="0" applyFill="1" applyBorder="1"/>
    <xf numFmtId="16" fontId="0" fillId="40" borderId="22" xfId="0" applyNumberFormat="1" applyFill="1" applyBorder="1"/>
    <xf numFmtId="0" fontId="0" fillId="40" borderId="23" xfId="0" applyFill="1" applyBorder="1"/>
    <xf numFmtId="41" fontId="0" fillId="33" borderId="17" xfId="1" applyNumberFormat="1" applyFont="1" applyFill="1" applyBorder="1"/>
    <xf numFmtId="41" fontId="18" fillId="35" borderId="0" xfId="1" applyNumberFormat="1" applyFont="1" applyFill="1"/>
    <xf numFmtId="41" fontId="0" fillId="35" borderId="17" xfId="1" applyNumberFormat="1" applyFont="1" applyFill="1" applyBorder="1"/>
    <xf numFmtId="165" fontId="0" fillId="0" borderId="0" xfId="43" applyNumberFormat="1" applyFont="1"/>
    <xf numFmtId="165" fontId="29" fillId="0" borderId="0" xfId="43" applyNumberFormat="1" applyFont="1"/>
    <xf numFmtId="165" fontId="30" fillId="0" borderId="0" xfId="43" applyNumberFormat="1" applyFont="1"/>
    <xf numFmtId="16" fontId="0" fillId="0" borderId="0" xfId="0" applyNumberFormat="1"/>
    <xf numFmtId="16" fontId="0" fillId="40" borderId="18" xfId="0" applyNumberFormat="1" applyFill="1" applyBorder="1"/>
    <xf numFmtId="0" fontId="0" fillId="40" borderId="19" xfId="0" applyFill="1" applyBorder="1"/>
    <xf numFmtId="14" fontId="0" fillId="0" borderId="0" xfId="0" applyNumberFormat="1"/>
    <xf numFmtId="14" fontId="0" fillId="38" borderId="0" xfId="0" applyNumberFormat="1" applyFill="1"/>
    <xf numFmtId="0" fontId="0" fillId="38" borderId="0" xfId="0" applyFill="1"/>
    <xf numFmtId="2" fontId="0" fillId="38" borderId="0" xfId="0" applyNumberFormat="1" applyFill="1"/>
    <xf numFmtId="166" fontId="0" fillId="38" borderId="0" xfId="0" applyNumberFormat="1" applyFill="1"/>
    <xf numFmtId="0" fontId="31" fillId="0" borderId="0" xfId="0" applyFont="1" applyAlignment="1">
      <alignment horizontal="left"/>
    </xf>
    <xf numFmtId="41" fontId="0" fillId="40" borderId="0" xfId="0" applyNumberFormat="1" applyFill="1" applyAlignment="1">
      <alignment horizontal="right"/>
    </xf>
    <xf numFmtId="167" fontId="0" fillId="40" borderId="0" xfId="0" quotePrefix="1" applyNumberFormat="1" applyFill="1" applyAlignment="1">
      <alignment horizontal="right"/>
    </xf>
    <xf numFmtId="41" fontId="33" fillId="40" borderId="0" xfId="0" applyNumberFormat="1" applyFont="1" applyFill="1" applyAlignment="1">
      <alignment horizontal="right"/>
    </xf>
    <xf numFmtId="167" fontId="33" fillId="40" borderId="0" xfId="0" quotePrefix="1" applyNumberFormat="1" applyFont="1" applyFill="1" applyAlignment="1">
      <alignment horizontal="right"/>
    </xf>
    <xf numFmtId="0" fontId="33" fillId="40" borderId="0" xfId="0" applyFont="1" applyFill="1"/>
    <xf numFmtId="41" fontId="18" fillId="0" borderId="0" xfId="0" applyNumberFormat="1" applyFont="1" applyAlignment="1">
      <alignment horizontal="right"/>
    </xf>
    <xf numFmtId="41" fontId="34" fillId="40" borderId="0" xfId="0" applyNumberFormat="1" applyFont="1" applyFill="1" applyAlignment="1">
      <alignment horizontal="right"/>
    </xf>
    <xf numFmtId="167" fontId="35" fillId="40" borderId="0" xfId="0" quotePrefix="1" applyNumberFormat="1" applyFont="1" applyFill="1" applyAlignment="1">
      <alignment horizontal="right"/>
    </xf>
    <xf numFmtId="0" fontId="35" fillId="40" borderId="0" xfId="0" applyFont="1" applyFill="1"/>
    <xf numFmtId="41" fontId="0" fillId="0" borderId="0" xfId="0" applyNumberFormat="1" applyAlignment="1">
      <alignment horizontal="right"/>
    </xf>
    <xf numFmtId="0" fontId="0" fillId="40" borderId="0" xfId="0" applyFill="1" applyAlignment="1">
      <alignment horizontal="right"/>
    </xf>
    <xf numFmtId="41" fontId="36" fillId="40" borderId="0" xfId="0" applyNumberFormat="1" applyFont="1" applyFill="1" applyAlignment="1">
      <alignment horizontal="right"/>
    </xf>
    <xf numFmtId="167" fontId="36" fillId="40" borderId="0" xfId="0" quotePrefix="1" applyNumberFormat="1" applyFont="1" applyFill="1" applyAlignment="1">
      <alignment horizontal="right"/>
    </xf>
    <xf numFmtId="0" fontId="36" fillId="40" borderId="0" xfId="0" applyFont="1" applyFill="1"/>
    <xf numFmtId="41" fontId="0" fillId="35" borderId="0" xfId="0" applyNumberFormat="1" applyFill="1" applyAlignment="1">
      <alignment horizontal="right"/>
    </xf>
    <xf numFmtId="167" fontId="0" fillId="35" borderId="0" xfId="0" quotePrefix="1" applyNumberFormat="1" applyFill="1" applyAlignment="1">
      <alignment horizontal="right"/>
    </xf>
    <xf numFmtId="0" fontId="0" fillId="35" borderId="0" xfId="0" applyFill="1"/>
    <xf numFmtId="168" fontId="0" fillId="38" borderId="0" xfId="0" applyNumberFormat="1" applyFill="1"/>
    <xf numFmtId="41" fontId="0" fillId="42" borderId="0" xfId="0" applyNumberFormat="1" applyFill="1" applyAlignment="1">
      <alignment horizontal="right"/>
    </xf>
    <xf numFmtId="167" fontId="0" fillId="42" borderId="0" xfId="0" quotePrefix="1" applyNumberFormat="1" applyFill="1" applyAlignment="1">
      <alignment horizontal="right"/>
    </xf>
    <xf numFmtId="0" fontId="0" fillId="42" borderId="0" xfId="0" applyFill="1"/>
    <xf numFmtId="2" fontId="0" fillId="0" borderId="0" xfId="0" applyNumberFormat="1"/>
    <xf numFmtId="0" fontId="0" fillId="43" borderId="24" xfId="0" applyFill="1" applyBorder="1"/>
    <xf numFmtId="41" fontId="0" fillId="43" borderId="25" xfId="0" applyNumberFormat="1" applyFill="1" applyBorder="1" applyAlignment="1">
      <alignment horizontal="right"/>
    </xf>
    <xf numFmtId="41" fontId="34" fillId="0" borderId="10" xfId="1" applyNumberFormat="1" applyFont="1" applyBorder="1"/>
    <xf numFmtId="168" fontId="0" fillId="44" borderId="0" xfId="1" applyNumberFormat="1" applyFont="1" applyFill="1"/>
    <xf numFmtId="168" fontId="0" fillId="40" borderId="0" xfId="1" applyNumberFormat="1" applyFont="1" applyFill="1"/>
    <xf numFmtId="0" fontId="0" fillId="45" borderId="0" xfId="0" applyFill="1"/>
    <xf numFmtId="164" fontId="0" fillId="44" borderId="0" xfId="0" applyNumberFormat="1" applyFill="1" applyAlignment="1">
      <alignment horizontal="left"/>
    </xf>
    <xf numFmtId="0" fontId="0" fillId="44" borderId="0" xfId="0" applyFill="1"/>
    <xf numFmtId="43" fontId="0" fillId="44" borderId="0" xfId="1" applyFont="1" applyFill="1"/>
    <xf numFmtId="0" fontId="17" fillId="46" borderId="0" xfId="0" applyFont="1" applyFill="1"/>
    <xf numFmtId="43" fontId="17" fillId="46" borderId="0" xfId="1" applyFont="1" applyFill="1"/>
    <xf numFmtId="41" fontId="0" fillId="47" borderId="0" xfId="0" applyNumberFormat="1" applyFill="1"/>
    <xf numFmtId="169" fontId="0" fillId="0" borderId="0" xfId="0" applyNumberFormat="1"/>
    <xf numFmtId="169" fontId="0" fillId="40" borderId="0" xfId="0" applyNumberFormat="1" applyFill="1"/>
    <xf numFmtId="41" fontId="18" fillId="47" borderId="0" xfId="0" applyNumberFormat="1" applyFont="1" applyFill="1"/>
    <xf numFmtId="164" fontId="0" fillId="48" borderId="0" xfId="0" applyNumberFormat="1" applyFill="1" applyAlignment="1">
      <alignment horizontal="left"/>
    </xf>
    <xf numFmtId="0" fontId="0" fillId="48" borderId="0" xfId="0" applyFill="1"/>
    <xf numFmtId="43" fontId="0" fillId="48" borderId="0" xfId="1" applyFont="1" applyFill="1"/>
    <xf numFmtId="0" fontId="19" fillId="0" borderId="0" xfId="0" applyFont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urrency" xfId="43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9">
    <dxf>
      <alignment horizontal="center"/>
    </dxf>
    <dxf>
      <alignment horizontal="center"/>
    </dxf>
    <dxf>
      <alignment horizontal="right"/>
    </dxf>
    <dxf>
      <alignment horizontal="center"/>
    </dxf>
    <dxf>
      <alignment horizontal="center"/>
    </dxf>
    <dxf>
      <numFmt numFmtId="35" formatCode="_(* #,##0.00_);_(* \(#,##0.00\);_(* &quot;-&quot;??_);_(@_)"/>
    </dxf>
    <dxf>
      <alignment horizontal="right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FFCCCC"/>
      <color rgb="FFCAF9FE"/>
      <color rgb="FFCCFF99"/>
      <color rgb="FF0BADE7"/>
      <color rgb="FFE1FE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microsoft.com/office/2017/10/relationships/person" Target="persons/person.xml"/></Relationships>
</file>

<file path=xl/ctrlProps/ctrlProp1.xml><?xml version="1.0" encoding="utf-8"?>
<formControlPr xmlns="http://schemas.microsoft.com/office/spreadsheetml/2009/9/main" objectType="List" dx="22" fmlaLink="$CK$7" fmlaRange="$CJ$7:$CJ$18" sel="3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77</xdr:col>
          <xdr:colOff>114300</xdr:colOff>
          <xdr:row>0</xdr:row>
          <xdr:rowOff>19050</xdr:rowOff>
        </xdr:from>
        <xdr:to>
          <xdr:col>79</xdr:col>
          <xdr:colOff>9525</xdr:colOff>
          <xdr:row>1</xdr:row>
          <xdr:rowOff>171450</xdr:rowOff>
        </xdr:to>
        <xdr:sp macro="" textlink="">
          <xdr:nvSpPr>
            <xdr:cNvPr id="6161" name="List Box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1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umgarten, Allen" id="{E3F287D4-FA7E-4D13-B501-3985227161E5}" userId="S::Allen.Baumgarten@ctca-hope.com::ddaf4b37-e24a-475d-9e3b-bb92584780ef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umgarten, Allen" refreshedDate="43482.674508912038" createdVersion="6" refreshedVersion="6" minRefreshableVersion="3" recordCount="333" xr:uid="{EAB28D24-08AD-429A-87F9-D9D74A482019}">
  <cacheSource type="worksheet">
    <worksheetSource ref="A4:I337" sheet="data"/>
  </cacheSource>
  <cacheFields count="9">
    <cacheField name="Details" numFmtId="0">
      <sharedItems/>
    </cacheField>
    <cacheField name="Month" numFmtId="0">
      <sharedItems containsBlank="1" count="5">
        <s v="Jul"/>
        <s v="Jun"/>
        <s v="May"/>
        <s v="Apr"/>
        <m u="1"/>
      </sharedItems>
    </cacheField>
    <cacheField name="Posting Date" numFmtId="164">
      <sharedItems containsNonDate="0" containsDate="1" containsString="0" containsBlank="1" minDate="2018-04-23T00:00:00" maxDate="2018-07-03T00:00:00" count="57">
        <d v="2018-07-01T00:00:00"/>
        <m/>
        <d v="2018-07-02T00:00:00"/>
        <d v="2018-06-30T00:00:00"/>
        <d v="2018-06-29T00:00:00"/>
        <d v="2018-06-28T00:00:00"/>
        <d v="2018-06-27T00:00:00"/>
        <d v="2018-06-26T00:00:00"/>
        <d v="2018-06-25T00:00:00"/>
        <d v="2018-06-23T00:00:00"/>
        <d v="2018-06-22T00:00:00"/>
        <d v="2018-06-21T00:00:00"/>
        <d v="2018-06-20T00:00:00"/>
        <d v="2018-06-19T00:00:00"/>
        <d v="2018-06-18T00:00:00"/>
        <d v="2018-06-15T00:00:00"/>
        <d v="2018-06-14T00:00:00"/>
        <d v="2018-06-13T00:00:00"/>
        <d v="2018-06-12T00:00:00"/>
        <d v="2018-06-11T00:00:00"/>
        <d v="2018-06-09T00:00:00"/>
        <d v="2018-06-08T00:00:00"/>
        <d v="2018-06-07T00:00:00"/>
        <d v="2018-06-06T00:00:00"/>
        <d v="2018-06-05T00:00:00"/>
        <d v="2018-06-04T00:00:00"/>
        <d v="2018-06-02T00:00:00"/>
        <d v="2018-06-01T00:00:00"/>
        <d v="2018-05-31T00:00:00"/>
        <d v="2018-05-30T00:00:00"/>
        <d v="2018-05-29T00:00:00"/>
        <d v="2018-05-26T00:00:00"/>
        <d v="2018-05-25T00:00:00"/>
        <d v="2018-05-24T00:00:00"/>
        <d v="2018-05-23T00:00:00"/>
        <d v="2018-05-22T00:00:00"/>
        <d v="2018-05-21T00:00:00"/>
        <d v="2018-05-19T00:00:00"/>
        <d v="2018-05-18T00:00:00"/>
        <d v="2018-05-17T00:00:00"/>
        <d v="2018-05-16T00:00:00"/>
        <d v="2018-05-15T00:00:00"/>
        <d v="2018-05-14T00:00:00"/>
        <d v="2018-05-11T00:00:00"/>
        <d v="2018-05-10T00:00:00"/>
        <d v="2018-05-09T00:00:00"/>
        <d v="2018-05-08T00:00:00"/>
        <d v="2018-05-07T00:00:00"/>
        <d v="2018-05-04T00:00:00"/>
        <d v="2018-05-02T00:00:00"/>
        <d v="2018-05-01T00:00:00"/>
        <d v="2018-04-30T00:00:00"/>
        <d v="2018-04-27T00:00:00"/>
        <d v="2018-04-26T00:00:00"/>
        <d v="2018-04-25T00:00:00"/>
        <d v="2018-04-24T00:00:00"/>
        <d v="2018-04-23T00:00:00"/>
      </sharedItems>
    </cacheField>
    <cacheField name="Class" numFmtId="164">
      <sharedItems containsBlank="1" count="28">
        <s v="Haircut"/>
        <s v="Eating Out"/>
        <s v="Rent"/>
        <s v="Gas"/>
        <s v="Groceries"/>
        <s v="Condo Extra Princ"/>
        <s v="Car Extra Princ"/>
        <s v="Sam/house"/>
        <s v="Gym"/>
        <m/>
        <s v="Misc"/>
        <s v="Cell Phone"/>
        <s v="Coffees"/>
        <s v="Auto Pmt"/>
        <s v="Dry Cleaning"/>
        <s v="Paycheck"/>
        <s v="Cash"/>
        <s v="Entertainment"/>
        <s v="Condo Income"/>
        <s v="Mortgage"/>
        <s v="Transfer"/>
        <s v="Auto Insurance"/>
        <s v="Business Travel"/>
        <s v="Travel"/>
        <s v="Withdrawal"/>
        <s v="Int Pmt"/>
        <s v="Sam" u="1"/>
        <s v="??" u="1"/>
      </sharedItems>
    </cacheField>
    <cacheField name="Description" numFmtId="0">
      <sharedItems containsBlank="1" count="248">
        <s v="FORECASTED"/>
        <m/>
        <s v="POS DEBIT                TRANSFERRED $75 FOR CELL, GYM, OTHER ON 7/2"/>
        <s v="POS DEBIT                WM SUPERC WAL-MART SUP    BOCA RATON   FL"/>
        <s v="POS DEBIT                PUBLIX SUPER MAR 1001 S   BOCA RATON   FL"/>
        <s v="POS DEBIT                BARNESNOBLE 1400 GLADES   BOCA RATON   FL"/>
        <s v="ATM CREDIT               00000000000               ISA980400000 00"/>
        <s v="POS DEBIT                CVS/PHARM 03275--686 G    BOCA RATON   FL"/>
        <s v="POS DEBIT                DUFFY'S OF BOCA           BOCA RATON   FL"/>
        <s v="POS DEBIT                WM SUPERC WAL-MART SUP    SUNRISE (W)  FL"/>
        <s v="POS DEBIT                IKEA SUNRISE              SUNRISE      FL"/>
        <s v="WITHDRAWAL"/>
        <s v="ATM DEP - 5950 GLADES RD           BOCA RATON   FL"/>
        <s v="POS DEBIT                SWEET TOMATOES #80       BOCA RATON    FL"/>
        <s v="INTEREST PAYMENT"/>
        <s v="CHECK 4101  "/>
        <s v="KMF              KMFUSA.com                 PPD ID: 9200704262"/>
        <s v="WORLD OF BEER PLANTATION FL                  06/28"/>
        <s v="COMCAST/XFINITY 800-266-2278 FL              06/29"/>
        <s v="BOCAS PREMIER DRY YAMAT BOCA RATON FL        06/28"/>
        <s v="CANCER TREATMENT DIRECT DEP                 PPD ID: 9111111102"/>
        <s v="WEST BROWARD FORT LAUDERDA FL                06/28"/>
        <s v="BRANDSMART USA -DFB DEERFIELD BEA FL         06/28"/>
        <s v="TOTAL WINE AND MORE 90 BOCA RATON FL 346957  06/27"/>
        <s v="NON-CHASE ATM WITHDRAW               708040  06/2721230 SAI"/>
        <s v="ATM WITHDRAWAL                       007984  06/27853 S FED"/>
        <s v="21230 SAINT ANDREWS BLV BOCA RATON FL708040  06/27"/>
        <s v="ATM WITHDRAWAL                       008281  06/265950 GLAD"/>
        <s v="WITHDRAWAL 06/26"/>
        <s v="ATM -     1701 E YOUNG CIR         HOLLYWOOD    FL"/>
        <s v="ATM DEBIT                @DOWNTOWN HOLLYWOO        HOLLYWOOD    FL"/>
        <s v="POS DEBIT                CHEVRON/SUNSHINE #503     DAVIE        FL"/>
        <s v="POS DEBIT                AMAZON MKTPLACE PMTS      AMZN.COM/BIL WA"/>
        <s v="Tipsy Boar Hollywood FL                      06/24"/>
        <s v="POS DEBIT                HOLLYWD TOWN PKG ON ST    HOLLYWOOD    FL"/>
        <s v="POS DEBIT                HOLLYWOOD BEACH GARAGE    HOLLYWOOD    FL"/>
        <s v="POS DEBIT                FAU- TRAFFIC &amp; PARKING    BOCA RATON   FL"/>
        <s v="ATM DEBIT                1400 GLADES ROAD,         BOCA RATON   FL"/>
        <s v="POS DEBIT                BOCAS PREMIER DRY YAMA   BOCA RATON    FL"/>
        <s v="BIS STORE # 129 BOCA RATON FL                06/22"/>
        <s v="CHEVRON 0308377 POMPANO BEACH FL             06/22"/>
        <s v="SWEET TOMATOES 80 Q14 BOCA RATON FL          06/22"/>
        <s v="SWEET TOMATOES 80 Q14 BOCA RATON FL          06/21"/>
        <s v="ATM WITHDRAWAL                       001821  06/21101 S POM Half for Tutoring"/>
        <s v="ATM WITHDRAWAL                       001821  06/21101 S POM"/>
        <s v="POS DEBIT                MCDONALD'S F29261        BOCA RATON    FL"/>
        <s v="TOTAL WINE AND MORE 90 BOCA RATON FL 271956  06/20"/>
        <s v="NORTH PAVILION PARKI DEERFIELD BEA FL        06/19"/>
        <s v="HAIR CUTTERY #3983 BOCA RATON FL             06/20"/>
        <s v="BARNESNOBLE 1400 Glade BOCA RATON FL 234383  06/19"/>
        <s v="PUBLIX SUPER MAR 5050 BOCA RATON FL  754248  06/19"/>
        <s v="CHILI'S THE CREEK FORT LAUDERDA FL           06/18"/>
        <s v="THE SEED BOCA RATON FL                       06/19"/>
        <s v="SAM ASH MUSIC #32 MARGATE FL                 06/17"/>
        <s v="Tipsy Boar Hollywood FL                      06/17"/>
        <s v="PUBLIX SUPER MAR 5050 BOCA RATON FL  501229  06/18"/>
        <s v="BARNESNOBLE 1400 Glade BOCA RATON FL 924351  06/17"/>
        <s v="WHOLEFDS BCA 101 1400B BOCA RATON FL         06/17 Purchase $6.95 Cash Back $20.00"/>
        <s v="CRYSTAL LAKE CIT POMPANO BEACH FL    803468  06/17"/>
        <s v="HOLLYWD BCH PKG-ON STRE HOLLYWOOD FL         06/16"/>
        <s v="HOLLYWD BCH PKG-OFF STR HOLLYWOOD FL         06/16"/>
        <s v="SQ *FRANCIS PRODUCE Hollywood FL             06/16"/>
        <s v="AMAZON MKTPLACE PMTS AMZN.COM/BILL WA        06/17"/>
        <s v="NON-CHASE ATM WITHDRAW               538524  06/161400 GLAD"/>
        <s v="BARNESNOBLE 1400 Glade BOCA RATON FL 634778  06/16"/>
        <s v="1400 GLADES ROAD, BOCA RATON FL      538524  06/16"/>
        <s v="GLADES ROAD MAR BOCA RATON FL                06/15"/>
        <s v="DUNKIN #353914 Q35 BOCA RATON FL             06/14"/>
        <s v="DEPOSIT  ID NUMBER 257919"/>
        <s v="POS DEBIT                PUBLIX SUPER MAR 5050 C   BOCA RATON   FL"/>
        <s v="POS DEBIT                EINSTEIN BROS BAGELS077   BOCA RATON   FL"/>
        <s v="POS DEBIT                THE SEED                  BOCA RATON   FL"/>
        <s v="POS DEBIT                Two Georges at the Cove  Deerfield Be  FL"/>
        <s v="POS DEBIT                DUNKIN #353914 Q35       BOCA RATON    FL"/>
        <s v="ORIG CO NAME:CANCER TREATMENT CO ENTRY DESCR:DIRECT DEP SEC:PPD                        ORIG ID:9111111102"/>
        <s v="PUBLIX SUPER MAR 21230 BOCA RATON FL 636260  06/14"/>
        <s v="BARNESNOBLE 1400 Glade BOCA RATON FL 901907  06/14"/>
        <s v="PUBLIX SUPER MAR 5050 BOCA RATON FL  124393  06/14"/>
        <s v="PUBLIX SUPER MAR 21230 BOCA RATON FL 726038  06/13"/>
        <s v="BIERGARTEN BOCA RATON FL                     06/12"/>
        <s v="PUBLIX SUPER MAR 21230 BOCA RATON FL 349659  06/12"/>
        <s v="BARNESNOBLE 1400 Glade BOCA RATON FL 539262  06/12"/>
        <s v="WHOLEFDS BCA 101 1400B BOCA RATON FL 643212  06/12"/>
        <s v="BARNESNOBLE 1400 Glade BOCA RATON FL 906088  06/12"/>
        <s v="Tipsy Boar Hollywood FL                      06/10"/>
        <s v="ATM DEBIT 101 S POMPANO PKWY       POMPANO BEACHFL"/>
        <s v="POS DEBIT                REGAL CINEMSA CYPRESS C   FT LAUDERDAL FL"/>
        <s v="POS DEBIT                HOOTERS OF FT. LAU        FT LAUDERDAL FL"/>
        <s v="POS DEBIT                WHOLEFDS BCA 101 1400B    BOCA RATON   FL"/>
        <s v="POS DEBIT                RACETRAC469               POMPANO BCH  FL"/>
        <s v="POS DEBIT                STARBUCKS STORE 11609     HOLLYWOOD    FL"/>
        <s v="POS DEBIT                HOLLYWD BCH PKG-ON STR    HOLLYWOOD    FL"/>
        <s v="POS DEBIT                TIPSY BOAR                HOLLYWOOD    FL"/>
        <s v="POS DEBIT                SHELL SERVICE STATION     HOLLYWOOD    FL"/>
        <s v="POS DEBIT                PICANHA BRAZIL STEAK H   BOCA RATON    FL"/>
        <s v="PUBLIX SUPER MAR 5050 BOCA RATON FL  042305  06/08"/>
        <s v="WOB COCONUT CREEK COCONUT CREEK FL           06/07"/>
        <s v="PUBLIX SUPER MAR 5050 BOCA RATON FL  757540  06/07"/>
        <s v="CHILI'S THE CREEK FORT LAUDERDA FL           06/07"/>
        <s v="UROMEDIX-EU6 SUNRISE FL                      06/06"/>
        <s v="RACETRAC121 OAKLAND PARK FL          080554  06/06"/>
        <s v="BARNESNOBLE 1400 Glade BOCA RATON FL 957984  06/05"/>
        <s v="BARNESNOBLE 1400 Glade BOCA RATON FL 637836  06/05"/>
        <s v="OCEANSIDE PARKING LO POMPANO BEACH FL        06/04"/>
        <s v="PUBLIX SUPER MAR 21230 BOCA RATON FL 817091  06/04"/>
        <s v="POS DEBIT                WM SUPERC WAL-MART SUP    POMPANO      FL"/>
        <s v="POS DEBIT                STARBUCKS STORE 08476     POMPANO BEAC FL"/>
        <s v="POS DEBIT                PEI WEI #0203  Q02        BOCA RATON   FL"/>
        <s v="POS DEBIT                210 WEST BOCA MEDICAL C   BOCA RATON   FL"/>
        <s v="POS DEBIT                QUICKMART                 HALLANDALE   FL"/>
        <s v="ORIG CO NAME:WF HOME MTG      CO ENTRY DESCR:AUTO PAY   SEC:PPD                        ORIG ID:W952318940"/>
        <s v="PUBLIX SUPER MAR 21230 BOCA RATON FL 625106  05/15"/>
        <s v="Transfer from CHK XXXXX1115 to cover $298 condo fees"/>
        <s v="Transfer from CHK XXXXX1115 to cover $100 for cell"/>
        <s v="Transfer from CHK XXXXX1115 to cover $102 for auto insurance/other"/>
        <s v="POS DEBIT BOCAS PREMIER DRY YAMA BOCA RATON"/>
        <s v="POS DEBIT HEALTHY FAMILY DENTIST COCONUT CREEK"/>
        <s v="WITHDRAWAL FOR SAM'S BIRTHDAY GIFT"/>
        <s v="POS DEBIT CVS/PHARM 03818--21140 BOCA RATON FL"/>
        <s v="POS DEBIT DUNKIN #353914 Q35 BOCA RATON FL"/>
        <s v="POS DEBIT SHELL SERVICE STATION BOCA RATON FL"/>
        <s v="WHISKTY TANGO ALL AMERICAN HOLLYWOOD FL"/>
        <s v="SUPERCUTS BOCA RATON FL              365125  05/11"/>
        <s v="ORIG CO NAME:KMF              CO ENTRY DESCR:KMFUSA.com SEC:PPD                        ORIG ID:9200704262"/>
        <s v="POS DEBIT                CHILIS THE CREEK          FORT LAUDERD FL"/>
        <s v="POS DEBIT                WHISKEY TANGO ALL AMERI   HOLLYWOOD    FL"/>
        <s v="POS DEBIT                MARATHON PETRO149062      BOCA RATON   FL"/>
        <s v="POS DEBIT                RAW JUCE                  BOCA RATON   FL"/>
        <s v="POS DEBIT                FT LAUD HOLLYWOOD INTL    FT LAUDERDAL FL"/>
        <s v="POS DEBIT                LYFT   *PENDING           SAN FRANCISC CA"/>
        <s v="POS DEBIT                DINICS BEEF AND PORK      PHILADELPHIA PA"/>
        <s v="POS DEBIT                PHILADELPHIA MUSEUM OF    PHILADELPHIA PA"/>
        <s v="POS DEBIT                KAMAL MIDDLE EASTERN SP   PHILADELPHIA PA"/>
        <s v="POS DEBIT                DOWNTOWN CHEESE           PHILADELPHIA PA"/>
        <s v="POS DEBIT                OLD CITY COFFEE  - 2 RT   PHILADELPHIA PA"/>
        <s v="POS DEBIT                PROFI'S CREPERIE I        PHILADELPHIA PA"/>
        <s v="POS DEBIT                FOUR POINTS BY SHERATO    PHILADELPHIA PA"/>
        <s v="POS DEBIT                TST* INDEPENDENC          PHILADELPHIA PA"/>
        <s v="POS DEBIT                OLYMPIA GYRO              PHILADELPHIA PA"/>
        <s v="POS DEBIT                THE FRANKLIN INSTITUTE    PHILADELPHIA PA"/>
        <s v="POS DEBIT                COMMISSARY AT THE FRANK   PHILADELPHIA PA"/>
        <s v="POS DEBIT                PMOA ADMISSIONS           PHILADELPHIA PA"/>
        <s v="POS DEBIT                SWEET AS FUDGE CANDY S    PHILADELPHIA PA"/>
        <s v="POS DEBIT                KAUFFMANS LANCASTER CO    PHILADELPHIA PA"/>
        <s v="POS DEBIT                BEILERS DONUTS            PHILADELPHIA PA"/>
        <s v="POS DEBIT                FOUR POINTS BY SHERATO   PHILADELPHIA  PA"/>
        <s v="POS DEBIT                LYFT   *PENDING          SAN FRANCISC  CA"/>
        <s v="POS DEBIT                YARDS BREWING CO         PHILADELPHIA  PA"/>
        <s v="POS DEBIT                ERMC-CAFETERIA           PHILADELPHIA  PA"/>
        <s v="POS DEBIT                LYFT   *CANCEL FEE       SAN FRANCISC  CA"/>
        <s v="POS DEBIT                LORI'S GIFTS STORE #481  PHILADELPHIA  PA"/>
        <s v="MAGGIANOS 12TH &amp; FILB PHILADELPHIA PA        05/24"/>
        <s v="ERMC-CAFETERIA PHILADELPHIA PA               05/24"/>
        <s v="LYFT   *RIDE THU 7AM LYFT.COM CA             05/24"/>
        <s v="FOUR POINTS BY SHERAT PHILADELPHIA PA        05/24"/>
        <s v="FOUR POINTS BY SHERAT PHILADELPHIA PA        05/25"/>
        <s v="MAGGIANOS 12TH &amp; FILB PHILADELPHIA PA        05/23"/>
        <s v="LYFT   *RIDE WED 6PM LYFT.COM CA             05/23"/>
        <s v="ERMC-CAFETERIA PHILADELPHIA PA               05/23"/>
        <s v="ERMC PHARMACY PHILADELPHIA PA                05/23"/>
        <s v="LYFT   *RIDE WED 7AM LYFT.COM CA             05/23"/>
        <s v="FOUR POINTS BY SHERAT PHILADELPHIA PA        05/23"/>
        <s v="LYFT   *RIDE TUE 9PM LYFT.COM CA             05/22"/>
        <s v="LYFT   *RIDE TUE 7PM LYFT.COM CA             05/22"/>
        <s v="MARSHALLS 1026 MARKET PHILADELPHIA PA        05/23"/>
        <s v="LYFT   *CANCEL FEE LYFT.COM CA               05/22"/>
        <s v="LYFT   *RIDE TUE 6PM LYFT.COM CA             05/22"/>
        <s v="FORT LAUDERDALE AIRP FORT LAUDERDA FL        05/22"/>
        <s v="BOCAS PREMIER DRY YAMAT BOCA RATON FL        05/22"/>
        <s v="Tipsy Boar Hollywood FL                      05/20"/>
        <s v="MARSHALLS 8180 GLADES BOCA RATON FL          05/21"/>
        <s v="POS DEBIT                WAL-MART #1589            DELRAY BEACH FL"/>
        <s v="POS DEBIT                COSTCO WHSE #0345         BOCA RATON   FL"/>
        <s v="POS DEBIT                PETSMART # 2113           DELRAY BEACH FL"/>
        <s v="POS DEBIT                OUTBACK #1082             DELRAY BCH.  FL"/>
        <s v="POS DEBIT                SUNSHINE # 30010          POMPANO BEAC FL"/>
        <s v="POS DEBIT                SUNPASS OPERATIONS       BOCA RATON    FL"/>
        <s v="BARNESNOBLE 1400 Glade BOCA RATON FL 353899  05/18"/>
        <s v="CHILI'S THE CREEK FORT LAUDERDA FL           05/18"/>
        <s v="STARBUCKS STORE 2971 FORT LAUDERDA FL        05/17"/>
        <s v="PUBLIX SUPER MAR 114 POMPANO BEACH FL930791  05/17"/>
        <s v="PEI WEI #0203  Q02 BOCA RATON FL             05/16"/>
        <s v="DTV*DIRECTV HARDWARE 800-347-3288 CA         05/17"/>
        <s v="CVS/PHARMACY #07 07173 BOCA RATON FL 963668  05/16"/>
        <s v="SEMC - CAFETERIA NEWNAN GA                   05/14"/>
        <s v="ATM WITHDRAWAL                       005587  05/15101 S POM"/>
        <s v="FT LAUD HOLLYWOOD IN FT LAUDERDALE FL        05/14"/>
        <s v="ATLANTA CHOPHOUSE ATL ATLANTA GA             05/14"/>
        <s v="HOME2 SUITES NEWNAN/AT NEWNAN GA             05/15"/>
        <s v="Tipsy Boar Hollywood FL                      05/13"/>
        <s v="SEMC - PHARMACY NEWNAN GA            652769  05/14"/>
        <s v="TACO MAC 15 NEWNAN GA                        05/13"/>
        <s v="STIRLING PETROL FORT LAUDERDA FL             05/13"/>
        <s v="STARBUCKS STORE 11609 HOLLYWOOD FL           05/12"/>
        <s v="PUBLIX SUPER MAR 21230 BOCA RATON FL 557896  05/12"/>
        <s v="WHOLEFDS BCA 101 1400B BOCA RATON FL 752019  05/12"/>
        <s v="BARNESNOBLE 1400 Glade BOCA RATON FL 812640  05/12"/>
        <s v="CHILI'S THE CREEK FORT LAUDERDA FL           05/10"/>
        <s v="TOTAL WINE AND MORE 90 BOCA RATON FL 298172  05/10"/>
        <s v="PEI WEI #0203  Q02 BOCA RATON FL             05/09"/>
        <s v="ATM WITHDRAWAL                       001432  05/09101 S POM"/>
        <s v="TST* BRASS TAPS - FT FORT LAUDERDA FL        05/09"/>
        <s v="INVASIVE SPECIES BRE FORT LAUDERDA FL        05/08"/>
        <s v="CYPRESS CREEK MA FORT LAUDERDA FL    716190  05/08"/>
        <s v="PUBLIX SUPER MAR 5050 BOCA RATON FL  537431  05/08"/>
        <s v="CHILI'S THE CREEK FORT LAUDERDA FL           05/07"/>
        <s v="Tipsy Boar Hollywood FL                      05/06"/>
        <s v="PUBLIX SUPER MAR 5050 BOCA RATON FL          05/07 Purchase $25.01 Cash Back $20.00"/>
        <s v="CDD SELF PARKING GARAGE HOLLYWOOD FL         05/06"/>
        <s v="STARBUCKS STORE 11609 HOLLYWOOD FL           05/06"/>
        <s v="PEI WEI #0203  Q02 BOCA RATON FL             05/06"/>
        <s v="PUBLIX SUPER MAR 21230 BOCA RATON FL         05/06 Purchase $32.09 Cash Back $20.00"/>
        <s v="BARNESNOBLE 1400 Glade BOCA RATON FL 704513  05/05"/>
        <s v="BARNESNOBLE 1400 Glade BOCA RATON FL 754445  05/05"/>
        <s v="SQUARE ONE AMERICAN RE 561-9239176 FL        05/03"/>
        <s v="SHELL Service Station BOCA RATON FL  061321  05/04"/>
        <s v="PUBLIX SUPER MAR 21230 BOCA RATON FL         05/04 Purchase $9.36 Cash Back $20.00"/>
        <s v="COSTCO WHSE #0345 BOCA RATON FL      027899  05/04"/>
        <s v="DEPOSIT  ID NUMBER 725414"/>
        <s v="STARBUCKS STORE 08588 BOCA RATON FL          05/01"/>
        <s v="FAU- TRAFFIC &amp; PARKING BOCA RATON FL         05/01"/>
        <s v="BARNESNOBLE 1400 Glade BOCA RATON FL 608051  05/01"/>
        <s v="CHILI'S THE CREEK FORT LAUDERDA FL           04/30"/>
        <s v="STARBUCKS STORE 0847 POMPANO BEACH FL        04/30"/>
        <s v="STARBUCKS STORE 08588 BOCA RATON FL          04/30"/>
        <s v="HOLLYWOOD BEACH GARAGE HOLLYWOOD FL          04/29"/>
        <s v="Giorgio's Bakery &amp; Bist hollywood FL         04/29"/>
        <s v="PUBLIX SUPER MAR 21230 BOCA RATON FL 607278  04/30"/>
        <s v="CHILI'S THE CREEK FORT LAUDERDA FL           04/29"/>
        <s v="ATM WITHDRAWAL                       003734  04/29101 S POM"/>
        <s v="CHEVRON 0308377 POMPANO BEACH FL             04/29"/>
        <s v="TIPSY BOAR HOLLYWOOD FL                      04/28"/>
        <s v="STIRLING PETROL FORT LAUDERDA FL             04/28"/>
        <s v="BARNESNOBLE 1400 Glade BOCA RATON FL 211830  04/28"/>
        <s v="BARNESNOBLE 1400 Glade BOCA RATON FL 653300  04/28"/>
        <s v="BARNESNOBLE 1400 Glade BOCA RATON FL 759886  04/28"/>
        <s v="BARNESNOBLE 1400 Glade BOCA RATON FL 758511  04/28"/>
        <s v="WORLD OF BEER PLANTATION FL                  04/26"/>
        <s v="SWEET TOMATOES 80 Q14 BOCA RATON FL          04/25"/>
        <s v="SHELL Service Station BOCA RATON FL  060354  04/25"/>
        <s v="CVS/PHARMACY #03 03818 BOCA RATON FL 062382  04/25"/>
        <s v="NON-CHASE ATM WITHDRAW               201558  04/2421230 SAI"/>
        <s v="21230 SAINT ANDREWS BLV BOCA RATON FL201558  04/24"/>
        <s v="ATM WITHDRAWAL                       001385  04/225950 GLAD"/>
        <s v="ATM WITHDRAWAL                       008463  04/21101 S POM"/>
        <s v="ATM WITHDRAWAL                       006668  04/215950 GLAD"/>
        <s v="Transfer from CHK XXXXX3721"/>
        <s v="ATM CHECK DEPOSIT 04/21 5950 GLADES RD BOCA RATON FL"/>
      </sharedItems>
    </cacheField>
    <cacheField name="Amount" numFmtId="43">
      <sharedItems containsString="0" containsBlank="1" containsNumber="1" minValue="-4500" maxValue="1700"/>
    </cacheField>
    <cacheField name="Type" numFmtId="0">
      <sharedItems containsBlank="1"/>
    </cacheField>
    <cacheField name="Balance" numFmtId="43">
      <sharedItems containsSemiMixedTypes="0" containsString="0" containsNumber="1" minValue="1350" maxValue="16100.930000000002"/>
    </cacheField>
    <cacheField name="Check or Slip #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umgarten, Allen" refreshedDate="43515.497311921295" createdVersion="6" refreshedVersion="6" minRefreshableVersion="3" recordCount="208" xr:uid="{5339C258-2234-42B3-A426-6F1EB86A511D}">
  <cacheSource type="worksheet">
    <worksheetSource ref="B1:F261" sheet="data_2019"/>
  </cacheSource>
  <cacheFields count="5">
    <cacheField name="Month" numFmtId="0">
      <sharedItems count="2">
        <s v="Feb"/>
        <s v="Jan"/>
      </sharedItems>
    </cacheField>
    <cacheField name="Posting Date" numFmtId="164">
      <sharedItems containsNonDate="0" containsDate="1" containsString="0" containsBlank="1" minDate="2019-01-01T00:00:00" maxDate="2019-02-20T00:00:00"/>
    </cacheField>
    <cacheField name="Description" numFmtId="0">
      <sharedItems containsBlank="1" count="151" longText="1">
        <s v="Forecasted"/>
        <m/>
        <s v="POS DEBIT                GUITAR CENTER #791        DELRAY BEACH FL"/>
        <s v="POS DEBIT                THE HOME DEPOT #6315      DELRAY BEACH FL"/>
        <s v="POS DEBIT                STARBUCKS STORE 08588     BOCA RATON   FL"/>
        <s v="POS DEBIT                TRADER JOE'S #771 QPS     DELRAY BEACH FL"/>
        <s v="POS DEBIT                PUBLIX SUPER MAR 4141 N   BOCA RATON   FL"/>
        <s v="POS DEBIT                APL* ITUNES.COM/BILL      866-712-7753 CA"/>
        <s v="POS DEBIT                PUBLIX SUPER MAR 21230    BOCA RATON   FL"/>
        <s v="POS DEBIT                BARNESNOBLE 1400 GLADES   BOCA RATON   FL"/>
        <s v="POS DEBIT                PRIP MART 199             BOCA RATON   FL"/>
        <s v="POS DEBIT                CRAZY UNCLE MIKE          BOCA RATON   FL"/>
        <s v="POS DEBIT                WHOLEFDS BCA 101 1400B    BOCA RATON   FL"/>
        <s v="POS DEBIT                CRAZY UNCLE MIKE         BOCA RATON    FL"/>
        <s v="CRAZY UNCLE MIKES BOCA RATON FL              02/13"/>
        <s v="POLLO TROPICAL 10058 DELRAY BEACH FL         02/13"/>
        <s v="GUITAR CENTER #791 DELRAY BEACH FL           02/13"/>
        <s v="SWEET TOMATOES 80 Q14 BOCA RATON FL          02/13"/>
        <s v="THE HOME DEPOT #6315 DELRAY BEACH FL 063173  02/13"/>
        <s v="POS DEBIT                IN *CENTER FOR HEALTH     BOCA RATON   FL"/>
        <s v="POS DEBIT                ROBOT BREWING COMPANY    BOCA RATON    FL"/>
        <s v="POS DEBIT                STARBUCKS STORE 08588    BOCA RATON    FL"/>
        <s v="ATM WITHDRAWAL                       004811  02/123901 N FE"/>
        <s v="CRAZY UNCLE MIKES BOCA RATON FL              02/10"/>
        <s v="PUBLIX SUPER MAR 4141 BOCA RATON FL  903245  02/11"/>
        <s v="THE HOME DEPOT #6315 DELRAY BEACH FL 635836  02/11"/>
        <s v="WHOLEFDS BCA 101 1400B BOCA RATON FL 623640  02/11"/>
        <s v="POS DEBIT                AVENTURA EYE SPECIALIS    WEESTON      FL"/>
        <s v="POS DEBIT                TOTAL WINE AND MORE 905   BOCA RATON   FL"/>
        <s v="POS DEBIT                BEDBATH&amp;BEYOND# 1400C G   BOCA RATON   FL"/>
        <s v="POS DEBIT                IKEA SUNRISE              SUNRISE      FL"/>
        <s v="DEPOSIT"/>
        <s v="POS DEBIT                HAIR CUTTERY #2846        DEERFIELD BE FL"/>
        <s v="POS DEBIT                CABANA NUEVO LATINO- D   DELRAY BEACH  FL"/>
        <s v="POS DEBIT                TST* ALL MEATS B         BOCA RATON    FL"/>
        <s v="POS DEBIT                818 HEAT                  BOCA RATON   FL"/>
        <s v="CRAZY UNCLE MIKES BOCA RATON FL              02/06"/>
        <s v="CANCER TREATMENT DIRECT DEP                 PPD ID: 9111111102"/>
        <s v="WHOLEFDS BCA 101 1400B BOCA RATON FL         02/07 Purchase $2.49 Cash Back $10.00"/>
        <s v="BOCA MART, INC. BOCA RATON FL                02/07"/>
        <s v="POLLO TROPICAL 10247 BOCA RATON FL           02/06"/>
        <s v="Online Transfer from SAV ...0138 transaction#: 7919850372"/>
        <s v="FPL DIRECT DEBIT ELEC PYMT                  PPD ID: 3590247775"/>
        <s v="PUBLIX SUPER MAR 9846 BOCA RATON FL  062362  02/06"/>
        <s v="PETCO 1789 BOCA RATON FL             132613  02/06"/>
        <s v="PUBLIX SUPER MAR 4141 BOCA RATON FL  228297  02/06"/>
        <s v="TRADER JOE'S #771 QPS DELRAY BEACH FL539567  02/06"/>
        <s v="POLLO TROPICAL 10058 DELRAY BEACH FL         02/05"/>
        <s v="IN *CENTER FOR HEALTH 561-7899558 FL         02/05"/>
        <s v="BIERGARTEN BOCA RATON FL                     02/05"/>
        <s v="THE GARDENS NORT LOCKBOX                    PPD ID: 1592314821"/>
        <s v="MARATHON PETRO14 BOCA RATON FL       797802  02/05"/>
        <s v="WITHDRAWAL 02/05"/>
        <s v="PUBLIX SUPER MAR 4141 BOCA RATON FL  615534  02/05"/>
        <s v="IKEA.COM 320623212 888-434-4532 MD           02/04"/>
        <s v="POS DEBIT                TST* YUCA RESTAU          MIAMI BEACH  FL"/>
        <s v="POS DEBIT                PARK ONE OF FLORDIA       MIAMI        FL"/>
        <s v="POS DEBIT                BB *PEREZ ART MUSEUM      MIAMI        FL"/>
        <s v="POS DEBIT                MARATHON PETRO14          BOCA RATON   FL"/>
        <s v="POS DEBIT                WHISKEY TANGO ALL AMERI   HOLLYWOOD    FL"/>
        <s v="POS DEBIT                PUBLIC STORAGE 26829      BOCA RATON   FL"/>
        <s v="POS DEBIT                HOLLYWD TOWN PKG ON ST    HOLLYWOOD    FL"/>
        <s v="POS DEBIT                NETFLIX.COM               NETFLIX.COM  CA                                                                                                                                                                                                                                                                   00NN08172"/>
        <s v="POS DEBIT                CRAZY UNCLE MIKES        BOCA RATON    FL"/>
        <s v="POS DEBIT                MASSAGE ENVY 0180         BOCA RATON   FL"/>
        <s v="ORIG CO NAME:WF HOME MTG      CO ENTRY DESCR:AUTO PAY   SEC:PPD                        ORIG ID:W952318940"/>
        <s v="ATM WITHDRAWAL                       006454  02/011850 N FE"/>
        <s v="IN *CENTER FOR HEALTH 561-7899558 FL         01/31"/>
        <s v="INTEREST PAYMENT"/>
        <s v="CVS/PHARMACY #00 00770 BOCA RATON FL 016361  01/31"/>
        <s v="POLLO TROPICAL 10058 DELRAY BEACH FL         01/30"/>
        <s v="BOCAS PREMIER DRY YAMAT BOCA RATON FL        01/30"/>
        <s v="SHELL Service Station DELRAY BEACH FL005489  01/30"/>
        <s v="PUBLIX SUPER MAR 5050 BOCA RATON FL  314410  01/30"/>
        <s v="GUITAR CENTER #791 DELRAY BEACH FL           01/29"/>
        <s v="PUBLIX SUPER MAR 5050 BOCA RATON FL  761010  01/29"/>
        <s v="POS DEBIT                UROMEDIX-EU6             SUNRISE       FL"/>
        <s v="POS DEBIT                ABC*YOUFIT HEALTH CLUB   561-3672326   FL"/>
        <s v="POS DEBIT                SUNPASS OPERATIONS       BOCA RATON    FL"/>
        <s v="ORIG CO NAME:KMF              CO ENTRY DESCR:KMFUSA.com SEC:PPD                        ORIG ID:9200704262"/>
        <s v="TOTAL WINE AND MORE 90 BOCA RATON FL 345568  01/28"/>
        <s v="PUBLIX SUPER MAR 4141 BOCA RATON FL  950786  01/27"/>
        <s v="TRADER JOE'S #771 QPS DELRAY BEACH FL092948  01/27"/>
        <s v="WHOLEFDS BCA 101 1400B BOCA RATON FL 337627  01/27"/>
        <s v="BARNESNOBLE 1400 Glade BOCA RATON FL 753217  01/27"/>
        <s v="WHOLEFDS BCA 101 1400B BOCA RATON FL 338865  01/27"/>
        <s v="SUNPASS*ACC588612 888-865-5352 FL            01/27"/>
        <s v="MARATHON PETRO14 BOCA RATON FL       885321  01/26"/>
        <s v="FUNKY BUDDHA LOUNGE AND BOCA RATON FL        01/26"/>
        <s v="WHOLEFDS BCA 101 1400B BOCA RATON FL 605797  01/26"/>
        <s v="STARBUCKS STORE 08257 BOCA RATON FL          01/26"/>
        <s v="ATM WITHDRAWAL                       009561  01/263901 N FE"/>
        <s v="SUNPASS*ACC588612 888-865-5352 FL            01/26"/>
        <s v="CRAZY UNCLE MIKES BOCA RATON FL              01/25"/>
        <s v="DR DAVID GOLDBERG BOCA RATON FL              01/25"/>
        <s v="HAIR CUTTERY #2846 DEERFIELD BEA FL          01/25"/>
        <s v="POS DEBIT                IN *CENTER FOR HEALTH    BOCA RATON    FL"/>
        <s v="POS DEBIT                COMCAST/XFINITY          800-266-2278  FL"/>
        <s v="POS DEBIT                LATINAMERICANCUPID.COM    SOUTHPORT    PA"/>
        <s v="WHOLEFDS BCA 101 1400B BOCA RATON FL 000597  01/24"/>
        <s v="SWEET TOMATOES 80 Q14 BOCA RATON FL          01/23"/>
        <s v="TRADER JOE'S #771 QPS DELRAY BEACH FL478626  01/23"/>
        <s v="POS DEBIT                7-ELEVEN 34819            WESTON       FL"/>
        <s v="POS DEBIT                APL*ITUNES.COM/BILL       800-275-2273 CA"/>
        <s v="POS DEBIT                POLLO TROPICAL 10058     DELRAY BEACH  FL"/>
        <s v="ONLINE TRANSFER TO CHK ...3721 TRANSACTION#: 7867603097 01/22"/>
        <s v="POS DEBIT                BOCA MART, INC.           BOCA RATON   FL"/>
        <s v="POS DEBIT                SUBWAY RESTAURANT         LAUDERDALE L FL"/>
        <s v="POS DEBIT                CRAZY UNCLE MIKES         BOCA RATON   FL"/>
        <s v="ATM DEBIT 3901 N FEDERAL HWY       BOCA RATON   FL"/>
        <s v="POS DEBIT                CORNER PORCH             DELRAY BEACH  FL"/>
        <s v="Synchrony Bank   CC PYMT    602052281390228 TEL ID: 9856794001"/>
        <s v="POS DEBIT                DR DAVID GOLDBERG         BOCA RATON   FL"/>
        <s v="POS DEBIT                MARATHON PETRO149062     BOCA RATON    FL"/>
        <s v="gotinder.com/help 000-0000000 TX             01/17"/>
        <s v="WHOLEFDS BCA 101 1400B BOCA RATON FL 858599  01/17"/>
        <s v="POS DEBIT                STARBUCKS STORE 21822     DELRAY BEACH FL"/>
        <s v="POS DEBIT                GUITARCENTER.COM CALL     DRAPER       UT"/>
        <s v="POS DEBIT                SWEET TOMATOES #80       BOCA RATON    FL"/>
        <s v="GUITAR CENTER #791 DELRAY BEACH FL           01/16"/>
        <s v="POS DEBIT                APL* ITUNES.COM/BILL     866-712-7753  CA"/>
        <s v="gotinder.com/help 000-0000000 TX             01/15"/>
        <s v="PUBLIX SUPER MAR 4141 BOCA RATON FL  317230  01/14"/>
        <s v="POS DEBIT                SHELL SERVICE STATION     LAUDERHILL   FL"/>
        <s v="POS DEBIT                JO BABY                   LAUDERHILL   FL"/>
        <s v="POS DEBIT                ANTHONYS COAL FIRED PIZ  BOCA RATON    FL"/>
        <s v="POS DEBIT                SQ *LAUDERALE            Fort Lauderd  FL"/>
        <s v="NON-CHASE ATM WITHDRAW               294805  01/117024 BERA"/>
        <s v="PUBLIX SUPER MAR 21230 BOCA RATON FL 701032  01/11"/>
        <s v="First Watch Restaurants BOCA RATON FL        01/10"/>
        <s v="7024 BERACASAWAY BOCA RATON FL       294805  01/11"/>
        <s v="POS DEBIT                RAW JUCE                 BOCA RATON    FL"/>
        <s v="POS DEBIT                POLLO TROPICAL 10247     BOCA RATON    FL"/>
        <s v="TOTAL WINE AND MORE 90 BOCA RATON FL 263705  01/09"/>
        <s v="SHELL Service Station BOCA RATON FL  076301  01/09"/>
        <s v="POS DEBIT                RAW JUCE                  BOCA RATON   FL"/>
        <s v="POS DEBIT                MY MUSIC MASTER CLASS    GLENDALE      CA"/>
        <s v="ORIG CO NAME:FPL DIRECT DEBIT CO ENTRY DESCR:ELEC PYMT  SEC:PPD                        ORIG ID:3590247775"/>
        <s v="POS DEBIT                CVS/PHARMACY #03 03818-   BOCA RATON   FL"/>
        <s v="POS DEBIT                SUPERCUTS                 BOCA RATON   FL"/>
        <s v="POS DEBIT                CHEVRON/GRYPHON 2080 MG   FT. LAUDERDA FL"/>
        <s v="ORIG CO NAME:THE GARDENS NORT CO ENTRY DESCR:LOCKBOX    SEC:PPD                        ORIG ID:1592314821"/>
        <s v="WHOLEFDS BCA 101 1400B BOCA RATON FL 144255  01/04"/>
        <s v="POS DEBIT                GOTINDER.COM/HELP         000-0000000  TX"/>
        <s v="Netflix.com netflix.com CA                   01/02"/>
        <s v="PUBLIC STORAGE 26829 800-567-0759 FL         01/02"/>
        <s v="WF HOME MTG      AUTO PAY                   PPD ID: W952318940"/>
        <s v="BARNESNOBLE 1400 Glade BOCA RATON FL 825108  01/03"/>
        <s v="POS DEBIT                NEW ROYAL DAY SPA INC    KEY LARGO     FL"/>
        <s v="POS DEBIT                GILBERTS RESORT          KEY LARGO     FL"/>
        <s v="POS DEBIT                APL*ITUNES.COM/BILL      800-275-2273  CA"/>
      </sharedItems>
    </cacheField>
    <cacheField name="Amount" numFmtId="43">
      <sharedItems containsString="0" containsBlank="1" containsNumber="1" minValue="-3485.05" maxValue="1225"/>
    </cacheField>
    <cacheField name="Category" numFmtId="0">
      <sharedItems containsBlank="1" count="28">
        <s v="Misc"/>
        <s v="Gym"/>
        <s v="Xfinity"/>
        <m/>
        <s v="Music/hobbies"/>
        <s v="Household"/>
        <s v="Coffees"/>
        <s v="Groceries"/>
        <s v="Gas"/>
        <s v="Eating Out"/>
        <s v="For Sam; house"/>
        <s v="Med/Dental"/>
        <s v="Entertainment"/>
        <s v="Cash"/>
        <s v="Rent deposit"/>
        <s v="Haircut"/>
        <s v="Paycheck"/>
        <s v="Electric"/>
        <s v="HOA"/>
        <s v="Rent"/>
        <s v="Public Storage"/>
        <s v="Netflix"/>
        <s v="Massage Envy"/>
        <s v="Mortgage"/>
        <s v="Dry Cleaning"/>
        <s v="Auto Pmt"/>
        <s v="Cell Phone"/>
        <s v="Trave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3">
  <r>
    <s v="DEBIT"/>
    <x v="0"/>
    <x v="0"/>
    <x v="0"/>
    <x v="0"/>
    <n v="0"/>
    <s v="Fcst only"/>
    <n v="13828.990000000003"/>
    <m/>
  </r>
  <r>
    <s v="DEBIT"/>
    <x v="0"/>
    <x v="0"/>
    <x v="1"/>
    <x v="0"/>
    <n v="0"/>
    <s v="Fcst only"/>
    <n v="13828.990000000003"/>
    <m/>
  </r>
  <r>
    <s v="DEBIT"/>
    <x v="0"/>
    <x v="0"/>
    <x v="2"/>
    <x v="0"/>
    <n v="0"/>
    <s v="Fcst only"/>
    <n v="13828.990000000003"/>
    <m/>
  </r>
  <r>
    <s v="DEBIT"/>
    <x v="0"/>
    <x v="0"/>
    <x v="3"/>
    <x v="0"/>
    <n v="0"/>
    <s v="Fcst only"/>
    <n v="13828.990000000003"/>
    <m/>
  </r>
  <r>
    <s v="DEBIT"/>
    <x v="0"/>
    <x v="0"/>
    <x v="4"/>
    <x v="0"/>
    <n v="0"/>
    <s v="Fcst only"/>
    <n v="13828.990000000003"/>
    <m/>
  </r>
  <r>
    <s v="DEBIT"/>
    <x v="0"/>
    <x v="0"/>
    <x v="5"/>
    <x v="0"/>
    <n v="0"/>
    <s v="Fcst only"/>
    <n v="13828.990000000003"/>
    <m/>
  </r>
  <r>
    <s v="DEBIT"/>
    <x v="0"/>
    <x v="0"/>
    <x v="6"/>
    <x v="0"/>
    <n v="0"/>
    <s v="Fcst only"/>
    <n v="13828.990000000003"/>
    <m/>
  </r>
  <r>
    <s v="DEBIT"/>
    <x v="0"/>
    <x v="0"/>
    <x v="7"/>
    <x v="0"/>
    <n v="0"/>
    <s v="Fcst only"/>
    <n v="13828.990000000003"/>
    <m/>
  </r>
  <r>
    <s v="DEBIT"/>
    <x v="0"/>
    <x v="0"/>
    <x v="8"/>
    <x v="0"/>
    <n v="0"/>
    <s v="Fcst only"/>
    <n v="13828.990000000003"/>
    <m/>
  </r>
  <r>
    <s v="DEBIT"/>
    <x v="0"/>
    <x v="1"/>
    <x v="9"/>
    <x v="1"/>
    <m/>
    <m/>
    <n v="13828.990000000003"/>
    <m/>
  </r>
  <r>
    <s v="DEBIT"/>
    <x v="0"/>
    <x v="1"/>
    <x v="9"/>
    <x v="1"/>
    <m/>
    <m/>
    <n v="13828.990000000003"/>
    <m/>
  </r>
  <r>
    <s v="DEBIT"/>
    <x v="0"/>
    <x v="1"/>
    <x v="9"/>
    <x v="1"/>
    <m/>
    <m/>
    <n v="13828.990000000003"/>
    <m/>
  </r>
  <r>
    <s v="DEBIT"/>
    <x v="0"/>
    <x v="1"/>
    <x v="9"/>
    <x v="1"/>
    <m/>
    <m/>
    <n v="13828.990000000003"/>
    <m/>
  </r>
  <r>
    <s v="DEBIT"/>
    <x v="0"/>
    <x v="2"/>
    <x v="10"/>
    <x v="2"/>
    <n v="6.02"/>
    <m/>
    <n v="13828.990000000003"/>
    <m/>
  </r>
  <r>
    <s v="DEBIT"/>
    <x v="0"/>
    <x v="2"/>
    <x v="8"/>
    <x v="2"/>
    <n v="21.98"/>
    <m/>
    <n v="13835.010000000004"/>
    <m/>
  </r>
  <r>
    <s v="DEBIT"/>
    <x v="0"/>
    <x v="2"/>
    <x v="11"/>
    <x v="2"/>
    <n v="47"/>
    <m/>
    <n v="13856.990000000003"/>
    <m/>
  </r>
  <r>
    <s v="DEBIT"/>
    <x v="0"/>
    <x v="2"/>
    <x v="10"/>
    <x v="3"/>
    <n v="41.41"/>
    <m/>
    <n v="13903.990000000003"/>
    <m/>
  </r>
  <r>
    <s v="DEBIT"/>
    <x v="0"/>
    <x v="2"/>
    <x v="4"/>
    <x v="4"/>
    <n v="58.04"/>
    <m/>
    <n v="13945.400000000003"/>
    <m/>
  </r>
  <r>
    <s v="DEBIT"/>
    <x v="0"/>
    <x v="2"/>
    <x v="10"/>
    <x v="5"/>
    <n v="21.39"/>
    <m/>
    <n v="14003.440000000004"/>
    <m/>
  </r>
  <r>
    <s v="DEBIT"/>
    <x v="0"/>
    <x v="2"/>
    <x v="12"/>
    <x v="5"/>
    <n v="4.2300000000000004"/>
    <m/>
    <n v="14024.830000000004"/>
    <m/>
  </r>
  <r>
    <s v="DEBIT"/>
    <x v="0"/>
    <x v="2"/>
    <x v="12"/>
    <x v="6"/>
    <n v="-4.2300000000000004"/>
    <m/>
    <n v="14029.060000000003"/>
    <m/>
  </r>
  <r>
    <s v="DEBIT"/>
    <x v="0"/>
    <x v="2"/>
    <x v="12"/>
    <x v="5"/>
    <n v="4.2300000000000004"/>
    <m/>
    <n v="14024.830000000004"/>
    <m/>
  </r>
  <r>
    <s v="DEBIT"/>
    <x v="0"/>
    <x v="2"/>
    <x v="4"/>
    <x v="7"/>
    <n v="7.99"/>
    <m/>
    <n v="14029.060000000003"/>
    <m/>
  </r>
  <r>
    <s v="DEBIT"/>
    <x v="0"/>
    <x v="2"/>
    <x v="1"/>
    <x v="8"/>
    <n v="5"/>
    <m/>
    <n v="14037.050000000003"/>
    <m/>
  </r>
  <r>
    <s v="DEBIT"/>
    <x v="0"/>
    <x v="2"/>
    <x v="10"/>
    <x v="9"/>
    <n v="284.23"/>
    <m/>
    <n v="14042.050000000003"/>
    <m/>
  </r>
  <r>
    <s v="DEBIT"/>
    <x v="0"/>
    <x v="2"/>
    <x v="10"/>
    <x v="10"/>
    <n v="74.650000000000006"/>
    <m/>
    <n v="14326.280000000002"/>
    <m/>
  </r>
  <r>
    <s v="DEBIT"/>
    <x v="0"/>
    <x v="2"/>
    <x v="10"/>
    <x v="11"/>
    <n v="1700"/>
    <m/>
    <n v="14400.930000000002"/>
    <m/>
  </r>
  <r>
    <s v="DEBIT"/>
    <x v="0"/>
    <x v="2"/>
    <x v="10"/>
    <x v="12"/>
    <n v="-1857.84"/>
    <m/>
    <n v="16100.930000000002"/>
    <m/>
  </r>
  <r>
    <s v="DEBIT"/>
    <x v="1"/>
    <x v="3"/>
    <x v="7"/>
    <x v="13"/>
    <n v="25.67"/>
    <m/>
    <n v="14243.090000000002"/>
    <m/>
  </r>
  <r>
    <s v="DEBIT"/>
    <x v="1"/>
    <x v="4"/>
    <x v="10"/>
    <x v="14"/>
    <n v="-0.06"/>
    <m/>
    <n v="14268.760000000002"/>
    <m/>
  </r>
  <r>
    <s v="DEBIT"/>
    <x v="1"/>
    <x v="4"/>
    <x v="10"/>
    <x v="15"/>
    <n v="100"/>
    <m/>
    <n v="14268.700000000003"/>
    <m/>
  </r>
  <r>
    <s v="DEBIT"/>
    <x v="1"/>
    <x v="4"/>
    <x v="13"/>
    <x v="16"/>
    <n v="437.54"/>
    <m/>
    <n v="14368.700000000003"/>
    <m/>
  </r>
  <r>
    <s v="DEBIT"/>
    <x v="1"/>
    <x v="4"/>
    <x v="1"/>
    <x v="17"/>
    <n v="28.38"/>
    <m/>
    <n v="14806.240000000003"/>
    <m/>
  </r>
  <r>
    <s v="DEBIT"/>
    <x v="1"/>
    <x v="4"/>
    <x v="10"/>
    <x v="18"/>
    <n v="50"/>
    <m/>
    <n v="14834.620000000003"/>
    <m/>
  </r>
  <r>
    <s v="DEBIT"/>
    <x v="1"/>
    <x v="4"/>
    <x v="14"/>
    <x v="19"/>
    <n v="13.29"/>
    <m/>
    <n v="14884.620000000003"/>
    <m/>
  </r>
  <r>
    <s v="DEBIT"/>
    <x v="1"/>
    <x v="4"/>
    <x v="15"/>
    <x v="20"/>
    <n v="-3455.28"/>
    <m/>
    <n v="14897.910000000003"/>
    <m/>
  </r>
  <r>
    <s v="DEBIT"/>
    <x v="1"/>
    <x v="5"/>
    <x v="10"/>
    <x v="21"/>
    <n v="35.42"/>
    <m/>
    <n v="11442.630000000003"/>
    <m/>
  </r>
  <r>
    <s v="DEBIT"/>
    <x v="1"/>
    <x v="5"/>
    <x v="10"/>
    <x v="22"/>
    <n v="104.81"/>
    <m/>
    <n v="11478.050000000003"/>
    <m/>
  </r>
  <r>
    <s v="DEBIT"/>
    <x v="1"/>
    <x v="6"/>
    <x v="4"/>
    <x v="23"/>
    <n v="17.61"/>
    <m/>
    <n v="11582.860000000002"/>
    <m/>
  </r>
  <r>
    <s v="DEBIT"/>
    <x v="1"/>
    <x v="6"/>
    <x v="10"/>
    <x v="24"/>
    <n v="42.95"/>
    <m/>
    <n v="11600.470000000003"/>
    <m/>
  </r>
  <r>
    <s v="DEBIT"/>
    <x v="1"/>
    <x v="6"/>
    <x v="10"/>
    <x v="25"/>
    <n v="100"/>
    <m/>
    <n v="11643.420000000004"/>
    <m/>
  </r>
  <r>
    <s v="DEBIT"/>
    <x v="1"/>
    <x v="6"/>
    <x v="10"/>
    <x v="26"/>
    <n v="-2.95"/>
    <m/>
    <n v="11743.420000000004"/>
    <m/>
  </r>
  <r>
    <s v="DEBIT"/>
    <x v="1"/>
    <x v="7"/>
    <x v="10"/>
    <x v="27"/>
    <n v="100"/>
    <m/>
    <n v="11740.470000000003"/>
    <m/>
  </r>
  <r>
    <s v="DEBIT"/>
    <x v="1"/>
    <x v="7"/>
    <x v="10"/>
    <x v="28"/>
    <n v="500"/>
    <m/>
    <n v="11840.470000000003"/>
    <m/>
  </r>
  <r>
    <s v="DEBIT"/>
    <x v="1"/>
    <x v="8"/>
    <x v="16"/>
    <x v="29"/>
    <n v="60"/>
    <m/>
    <n v="12340.470000000003"/>
    <m/>
  </r>
  <r>
    <s v="DEBIT"/>
    <x v="1"/>
    <x v="8"/>
    <x v="16"/>
    <x v="30"/>
    <n v="43.5"/>
    <m/>
    <n v="12400.470000000003"/>
    <m/>
  </r>
  <r>
    <s v="DEBIT"/>
    <x v="1"/>
    <x v="8"/>
    <x v="3"/>
    <x v="31"/>
    <n v="27.63"/>
    <m/>
    <n v="12443.970000000003"/>
    <m/>
  </r>
  <r>
    <s v="DEBIT"/>
    <x v="1"/>
    <x v="8"/>
    <x v="10"/>
    <x v="32"/>
    <n v="15.01"/>
    <m/>
    <n v="12471.600000000002"/>
    <m/>
  </r>
  <r>
    <s v="DEBIT"/>
    <x v="1"/>
    <x v="8"/>
    <x v="12"/>
    <x v="5"/>
    <n v="4.87"/>
    <m/>
    <n v="12486.610000000002"/>
    <m/>
  </r>
  <r>
    <s v="DEBIT"/>
    <x v="1"/>
    <x v="8"/>
    <x v="1"/>
    <x v="33"/>
    <n v="33"/>
    <m/>
    <n v="12491.480000000003"/>
    <m/>
  </r>
  <r>
    <s v="DEBIT"/>
    <x v="1"/>
    <x v="8"/>
    <x v="17"/>
    <x v="34"/>
    <n v="2.25"/>
    <m/>
    <n v="12524.480000000003"/>
    <m/>
  </r>
  <r>
    <s v="DEBIT"/>
    <x v="1"/>
    <x v="8"/>
    <x v="17"/>
    <x v="35"/>
    <n v="8"/>
    <m/>
    <n v="12526.730000000003"/>
    <m/>
  </r>
  <r>
    <s v="DEBIT"/>
    <x v="1"/>
    <x v="8"/>
    <x v="10"/>
    <x v="36"/>
    <n v="4"/>
    <m/>
    <n v="12534.730000000003"/>
    <m/>
  </r>
  <r>
    <s v="DEBIT"/>
    <x v="1"/>
    <x v="8"/>
    <x v="12"/>
    <x v="5"/>
    <n v="4.87"/>
    <m/>
    <n v="12538.730000000003"/>
    <m/>
  </r>
  <r>
    <s v="DEBIT"/>
    <x v="1"/>
    <x v="8"/>
    <x v="16"/>
    <x v="37"/>
    <n v="83"/>
    <m/>
    <n v="12543.600000000004"/>
    <m/>
  </r>
  <r>
    <s v="DEBIT"/>
    <x v="1"/>
    <x v="9"/>
    <x v="14"/>
    <x v="38"/>
    <n v="14.5"/>
    <m/>
    <n v="12626.600000000004"/>
    <m/>
  </r>
  <r>
    <s v="DEBIT"/>
    <x v="1"/>
    <x v="10"/>
    <x v="10"/>
    <x v="39"/>
    <n v="7.5"/>
    <m/>
    <n v="12641.100000000004"/>
    <m/>
  </r>
  <r>
    <s v="DEBIT"/>
    <x v="1"/>
    <x v="10"/>
    <x v="3"/>
    <x v="40"/>
    <n v="37.29"/>
    <m/>
    <n v="12648.600000000004"/>
    <m/>
  </r>
  <r>
    <s v="DEBIT"/>
    <x v="1"/>
    <x v="10"/>
    <x v="7"/>
    <x v="41"/>
    <n v="7.48"/>
    <m/>
    <n v="12685.890000000005"/>
    <m/>
  </r>
  <r>
    <s v="DEBIT"/>
    <x v="1"/>
    <x v="10"/>
    <x v="7"/>
    <x v="42"/>
    <n v="25.67"/>
    <m/>
    <n v="12693.370000000004"/>
    <m/>
  </r>
  <r>
    <s v="DEBIT"/>
    <x v="1"/>
    <x v="11"/>
    <x v="10"/>
    <x v="43"/>
    <n v="50"/>
    <m/>
    <n v="12669.040000000005"/>
    <m/>
  </r>
  <r>
    <s v="DEBIT"/>
    <x v="1"/>
    <x v="11"/>
    <x v="16"/>
    <x v="44"/>
    <n v="50"/>
    <m/>
    <n v="12719.040000000005"/>
    <m/>
  </r>
  <r>
    <s v="DEBIT"/>
    <x v="1"/>
    <x v="11"/>
    <x v="1"/>
    <x v="45"/>
    <n v="5.98"/>
    <m/>
    <n v="12769.040000000005"/>
    <m/>
  </r>
  <r>
    <s v="DEBIT"/>
    <x v="1"/>
    <x v="12"/>
    <x v="4"/>
    <x v="46"/>
    <n v="9.09"/>
    <m/>
    <n v="12775.020000000004"/>
    <m/>
  </r>
  <r>
    <s v="DEBIT"/>
    <x v="1"/>
    <x v="12"/>
    <x v="17"/>
    <x v="47"/>
    <n v="2"/>
    <m/>
    <n v="12784.110000000004"/>
    <m/>
  </r>
  <r>
    <s v="DEBIT"/>
    <x v="1"/>
    <x v="12"/>
    <x v="0"/>
    <x v="48"/>
    <n v="23"/>
    <m/>
    <n v="12786.110000000004"/>
    <m/>
  </r>
  <r>
    <s v="DEBIT"/>
    <x v="1"/>
    <x v="13"/>
    <x v="12"/>
    <x v="49"/>
    <n v="2.68"/>
    <m/>
    <n v="12809.110000000004"/>
    <m/>
  </r>
  <r>
    <s v="DEBIT"/>
    <x v="1"/>
    <x v="13"/>
    <x v="4"/>
    <x v="50"/>
    <n v="8.1"/>
    <m/>
    <n v="12811.790000000005"/>
    <m/>
  </r>
  <r>
    <s v="DEBIT"/>
    <x v="1"/>
    <x v="13"/>
    <x v="1"/>
    <x v="51"/>
    <n v="15.55"/>
    <m/>
    <n v="12819.890000000005"/>
    <m/>
  </r>
  <r>
    <s v="DEBIT"/>
    <x v="1"/>
    <x v="13"/>
    <x v="12"/>
    <x v="52"/>
    <n v="3.82"/>
    <m/>
    <n v="12835.440000000004"/>
    <m/>
  </r>
  <r>
    <s v="DEBIT"/>
    <x v="1"/>
    <x v="13"/>
    <x v="10"/>
    <x v="53"/>
    <n v="19.07"/>
    <m/>
    <n v="12839.260000000004"/>
    <m/>
  </r>
  <r>
    <s v="DEBIT"/>
    <x v="1"/>
    <x v="13"/>
    <x v="1"/>
    <x v="54"/>
    <n v="36"/>
    <m/>
    <n v="12858.330000000004"/>
    <m/>
  </r>
  <r>
    <s v="DEBIT"/>
    <x v="1"/>
    <x v="14"/>
    <x v="4"/>
    <x v="55"/>
    <n v="4.32"/>
    <m/>
    <n v="12894.330000000004"/>
    <m/>
  </r>
  <r>
    <s v="DEBIT"/>
    <x v="1"/>
    <x v="14"/>
    <x v="12"/>
    <x v="56"/>
    <n v="4.87"/>
    <m/>
    <n v="12898.650000000003"/>
    <m/>
  </r>
  <r>
    <s v="DEBIT"/>
    <x v="1"/>
    <x v="14"/>
    <x v="10"/>
    <x v="57"/>
    <n v="20"/>
    <m/>
    <n v="12903.520000000004"/>
    <m/>
  </r>
  <r>
    <s v="DEBIT"/>
    <x v="1"/>
    <x v="14"/>
    <x v="4"/>
    <x v="57"/>
    <n v="6.95"/>
    <m/>
    <n v="12936.570000000003"/>
    <m/>
  </r>
  <r>
    <s v="DEBIT"/>
    <x v="1"/>
    <x v="14"/>
    <x v="10"/>
    <x v="58"/>
    <n v="20"/>
    <m/>
    <n v="12923.520000000004"/>
    <m/>
  </r>
  <r>
    <s v="DEBIT"/>
    <x v="1"/>
    <x v="14"/>
    <x v="17"/>
    <x v="59"/>
    <n v="1"/>
    <m/>
    <n v="12943.520000000004"/>
    <m/>
  </r>
  <r>
    <s v="DEBIT"/>
    <x v="1"/>
    <x v="14"/>
    <x v="17"/>
    <x v="59"/>
    <n v="4"/>
    <m/>
    <n v="12944.520000000004"/>
    <m/>
  </r>
  <r>
    <s v="DEBIT"/>
    <x v="1"/>
    <x v="14"/>
    <x v="17"/>
    <x v="60"/>
    <n v="5"/>
    <m/>
    <n v="12948.520000000004"/>
    <m/>
  </r>
  <r>
    <s v="DEBIT"/>
    <x v="1"/>
    <x v="14"/>
    <x v="4"/>
    <x v="61"/>
    <n v="15.81"/>
    <m/>
    <n v="12953.520000000004"/>
    <m/>
  </r>
  <r>
    <s v="DEBIT"/>
    <x v="1"/>
    <x v="14"/>
    <x v="10"/>
    <x v="62"/>
    <n v="66.92"/>
    <m/>
    <n v="12969.330000000004"/>
    <m/>
  </r>
  <r>
    <s v="DEBIT"/>
    <x v="1"/>
    <x v="14"/>
    <x v="10"/>
    <x v="63"/>
    <n v="63"/>
    <m/>
    <n v="13036.250000000004"/>
    <m/>
  </r>
  <r>
    <s v="DEBIT"/>
    <x v="1"/>
    <x v="14"/>
    <x v="12"/>
    <x v="64"/>
    <n v="4.87"/>
    <m/>
    <n v="13099.250000000004"/>
    <m/>
  </r>
  <r>
    <s v="CREDIT"/>
    <x v="1"/>
    <x v="14"/>
    <x v="10"/>
    <x v="65"/>
    <n v="-3"/>
    <m/>
    <n v="13104.120000000004"/>
    <m/>
  </r>
  <r>
    <s v="DEBIT"/>
    <x v="1"/>
    <x v="15"/>
    <x v="10"/>
    <x v="66"/>
    <n v="44.94"/>
    <m/>
    <n v="13101.120000000004"/>
    <m/>
  </r>
  <r>
    <s v="DEBIT"/>
    <x v="1"/>
    <x v="15"/>
    <x v="1"/>
    <x v="67"/>
    <n v="3.96"/>
    <m/>
    <n v="13146.060000000005"/>
    <m/>
  </r>
  <r>
    <s v="CREDIT"/>
    <x v="1"/>
    <x v="15"/>
    <x v="15"/>
    <x v="20"/>
    <n v="-3455.28"/>
    <m/>
    <n v="13150.020000000004"/>
    <m/>
  </r>
  <r>
    <s v="DSLIP"/>
    <x v="1"/>
    <x v="15"/>
    <x v="18"/>
    <x v="68"/>
    <n v="-1350"/>
    <m/>
    <n v="9694.7400000000034"/>
    <m/>
  </r>
  <r>
    <s v="DEBIT"/>
    <x v="1"/>
    <x v="15"/>
    <x v="1"/>
    <x v="69"/>
    <n v="5.13"/>
    <m/>
    <n v="8344.7400000000034"/>
    <m/>
  </r>
  <r>
    <s v="DEBIT"/>
    <x v="1"/>
    <x v="15"/>
    <x v="1"/>
    <x v="70"/>
    <n v="5.98"/>
    <m/>
    <n v="8349.8700000000026"/>
    <m/>
  </r>
  <r>
    <s v="DEBIT"/>
    <x v="1"/>
    <x v="15"/>
    <x v="12"/>
    <x v="71"/>
    <n v="4.82"/>
    <m/>
    <n v="8355.8500000000022"/>
    <m/>
  </r>
  <r>
    <s v="DEBIT"/>
    <x v="1"/>
    <x v="15"/>
    <x v="7"/>
    <x v="72"/>
    <n v="64.7"/>
    <m/>
    <n v="8360.6700000000019"/>
    <m/>
  </r>
  <r>
    <s v="DEBIT"/>
    <x v="1"/>
    <x v="15"/>
    <x v="1"/>
    <x v="73"/>
    <n v="3.96"/>
    <m/>
    <n v="8425.3700000000026"/>
    <m/>
  </r>
  <r>
    <s v="DEBIT"/>
    <x v="1"/>
    <x v="15"/>
    <x v="15"/>
    <x v="74"/>
    <n v="-3455.28"/>
    <m/>
    <n v="8429.3300000000017"/>
    <m/>
  </r>
  <r>
    <s v="DEBIT"/>
    <x v="1"/>
    <x v="16"/>
    <x v="7"/>
    <x v="75"/>
    <n v="36.67"/>
    <m/>
    <n v="4974.050000000002"/>
    <m/>
  </r>
  <r>
    <s v="DEBIT"/>
    <x v="1"/>
    <x v="16"/>
    <x v="12"/>
    <x v="76"/>
    <n v="4.2300000000000004"/>
    <m/>
    <n v="5010.7200000000021"/>
    <m/>
  </r>
  <r>
    <s v="DEBIT"/>
    <x v="1"/>
    <x v="16"/>
    <x v="1"/>
    <x v="77"/>
    <n v="5.34"/>
    <m/>
    <n v="5014.9500000000016"/>
    <m/>
  </r>
  <r>
    <s v="DEBIT"/>
    <x v="1"/>
    <x v="17"/>
    <x v="4"/>
    <x v="78"/>
    <n v="10.99"/>
    <m/>
    <n v="5020.2900000000018"/>
    <m/>
  </r>
  <r>
    <s v="DEBIT"/>
    <x v="1"/>
    <x v="17"/>
    <x v="1"/>
    <x v="79"/>
    <n v="35.71"/>
    <m/>
    <n v="5031.2800000000016"/>
    <m/>
  </r>
  <r>
    <s v="DEBIT"/>
    <x v="1"/>
    <x v="18"/>
    <x v="4"/>
    <x v="80"/>
    <n v="24.59"/>
    <m/>
    <n v="5066.9900000000016"/>
    <m/>
  </r>
  <r>
    <s v="DEBIT"/>
    <x v="1"/>
    <x v="18"/>
    <x v="12"/>
    <x v="81"/>
    <n v="2.68"/>
    <m/>
    <n v="5091.5800000000017"/>
    <m/>
  </r>
  <r>
    <s v="DEBIT"/>
    <x v="1"/>
    <x v="18"/>
    <x v="4"/>
    <x v="82"/>
    <n v="3.98"/>
    <m/>
    <n v="5094.260000000002"/>
    <m/>
  </r>
  <r>
    <s v="DEBIT"/>
    <x v="1"/>
    <x v="18"/>
    <x v="12"/>
    <x v="83"/>
    <n v="4.2300000000000004"/>
    <m/>
    <n v="5098.2400000000016"/>
    <m/>
  </r>
  <r>
    <s v="DEBIT"/>
    <x v="1"/>
    <x v="18"/>
    <x v="1"/>
    <x v="84"/>
    <n v="30.5"/>
    <m/>
    <n v="5102.4700000000012"/>
    <m/>
  </r>
  <r>
    <s v="DEBIT"/>
    <x v="1"/>
    <x v="19"/>
    <x v="2"/>
    <x v="85"/>
    <n v="100"/>
    <s v="DEBIT_CARD"/>
    <n v="5132.9700000000012"/>
    <m/>
  </r>
  <r>
    <s v="DEBIT"/>
    <x v="1"/>
    <x v="19"/>
    <x v="17"/>
    <x v="86"/>
    <n v="12.13"/>
    <s v="MISC_DEBIT"/>
    <n v="5232.9700000000012"/>
    <m/>
  </r>
  <r>
    <s v="DEBIT"/>
    <x v="1"/>
    <x v="19"/>
    <x v="1"/>
    <x v="87"/>
    <n v="36.76"/>
    <s v="MISC_DEBIT"/>
    <n v="5245.1000000000013"/>
    <m/>
  </r>
  <r>
    <s v="DEBIT"/>
    <x v="1"/>
    <x v="19"/>
    <x v="4"/>
    <x v="88"/>
    <n v="51.41"/>
    <s v="MISC_DEBIT"/>
    <n v="5281.8600000000015"/>
    <m/>
  </r>
  <r>
    <s v="DEBIT"/>
    <x v="1"/>
    <x v="19"/>
    <x v="12"/>
    <x v="5"/>
    <n v="4.55"/>
    <s v="MISC_DEBIT"/>
    <n v="5333.2700000000013"/>
    <m/>
  </r>
  <r>
    <s v="DEBIT"/>
    <x v="1"/>
    <x v="19"/>
    <x v="3"/>
    <x v="89"/>
    <n v="35.44"/>
    <s v="MISC_DEBIT"/>
    <n v="5337.8200000000015"/>
    <m/>
  </r>
  <r>
    <s v="DEBIT"/>
    <x v="1"/>
    <x v="19"/>
    <x v="12"/>
    <x v="90"/>
    <n v="7.64"/>
    <s v="MISC_DEBIT"/>
    <n v="5373.2600000000011"/>
    <m/>
  </r>
  <r>
    <s v="DEBIT"/>
    <x v="1"/>
    <x v="19"/>
    <x v="17"/>
    <x v="91"/>
    <n v="5"/>
    <s v="MISC_DEBIT"/>
    <n v="5380.9000000000015"/>
    <m/>
  </r>
  <r>
    <s v="DEBIT"/>
    <x v="1"/>
    <x v="19"/>
    <x v="1"/>
    <x v="92"/>
    <n v="26.5"/>
    <s v="MISC_DEBIT"/>
    <n v="5385.9000000000015"/>
    <m/>
  </r>
  <r>
    <s v="DEBIT"/>
    <x v="1"/>
    <x v="19"/>
    <x v="1"/>
    <x v="93"/>
    <n v="3.8"/>
    <s v="MISC_DEBIT"/>
    <n v="5412.4000000000015"/>
    <m/>
  </r>
  <r>
    <s v="DEBIT"/>
    <x v="1"/>
    <x v="19"/>
    <x v="12"/>
    <x v="5"/>
    <n v="8.2899999999999991"/>
    <s v="MISC_DEBIT"/>
    <n v="5416.2000000000016"/>
    <m/>
  </r>
  <r>
    <s v="DEBIT"/>
    <x v="1"/>
    <x v="20"/>
    <x v="7"/>
    <x v="94"/>
    <n v="21.66"/>
    <s v="MISC_DEBIT"/>
    <n v="5424.4900000000016"/>
    <m/>
  </r>
  <r>
    <s v="DEBIT"/>
    <x v="1"/>
    <x v="21"/>
    <x v="4"/>
    <x v="95"/>
    <n v="7.58"/>
    <s v="DEBIT_CARD"/>
    <n v="5446.1500000000015"/>
    <m/>
  </r>
  <r>
    <s v="DEBIT"/>
    <x v="1"/>
    <x v="21"/>
    <x v="1"/>
    <x v="96"/>
    <n v="40.770000000000003"/>
    <s v="DEBIT_CARD"/>
    <n v="5453.7300000000014"/>
    <m/>
  </r>
  <r>
    <s v="DEBIT"/>
    <x v="1"/>
    <x v="22"/>
    <x v="1"/>
    <x v="97"/>
    <n v="7.74"/>
    <s v="DEBIT_CARD"/>
    <n v="5486.760000000002"/>
    <m/>
  </r>
  <r>
    <s v="DEBIT"/>
    <x v="1"/>
    <x v="22"/>
    <x v="4"/>
    <x v="97"/>
    <n v="3.81"/>
    <s v="DEBIT_CARD"/>
    <n v="5494.5000000000018"/>
    <m/>
  </r>
  <r>
    <s v="DEBIT"/>
    <x v="1"/>
    <x v="22"/>
    <x v="1"/>
    <x v="98"/>
    <n v="23.02"/>
    <s v="DEBIT_CARD"/>
    <n v="5498.3100000000022"/>
    <m/>
  </r>
  <r>
    <s v="DEBIT"/>
    <x v="1"/>
    <x v="22"/>
    <x v="10"/>
    <x v="99"/>
    <n v="64.73"/>
    <s v="DEBIT_CARD"/>
    <n v="5521.3300000000027"/>
    <m/>
  </r>
  <r>
    <s v="DEBIT"/>
    <x v="1"/>
    <x v="23"/>
    <x v="3"/>
    <x v="100"/>
    <n v="34.520000000000003"/>
    <s v="DEBIT_CARD"/>
    <n v="5586.0600000000022"/>
    <m/>
  </r>
  <r>
    <s v="DEBIT"/>
    <x v="1"/>
    <x v="24"/>
    <x v="12"/>
    <x v="101"/>
    <n v="2.68"/>
    <s v="DEBIT_CARD"/>
    <n v="5620.5800000000027"/>
    <m/>
  </r>
  <r>
    <s v="DEBIT"/>
    <x v="1"/>
    <x v="24"/>
    <x v="12"/>
    <x v="102"/>
    <n v="4.2300000000000004"/>
    <s v="DEBIT_CARD"/>
    <n v="5623.2600000000029"/>
    <m/>
  </r>
  <r>
    <s v="DEBIT"/>
    <x v="1"/>
    <x v="24"/>
    <x v="17"/>
    <x v="103"/>
    <n v="1.3"/>
    <s v="DEBIT_CARD"/>
    <n v="5627.4900000000025"/>
    <m/>
  </r>
  <r>
    <s v="DEBIT"/>
    <x v="1"/>
    <x v="25"/>
    <x v="4"/>
    <x v="104"/>
    <n v="12.16"/>
    <s v="DEBIT_CARD"/>
    <n v="5628.7900000000027"/>
    <m/>
  </r>
  <r>
    <s v="DEBIT"/>
    <x v="1"/>
    <x v="25"/>
    <x v="2"/>
    <x v="85"/>
    <n v="100"/>
    <s v="DEBIT_CARD"/>
    <n v="5640.9500000000025"/>
    <m/>
  </r>
  <r>
    <s v="DEBIT"/>
    <x v="1"/>
    <x v="25"/>
    <x v="4"/>
    <x v="105"/>
    <n v="20.420000000000002"/>
    <s v="DEBIT_CARD"/>
    <n v="5740.9500000000025"/>
    <m/>
  </r>
  <r>
    <s v="DEBIT"/>
    <x v="1"/>
    <x v="25"/>
    <x v="12"/>
    <x v="106"/>
    <n v="2.6"/>
    <s v="DEBIT_CARD"/>
    <n v="5761.3700000000026"/>
    <m/>
  </r>
  <r>
    <s v="DEBIT"/>
    <x v="1"/>
    <x v="25"/>
    <x v="12"/>
    <x v="5"/>
    <n v="4.2300000000000004"/>
    <s v="DEBIT_CARD"/>
    <n v="5763.970000000003"/>
    <m/>
  </r>
  <r>
    <s v="DEBIT"/>
    <x v="1"/>
    <x v="25"/>
    <x v="7"/>
    <x v="107"/>
    <n v="12.6"/>
    <s v="DEBIT_CARD"/>
    <n v="5768.2000000000025"/>
    <m/>
  </r>
  <r>
    <s v="DEBIT"/>
    <x v="1"/>
    <x v="25"/>
    <x v="10"/>
    <x v="108"/>
    <n v="400"/>
    <s v="DEBIT_CARD"/>
    <n v="5780.8000000000029"/>
    <m/>
  </r>
  <r>
    <s v="DEBIT"/>
    <x v="1"/>
    <x v="25"/>
    <x v="1"/>
    <x v="92"/>
    <n v="45.22"/>
    <s v="DEBIT_CARD"/>
    <n v="6180.8000000000029"/>
    <m/>
  </r>
  <r>
    <s v="DEBIT"/>
    <x v="1"/>
    <x v="25"/>
    <x v="12"/>
    <x v="90"/>
    <n v="2.6"/>
    <s v="DEBIT_CARD"/>
    <n v="6226.0200000000032"/>
    <m/>
  </r>
  <r>
    <s v="DEBIT"/>
    <x v="1"/>
    <x v="25"/>
    <x v="17"/>
    <x v="35"/>
    <n v="8"/>
    <s v="DEBIT_CARD"/>
    <n v="6228.6200000000035"/>
    <m/>
  </r>
  <r>
    <s v="DEBIT"/>
    <x v="1"/>
    <x v="25"/>
    <x v="3"/>
    <x v="109"/>
    <n v="37.86"/>
    <s v="DEBIT_CARD"/>
    <n v="6236.6200000000035"/>
    <m/>
  </r>
  <r>
    <s v="DEBIT"/>
    <x v="1"/>
    <x v="25"/>
    <x v="1"/>
    <x v="88"/>
    <n v="6.95"/>
    <s v="DEBIT_CARD"/>
    <n v="6274.4800000000032"/>
    <m/>
  </r>
  <r>
    <s v="DEBIT"/>
    <x v="1"/>
    <x v="25"/>
    <x v="12"/>
    <x v="5"/>
    <n v="4.2300000000000004"/>
    <s v="DEBIT_CARD"/>
    <n v="6281.430000000003"/>
    <m/>
  </r>
  <r>
    <s v="DEBIT"/>
    <x v="1"/>
    <x v="26"/>
    <x v="14"/>
    <x v="38"/>
    <n v="21.63"/>
    <s v="DEBIT_CARD"/>
    <n v="6285.6600000000026"/>
    <m/>
  </r>
  <r>
    <s v="DEBIT"/>
    <x v="1"/>
    <x v="25"/>
    <x v="19"/>
    <x v="110"/>
    <n v="828.15"/>
    <s v="DEBIT_CARD"/>
    <n v="6307.2900000000027"/>
    <m/>
  </r>
  <r>
    <s v="DEBIT"/>
    <x v="1"/>
    <x v="27"/>
    <x v="1"/>
    <x v="111"/>
    <n v="3.99"/>
    <s v="DEBIT_CARD"/>
    <n v="7135.4400000000023"/>
    <m/>
  </r>
  <r>
    <s v="DEBIT"/>
    <x v="1"/>
    <x v="27"/>
    <x v="4"/>
    <x v="111"/>
    <n v="6.15"/>
    <s v="DEBIT_CARD"/>
    <n v="7139.4300000000021"/>
    <m/>
  </r>
  <r>
    <s v="DEBIT"/>
    <x v="1"/>
    <x v="27"/>
    <x v="15"/>
    <x v="20"/>
    <n v="-3455.27"/>
    <s v="DEBIT_CARD"/>
    <n v="7145.5800000000017"/>
    <m/>
  </r>
  <r>
    <s v="DEBIT"/>
    <x v="1"/>
    <x v="27"/>
    <x v="20"/>
    <x v="112"/>
    <n v="298"/>
    <s v="DEBIT_CARD"/>
    <n v="3690.3100000000013"/>
    <m/>
  </r>
  <r>
    <s v="DEBIT"/>
    <x v="1"/>
    <x v="27"/>
    <x v="11"/>
    <x v="113"/>
    <n v="47"/>
    <s v="DEBIT_CARD"/>
    <n v="3988.3100000000013"/>
    <m/>
  </r>
  <r>
    <s v="DEBIT"/>
    <x v="1"/>
    <x v="27"/>
    <x v="21"/>
    <x v="114"/>
    <n v="545"/>
    <s v="DEBIT_CARD"/>
    <n v="4035.3100000000013"/>
    <m/>
  </r>
  <r>
    <s v="DEBIT"/>
    <x v="1"/>
    <x v="27"/>
    <x v="14"/>
    <x v="115"/>
    <n v="21.63"/>
    <s v="DEBIT_CARD"/>
    <n v="4580.3100000000013"/>
    <m/>
  </r>
  <r>
    <s v="DEBIT"/>
    <x v="1"/>
    <x v="27"/>
    <x v="10"/>
    <x v="116"/>
    <n v="11"/>
    <s v="DEBIT_CARD"/>
    <n v="4601.9400000000014"/>
    <m/>
  </r>
  <r>
    <s v="CREDIT"/>
    <x v="2"/>
    <x v="28"/>
    <x v="10"/>
    <x v="14"/>
    <n v="-0.05"/>
    <s v="DEBIT_CARD"/>
    <n v="4612.9400000000014"/>
    <m/>
  </r>
  <r>
    <s v="DEBIT"/>
    <x v="2"/>
    <x v="28"/>
    <x v="7"/>
    <x v="117"/>
    <n v="200"/>
    <s v="DEBIT_CARD"/>
    <n v="4612.8900000000012"/>
    <m/>
  </r>
  <r>
    <s v="DEBIT"/>
    <x v="2"/>
    <x v="28"/>
    <x v="10"/>
    <x v="118"/>
    <n v="4.92"/>
    <s v="DEBIT_CARD"/>
    <n v="4812.8900000000012"/>
    <m/>
  </r>
  <r>
    <s v="DEBIT"/>
    <x v="2"/>
    <x v="28"/>
    <x v="1"/>
    <x v="119"/>
    <n v="4.96"/>
    <s v="DEBIT_CARD"/>
    <n v="4817.8100000000013"/>
    <m/>
  </r>
  <r>
    <s v="DEBIT"/>
    <x v="2"/>
    <x v="28"/>
    <x v="3"/>
    <x v="120"/>
    <n v="20.010000000000002"/>
    <s v="DEBIT_CARD"/>
    <n v="4822.7700000000013"/>
    <m/>
  </r>
  <r>
    <s v="DEBIT"/>
    <x v="2"/>
    <x v="29"/>
    <x v="1"/>
    <x v="121"/>
    <n v="16.28"/>
    <s v="DEBIT_CARD"/>
    <n v="4842.7800000000016"/>
    <m/>
  </r>
  <r>
    <s v="DEBIT"/>
    <x v="2"/>
    <x v="30"/>
    <x v="4"/>
    <x v="111"/>
    <n v="21.2"/>
    <s v="DEBIT_CARD"/>
    <n v="4859.0600000000013"/>
    <m/>
  </r>
  <r>
    <s v="DEBIT"/>
    <x v="2"/>
    <x v="30"/>
    <x v="0"/>
    <x v="122"/>
    <n v="22.99"/>
    <s v="DEBIT_CARD"/>
    <n v="4880.2600000000011"/>
    <m/>
  </r>
  <r>
    <s v="DEBIT"/>
    <x v="2"/>
    <x v="30"/>
    <x v="13"/>
    <x v="123"/>
    <n v="437.54"/>
    <s v="ACH_DEBIT"/>
    <n v="4903.2500000000009"/>
    <m/>
  </r>
  <r>
    <s v="DEBIT"/>
    <x v="2"/>
    <x v="30"/>
    <x v="1"/>
    <x v="124"/>
    <n v="34.11"/>
    <s v="MISC_DEBIT"/>
    <n v="5340.7900000000009"/>
    <m/>
  </r>
  <r>
    <s v="DEBIT"/>
    <x v="2"/>
    <x v="30"/>
    <x v="2"/>
    <x v="85"/>
    <n v="100"/>
    <s v="MISC_DEBIT"/>
    <n v="5374.9000000000005"/>
    <m/>
  </r>
  <r>
    <s v="DEBIT"/>
    <x v="2"/>
    <x v="30"/>
    <x v="4"/>
    <x v="105"/>
    <n v="71.429999999999993"/>
    <s v="MISC_DEBIT"/>
    <n v="5474.9000000000005"/>
    <s v="Groceries"/>
  </r>
  <r>
    <s v="DEBIT"/>
    <x v="2"/>
    <x v="30"/>
    <x v="10"/>
    <x v="105"/>
    <n v="38.92"/>
    <s v="MISC_DEBIT"/>
    <n v="5133.3300000000008"/>
    <s v="Juicer"/>
  </r>
  <r>
    <s v="DEBIT"/>
    <x v="2"/>
    <x v="30"/>
    <x v="1"/>
    <x v="125"/>
    <n v="13.78"/>
    <s v="MISC_DEBIT"/>
    <n v="5546.3300000000008"/>
    <m/>
  </r>
  <r>
    <s v="DEBIT"/>
    <x v="2"/>
    <x v="30"/>
    <x v="17"/>
    <x v="91"/>
    <n v="5.25"/>
    <s v="MISC_DEBIT"/>
    <n v="5560.1100000000006"/>
    <m/>
  </r>
  <r>
    <s v="DEBIT"/>
    <x v="2"/>
    <x v="30"/>
    <x v="3"/>
    <x v="126"/>
    <n v="25.04"/>
    <s v="MISC_DEBIT"/>
    <n v="5565.3600000000006"/>
    <m/>
  </r>
  <r>
    <s v="DEBIT"/>
    <x v="2"/>
    <x v="30"/>
    <x v="1"/>
    <x v="127"/>
    <n v="11.77"/>
    <s v="MISC_DEBIT"/>
    <n v="5590.4000000000005"/>
    <m/>
  </r>
  <r>
    <s v="DEBIT"/>
    <x v="2"/>
    <x v="30"/>
    <x v="12"/>
    <x v="5"/>
    <n v="4.55"/>
    <s v="MISC_DEBIT"/>
    <n v="5602.170000000001"/>
    <m/>
  </r>
  <r>
    <s v="DEBIT"/>
    <x v="2"/>
    <x v="30"/>
    <x v="22"/>
    <x v="128"/>
    <n v="75"/>
    <s v="MISC_DEBIT"/>
    <n v="5606.7200000000012"/>
    <m/>
  </r>
  <r>
    <s v="DEBIT"/>
    <x v="2"/>
    <x v="30"/>
    <x v="23"/>
    <x v="128"/>
    <n v="15"/>
    <s v="MISC_DEBIT"/>
    <n v="5591.7200000000012"/>
    <m/>
  </r>
  <r>
    <s v="DEBIT"/>
    <x v="2"/>
    <x v="30"/>
    <x v="22"/>
    <x v="129"/>
    <n v="5"/>
    <s v="MISC_DEBIT"/>
    <n v="5681.7200000000012"/>
    <m/>
  </r>
  <r>
    <s v="DEBIT"/>
    <x v="2"/>
    <x v="30"/>
    <x v="22"/>
    <x v="129"/>
    <n v="28.66"/>
    <s v="MISC_DEBIT"/>
    <n v="5686.7200000000012"/>
    <m/>
  </r>
  <r>
    <s v="DEBIT"/>
    <x v="2"/>
    <x v="30"/>
    <x v="23"/>
    <x v="130"/>
    <n v="10.75"/>
    <s v="MISC_DEBIT"/>
    <n v="5715.380000000001"/>
    <m/>
  </r>
  <r>
    <s v="DEBIT"/>
    <x v="2"/>
    <x v="30"/>
    <x v="23"/>
    <x v="129"/>
    <n v="1"/>
    <s v="MISC_DEBIT"/>
    <n v="5726.130000000001"/>
    <m/>
  </r>
  <r>
    <s v="DEBIT"/>
    <x v="2"/>
    <x v="30"/>
    <x v="23"/>
    <x v="129"/>
    <n v="7.03"/>
    <s v="MISC_DEBIT"/>
    <n v="5727.130000000001"/>
    <m/>
  </r>
  <r>
    <s v="DEBIT"/>
    <x v="2"/>
    <x v="30"/>
    <x v="23"/>
    <x v="129"/>
    <n v="1"/>
    <s v="MISC_DEBIT"/>
    <n v="5734.1600000000008"/>
    <m/>
  </r>
  <r>
    <s v="DEBIT"/>
    <x v="2"/>
    <x v="30"/>
    <x v="23"/>
    <x v="131"/>
    <n v="32.4"/>
    <s v="MISC_DEBIT"/>
    <n v="5735.1600000000008"/>
    <m/>
  </r>
  <r>
    <s v="DEBIT"/>
    <x v="2"/>
    <x v="30"/>
    <x v="23"/>
    <x v="129"/>
    <n v="8.2799999999999994"/>
    <s v="MISC_DEBIT"/>
    <n v="5767.56"/>
    <m/>
  </r>
  <r>
    <s v="DEBIT"/>
    <x v="2"/>
    <x v="30"/>
    <x v="23"/>
    <x v="132"/>
    <n v="6"/>
    <s v="MISC_DEBIT"/>
    <n v="5775.84"/>
    <m/>
  </r>
  <r>
    <s v="DEBIT"/>
    <x v="2"/>
    <x v="30"/>
    <x v="23"/>
    <x v="133"/>
    <n v="6.18"/>
    <s v="MISC_DEBIT"/>
    <n v="5781.84"/>
    <m/>
  </r>
  <r>
    <s v="DEBIT"/>
    <x v="2"/>
    <x v="30"/>
    <x v="23"/>
    <x v="134"/>
    <n v="2.35"/>
    <s v="MISC_DEBIT"/>
    <n v="5788.02"/>
    <m/>
  </r>
  <r>
    <s v="DEBIT"/>
    <x v="2"/>
    <x v="30"/>
    <x v="23"/>
    <x v="135"/>
    <n v="5.94"/>
    <s v="MISC_DEBIT"/>
    <n v="5790.3700000000008"/>
    <m/>
  </r>
  <r>
    <s v="DEBIT"/>
    <x v="2"/>
    <x v="30"/>
    <x v="22"/>
    <x v="136"/>
    <n v="7.7"/>
    <s v="MISC_DEBIT"/>
    <n v="5796.31"/>
    <m/>
  </r>
  <r>
    <s v="DEBIT"/>
    <x v="2"/>
    <x v="30"/>
    <x v="23"/>
    <x v="137"/>
    <n v="7"/>
    <s v="MISC_DEBIT"/>
    <n v="5804.01"/>
    <m/>
  </r>
  <r>
    <s v="DEBIT"/>
    <x v="2"/>
    <x v="30"/>
    <x v="23"/>
    <x v="138"/>
    <n v="11.88"/>
    <s v="MISC_DEBIT"/>
    <n v="5811.01"/>
    <m/>
  </r>
  <r>
    <s v="DEBIT"/>
    <x v="2"/>
    <x v="30"/>
    <x v="23"/>
    <x v="132"/>
    <n v="6.4"/>
    <s v="MISC_DEBIT"/>
    <n v="5822.89"/>
    <m/>
  </r>
  <r>
    <s v="DEBIT"/>
    <x v="2"/>
    <x v="30"/>
    <x v="23"/>
    <x v="133"/>
    <n v="12"/>
    <s v="MISC_DEBIT"/>
    <n v="5829.29"/>
    <m/>
  </r>
  <r>
    <s v="DEBIT"/>
    <x v="2"/>
    <x v="30"/>
    <x v="23"/>
    <x v="139"/>
    <n v="23"/>
    <s v="MISC_DEBIT"/>
    <n v="5841.29"/>
    <m/>
  </r>
  <r>
    <s v="DEBIT"/>
    <x v="2"/>
    <x v="30"/>
    <x v="23"/>
    <x v="140"/>
    <n v="3.66"/>
    <s v="MISC_DEBIT"/>
    <n v="5864.29"/>
    <m/>
  </r>
  <r>
    <s v="DEBIT"/>
    <x v="2"/>
    <x v="30"/>
    <x v="23"/>
    <x v="141"/>
    <n v="20"/>
    <s v="MISC_DEBIT"/>
    <n v="5867.95"/>
    <m/>
  </r>
  <r>
    <s v="DEBIT"/>
    <x v="2"/>
    <x v="30"/>
    <x v="23"/>
    <x v="142"/>
    <n v="3.25"/>
    <s v="MISC_DEBIT"/>
    <n v="5887.95"/>
    <m/>
  </r>
  <r>
    <s v="DEBIT"/>
    <x v="2"/>
    <x v="30"/>
    <x v="23"/>
    <x v="132"/>
    <n v="6.4"/>
    <s v="MISC_DEBIT"/>
    <n v="5891.2"/>
    <m/>
  </r>
  <r>
    <s v="DEBIT"/>
    <x v="2"/>
    <x v="30"/>
    <x v="23"/>
    <x v="130"/>
    <n v="10.75"/>
    <s v="MISC_DEBIT"/>
    <n v="5897.5999999999995"/>
    <m/>
  </r>
  <r>
    <s v="DEBIT"/>
    <x v="2"/>
    <x v="30"/>
    <x v="23"/>
    <x v="142"/>
    <n v="6.5"/>
    <s v="MISC_DEBIT"/>
    <n v="5908.3499999999995"/>
    <m/>
  </r>
  <r>
    <s v="DEBIT"/>
    <x v="2"/>
    <x v="30"/>
    <x v="23"/>
    <x v="132"/>
    <n v="6"/>
    <s v="MISC_DEBIT"/>
    <n v="5914.8499999999995"/>
    <m/>
  </r>
  <r>
    <s v="DEBIT"/>
    <x v="2"/>
    <x v="30"/>
    <x v="23"/>
    <x v="143"/>
    <n v="8.9700000000000006"/>
    <s v="MISC_DEBIT"/>
    <n v="5920.8499999999995"/>
    <m/>
  </r>
  <r>
    <s v="DEBIT"/>
    <x v="2"/>
    <x v="30"/>
    <x v="23"/>
    <x v="144"/>
    <n v="3.5"/>
    <s v="MISC_DEBIT"/>
    <n v="5929.82"/>
    <m/>
  </r>
  <r>
    <s v="DEBIT"/>
    <x v="2"/>
    <x v="31"/>
    <x v="22"/>
    <x v="145"/>
    <n v="575.30000000000007"/>
    <s v="MISC_DEBIT"/>
    <n v="5933.32"/>
    <s v="DONE"/>
  </r>
  <r>
    <s v="DEBIT"/>
    <x v="2"/>
    <x v="31"/>
    <x v="23"/>
    <x v="145"/>
    <n v="287.64999999999998"/>
    <s v="MISC_DEBIT"/>
    <n v="5645.67"/>
    <m/>
  </r>
  <r>
    <s v="DEBIT"/>
    <x v="2"/>
    <x v="31"/>
    <x v="22"/>
    <x v="146"/>
    <n v="19.809999999999999"/>
    <s v="MISC_DEBIT"/>
    <n v="6508.62"/>
    <m/>
  </r>
  <r>
    <s v="DEBIT"/>
    <x v="2"/>
    <x v="31"/>
    <x v="22"/>
    <x v="146"/>
    <n v="19.75"/>
    <s v="MISC_DEBIT"/>
    <n v="6528.43"/>
    <m/>
  </r>
  <r>
    <s v="DEBIT"/>
    <x v="2"/>
    <x v="31"/>
    <x v="22"/>
    <x v="145"/>
    <n v="13.99"/>
    <s v="MISC_DEBIT"/>
    <n v="6548.18"/>
    <m/>
  </r>
  <r>
    <s v="DEBIT"/>
    <x v="2"/>
    <x v="31"/>
    <x v="22"/>
    <x v="146"/>
    <n v="12.38"/>
    <s v="MISC_DEBIT"/>
    <n v="6562.17"/>
    <m/>
  </r>
  <r>
    <s v="DEBIT"/>
    <x v="2"/>
    <x v="31"/>
    <x v="22"/>
    <x v="147"/>
    <n v="12"/>
    <s v="MISC_DEBIT"/>
    <n v="6574.55"/>
    <s v="Thur night (dinner)"/>
  </r>
  <r>
    <s v="DEBIT"/>
    <x v="2"/>
    <x v="31"/>
    <x v="22"/>
    <x v="146"/>
    <n v="11.36"/>
    <s v="MISC_DEBIT"/>
    <n v="6586.55"/>
    <m/>
  </r>
  <r>
    <s v="DEBIT"/>
    <x v="2"/>
    <x v="31"/>
    <x v="22"/>
    <x v="146"/>
    <n v="8.59"/>
    <s v="MISC_DEBIT"/>
    <n v="6597.91"/>
    <s v="DONE"/>
  </r>
  <r>
    <s v="DEBIT"/>
    <x v="2"/>
    <x v="31"/>
    <x v="22"/>
    <x v="146"/>
    <n v="7.27"/>
    <s v="MISC_DEBIT"/>
    <n v="6606.5"/>
    <s v="DONE"/>
  </r>
  <r>
    <s v="DEBIT"/>
    <x v="2"/>
    <x v="31"/>
    <x v="22"/>
    <x v="148"/>
    <n v="6.07"/>
    <s v="MISC_DEBIT"/>
    <n v="6613.77"/>
    <s v="DONE"/>
  </r>
  <r>
    <s v="DEBIT"/>
    <x v="2"/>
    <x v="31"/>
    <x v="22"/>
    <x v="149"/>
    <n v="5"/>
    <s v="MISC_DEBIT"/>
    <n v="6619.84"/>
    <m/>
  </r>
  <r>
    <s v="DEBIT"/>
    <x v="2"/>
    <x v="31"/>
    <x v="23"/>
    <x v="150"/>
    <n v="4.09"/>
    <s v="MISC_DEBIT"/>
    <n v="6624.84"/>
    <s v="Snack"/>
  </r>
  <r>
    <s v="DEBIT"/>
    <x v="2"/>
    <x v="31"/>
    <x v="22"/>
    <x v="146"/>
    <n v="2"/>
    <s v="MISC_DEBIT"/>
    <n v="6628.93"/>
    <s v="DONE"/>
  </r>
  <r>
    <s v="DEBIT"/>
    <x v="2"/>
    <x v="31"/>
    <x v="22"/>
    <x v="146"/>
    <n v="2"/>
    <s v="MISC_DEBIT"/>
    <n v="6630.93"/>
    <s v="DONE"/>
  </r>
  <r>
    <s v="DEBIT"/>
    <x v="2"/>
    <x v="31"/>
    <x v="22"/>
    <x v="146"/>
    <n v="2"/>
    <s v="MISC_DEBIT"/>
    <n v="6632.93"/>
    <s v="DONE"/>
  </r>
  <r>
    <s v="DEBIT"/>
    <x v="2"/>
    <x v="31"/>
    <x v="22"/>
    <x v="146"/>
    <n v="2"/>
    <s v="MISC_DEBIT"/>
    <n v="6634.93"/>
    <s v="DONE"/>
  </r>
  <r>
    <s v="DEBIT"/>
    <x v="2"/>
    <x v="31"/>
    <x v="22"/>
    <x v="148"/>
    <n v="1.98"/>
    <s v="MISC_DEBIT"/>
    <n v="6636.93"/>
    <s v="DONE"/>
  </r>
  <r>
    <s v="DEBIT"/>
    <x v="2"/>
    <x v="32"/>
    <x v="22"/>
    <x v="151"/>
    <n v="41.23"/>
    <s v="DEBIT_CARD"/>
    <n v="6638.91"/>
    <s v="DONE"/>
  </r>
  <r>
    <s v="DEBIT"/>
    <x v="2"/>
    <x v="32"/>
    <x v="22"/>
    <x v="152"/>
    <n v="1.7"/>
    <s v="DEBIT_CARD"/>
    <n v="6680.14"/>
    <s v="DONE"/>
  </r>
  <r>
    <s v="DEBIT"/>
    <x v="2"/>
    <x v="32"/>
    <x v="22"/>
    <x v="152"/>
    <n v="5.61"/>
    <s v="DEBIT_CARD"/>
    <n v="6681.84"/>
    <s v="DONE"/>
  </r>
  <r>
    <s v="DEBIT"/>
    <x v="2"/>
    <x v="32"/>
    <x v="22"/>
    <x v="153"/>
    <n v="2"/>
    <s v="DEBIT_CARD"/>
    <n v="6687.45"/>
    <s v="Thur morning"/>
  </r>
  <r>
    <s v="DEBIT"/>
    <x v="2"/>
    <x v="32"/>
    <x v="22"/>
    <x v="153"/>
    <n v="19.48"/>
    <s v="DEBIT_CARD"/>
    <n v="6689.45"/>
    <s v="Thur morning"/>
  </r>
  <r>
    <s v="DEBIT"/>
    <x v="2"/>
    <x v="32"/>
    <x v="22"/>
    <x v="154"/>
    <n v="16.09"/>
    <s v="DEBIT_CARD"/>
    <n v="6708.93"/>
    <s v="DONE"/>
  </r>
  <r>
    <s v="DEBIT"/>
    <x v="2"/>
    <x v="32"/>
    <x v="22"/>
    <x v="155"/>
    <n v="575.29999999999995"/>
    <s v="DEBIT_CARD"/>
    <n v="6725.02"/>
    <s v="DONE"/>
  </r>
  <r>
    <s v="DEBIT"/>
    <x v="2"/>
    <x v="33"/>
    <x v="22"/>
    <x v="156"/>
    <n v="33.43"/>
    <s v="DEBIT_CARD"/>
    <n v="7300.32"/>
    <s v="DONE"/>
  </r>
  <r>
    <s v="DEBIT"/>
    <x v="2"/>
    <x v="33"/>
    <x v="22"/>
    <x v="157"/>
    <n v="5"/>
    <s v="DEBIT_CARD"/>
    <n v="7333.75"/>
    <s v="Wed night"/>
  </r>
  <r>
    <s v="DEBIT"/>
    <x v="2"/>
    <x v="33"/>
    <x v="22"/>
    <x v="157"/>
    <n v="20.41"/>
    <s v="DEBIT_CARD"/>
    <n v="7338.75"/>
    <s v="Wed night"/>
  </r>
  <r>
    <s v="DEBIT"/>
    <x v="2"/>
    <x v="33"/>
    <x v="22"/>
    <x v="158"/>
    <n v="1.7"/>
    <s v="DEBIT_CARD"/>
    <n v="7359.16"/>
    <s v="lunch"/>
  </r>
  <r>
    <s v="DEBIT"/>
    <x v="2"/>
    <x v="33"/>
    <x v="23"/>
    <x v="159"/>
    <n v="3"/>
    <s v="DEBIT_CARD"/>
    <n v="7360.86"/>
    <m/>
  </r>
  <r>
    <s v="DEBIT"/>
    <x v="2"/>
    <x v="33"/>
    <x v="22"/>
    <x v="158"/>
    <n v="14.59"/>
    <s v="DEBIT_CARD"/>
    <n v="7363.86"/>
    <s v="lunch"/>
  </r>
  <r>
    <s v="DEBIT"/>
    <x v="2"/>
    <x v="33"/>
    <x v="22"/>
    <x v="160"/>
    <n v="19.05"/>
    <s v="DEBIT_CARD"/>
    <n v="7378.45"/>
    <s v="Wed morning"/>
  </r>
  <r>
    <s v="DEBIT"/>
    <x v="2"/>
    <x v="33"/>
    <x v="22"/>
    <x v="161"/>
    <n v="16.489999999999998"/>
    <s v="DEBIT_CARD"/>
    <n v="7397.5"/>
    <s v="DONE"/>
  </r>
  <r>
    <s v="DEBIT"/>
    <x v="2"/>
    <x v="33"/>
    <x v="22"/>
    <x v="162"/>
    <n v="10.81"/>
    <s v="DEBIT_CARD"/>
    <n v="7413.99"/>
    <s v="Tue night"/>
  </r>
  <r>
    <s v="DEBIT"/>
    <x v="2"/>
    <x v="33"/>
    <x v="22"/>
    <x v="163"/>
    <n v="8.16"/>
    <s v="DEBIT_CARD"/>
    <n v="7424.8"/>
    <s v="Tue night"/>
  </r>
  <r>
    <s v="DEBIT"/>
    <x v="2"/>
    <x v="34"/>
    <x v="10"/>
    <x v="164"/>
    <n v="14.99"/>
    <s v="DEBIT_CARD"/>
    <n v="7432.96"/>
    <s v="shorts"/>
  </r>
  <r>
    <s v="DEBIT"/>
    <x v="2"/>
    <x v="34"/>
    <x v="22"/>
    <x v="165"/>
    <n v="5"/>
    <s v="DEBIT_CARD"/>
    <n v="7447.95"/>
    <s v="Tue night"/>
  </r>
  <r>
    <s v="DEBIT"/>
    <x v="2"/>
    <x v="34"/>
    <x v="22"/>
    <x v="163"/>
    <n v="3.61"/>
    <s v="DEBIT_CARD"/>
    <n v="7452.95"/>
    <s v="Tue night"/>
  </r>
  <r>
    <s v="DEBIT"/>
    <x v="2"/>
    <x v="34"/>
    <x v="22"/>
    <x v="166"/>
    <n v="2"/>
    <s v="DEBIT_CARD"/>
    <n v="7456.56"/>
    <s v="Tue night"/>
  </r>
  <r>
    <s v="DEBIT"/>
    <x v="2"/>
    <x v="34"/>
    <x v="22"/>
    <x v="166"/>
    <n v="15.26"/>
    <s v="DEBIT_CARD"/>
    <n v="7458.56"/>
    <s v="Tue night"/>
  </r>
  <r>
    <s v="DEBIT"/>
    <x v="2"/>
    <x v="34"/>
    <x v="22"/>
    <x v="167"/>
    <n v="18.190000000000001"/>
    <s v="DEBIT_CARD"/>
    <n v="7473.82"/>
    <s v="DONE"/>
  </r>
  <r>
    <s v="DEBIT"/>
    <x v="2"/>
    <x v="34"/>
    <x v="14"/>
    <x v="168"/>
    <n v="6.65"/>
    <s v="DEBIT_CARD"/>
    <n v="7492.01"/>
    <m/>
  </r>
  <r>
    <s v="DEBIT"/>
    <x v="2"/>
    <x v="35"/>
    <x v="1"/>
    <x v="169"/>
    <n v="33"/>
    <s v="DEBIT_CARD"/>
    <n v="7498.66"/>
    <m/>
  </r>
  <r>
    <s v="DEBIT"/>
    <x v="2"/>
    <x v="36"/>
    <x v="10"/>
    <x v="170"/>
    <n v="42.78"/>
    <s v="DEBIT_CARD"/>
    <n v="7531.66"/>
    <m/>
  </r>
  <r>
    <s v="DEBIT"/>
    <x v="2"/>
    <x v="36"/>
    <x v="10"/>
    <x v="171"/>
    <n v="41.38"/>
    <s v="MISC_DEBIT"/>
    <n v="7552.82"/>
    <m/>
  </r>
  <r>
    <s v="DEBIT"/>
    <x v="2"/>
    <x v="36"/>
    <x v="7"/>
    <x v="172"/>
    <n v="52.96"/>
    <s v="MISC_DEBIT"/>
    <n v="7594.2"/>
    <m/>
  </r>
  <r>
    <s v="DEBIT"/>
    <x v="2"/>
    <x v="36"/>
    <x v="7"/>
    <x v="173"/>
    <n v="5.89"/>
    <s v="MISC_DEBIT"/>
    <n v="7647.16"/>
    <m/>
  </r>
  <r>
    <s v="DEBIT"/>
    <x v="2"/>
    <x v="36"/>
    <x v="7"/>
    <x v="174"/>
    <n v="50.24"/>
    <s v="MISC_DEBIT"/>
    <n v="7653.05"/>
    <m/>
  </r>
  <r>
    <s v="DEBIT"/>
    <x v="2"/>
    <x v="36"/>
    <x v="1"/>
    <x v="92"/>
    <n v="28.62"/>
    <s v="MISC_DEBIT"/>
    <n v="7703.29"/>
    <m/>
  </r>
  <r>
    <s v="DEBIT"/>
    <x v="2"/>
    <x v="36"/>
    <x v="17"/>
    <x v="34"/>
    <n v="2.25"/>
    <s v="MISC_DEBIT"/>
    <n v="7731.91"/>
    <m/>
  </r>
  <r>
    <s v="DEBIT"/>
    <x v="2"/>
    <x v="36"/>
    <x v="3"/>
    <x v="175"/>
    <n v="30.11"/>
    <s v="MISC_DEBIT"/>
    <n v="7734.16"/>
    <m/>
  </r>
  <r>
    <s v="DEBIT"/>
    <x v="2"/>
    <x v="36"/>
    <x v="12"/>
    <x v="90"/>
    <n v="4.8499999999999996"/>
    <s v="MISC_DEBIT"/>
    <n v="7764.2699999999995"/>
    <m/>
  </r>
  <r>
    <s v="DEBIT"/>
    <x v="2"/>
    <x v="36"/>
    <x v="12"/>
    <x v="5"/>
    <n v="4.55"/>
    <s v="MISC_DEBIT"/>
    <n v="7769.12"/>
    <m/>
  </r>
  <r>
    <s v="DEBIT"/>
    <x v="2"/>
    <x v="37"/>
    <x v="10"/>
    <x v="176"/>
    <n v="28"/>
    <s v="MISC_DEBIT"/>
    <n v="7773.67"/>
    <m/>
  </r>
  <r>
    <s v="DEBIT"/>
    <x v="2"/>
    <x v="38"/>
    <x v="12"/>
    <x v="177"/>
    <n v="3.48"/>
    <s v="DEBIT_CARD"/>
    <n v="7801.67"/>
    <m/>
  </r>
  <r>
    <s v="DEBIT"/>
    <x v="2"/>
    <x v="38"/>
    <x v="1"/>
    <x v="178"/>
    <n v="27.52"/>
    <s v="DEBIT_CARD"/>
    <n v="7805.15"/>
    <m/>
  </r>
  <r>
    <s v="DEBIT"/>
    <x v="2"/>
    <x v="38"/>
    <x v="12"/>
    <x v="179"/>
    <n v="1.86"/>
    <s v="DEBIT_CARD"/>
    <n v="7832.67"/>
    <m/>
  </r>
  <r>
    <s v="CREDIT"/>
    <x v="2"/>
    <x v="38"/>
    <x v="15"/>
    <x v="20"/>
    <n v="-3455.28"/>
    <s v="ACH_CREDIT"/>
    <n v="7834.53"/>
    <m/>
  </r>
  <r>
    <s v="DEBIT"/>
    <x v="2"/>
    <x v="39"/>
    <x v="4"/>
    <x v="180"/>
    <n v="18.97"/>
    <s v="DEBIT_CARD"/>
    <n v="4379.25"/>
    <m/>
  </r>
  <r>
    <s v="DEBIT"/>
    <x v="2"/>
    <x v="39"/>
    <x v="7"/>
    <x v="181"/>
    <n v="16.55"/>
    <s v="DEBIT_CARD"/>
    <n v="4398.22"/>
    <m/>
  </r>
  <r>
    <s v="DEBIT"/>
    <x v="2"/>
    <x v="39"/>
    <x v="7"/>
    <x v="182"/>
    <n v="7"/>
    <s v="DEBIT_CARD"/>
    <n v="4414.7700000000004"/>
    <m/>
  </r>
  <r>
    <s v="DEBIT"/>
    <x v="2"/>
    <x v="40"/>
    <x v="10"/>
    <x v="183"/>
    <n v="24.44"/>
    <s v="DEBIT_CARD"/>
    <n v="4421.7700000000004"/>
    <m/>
  </r>
  <r>
    <s v="DEBIT"/>
    <x v="2"/>
    <x v="40"/>
    <x v="22"/>
    <x v="184"/>
    <n v="4.3499999999999996"/>
    <s v="DEBIT_CARD"/>
    <n v="4446.21"/>
    <m/>
  </r>
  <r>
    <s v="DEBIT"/>
    <x v="2"/>
    <x v="40"/>
    <x v="22"/>
    <x v="184"/>
    <n v="1.6"/>
    <s v="DEBIT_CARD"/>
    <n v="4450.5600000000004"/>
    <m/>
  </r>
  <r>
    <s v="DEBIT"/>
    <x v="2"/>
    <x v="41"/>
    <x v="2"/>
    <x v="185"/>
    <n v="100"/>
    <s v="ATM"/>
    <n v="4452.16"/>
    <m/>
  </r>
  <r>
    <s v="DEBIT"/>
    <x v="2"/>
    <x v="41"/>
    <x v="4"/>
    <x v="111"/>
    <n v="40.380000000000003"/>
    <s v="DEBIT_CARD"/>
    <n v="4552.16"/>
    <m/>
  </r>
  <r>
    <s v="DEBIT"/>
    <x v="2"/>
    <x v="41"/>
    <x v="22"/>
    <x v="186"/>
    <n v="30"/>
    <s v="DEBIT_CARD"/>
    <n v="4592.54"/>
    <m/>
  </r>
  <r>
    <s v="DEBIT"/>
    <x v="2"/>
    <x v="41"/>
    <x v="22"/>
    <x v="187"/>
    <n v="34.14"/>
    <s v="DEBIT_CARD"/>
    <n v="4622.54"/>
    <m/>
  </r>
  <r>
    <s v="DEBIT"/>
    <x v="2"/>
    <x v="41"/>
    <x v="22"/>
    <x v="188"/>
    <n v="149.47999999999999"/>
    <s v="DEBIT_CARD"/>
    <n v="4656.68"/>
    <m/>
  </r>
  <r>
    <s v="DEBIT"/>
    <x v="2"/>
    <x v="41"/>
    <x v="1"/>
    <x v="189"/>
    <n v="34.68"/>
    <s v="DEBIT_CARD"/>
    <n v="4806.16"/>
    <m/>
  </r>
  <r>
    <s v="DEBIT"/>
    <x v="2"/>
    <x v="42"/>
    <x v="22"/>
    <x v="190"/>
    <n v="2.73"/>
    <s v="DEBIT_CARD"/>
    <n v="4840.84"/>
    <m/>
  </r>
  <r>
    <s v="DEBIT"/>
    <x v="2"/>
    <x v="42"/>
    <x v="22"/>
    <x v="191"/>
    <n v="12.69"/>
    <s v="DEBIT_CARD"/>
    <n v="4843.57"/>
    <m/>
  </r>
  <r>
    <s v="DEBIT"/>
    <x v="2"/>
    <x v="42"/>
    <x v="3"/>
    <x v="192"/>
    <n v="36.700000000000003"/>
    <s v="DEBIT_CARD"/>
    <n v="4856.26"/>
    <m/>
  </r>
  <r>
    <s v="DEBIT"/>
    <x v="2"/>
    <x v="42"/>
    <x v="12"/>
    <x v="193"/>
    <n v="2.6"/>
    <s v="DEBIT_CARD"/>
    <n v="4892.96"/>
    <m/>
  </r>
  <r>
    <s v="DEBIT"/>
    <x v="2"/>
    <x v="42"/>
    <x v="4"/>
    <x v="194"/>
    <n v="35.51"/>
    <s v="DEBIT_CARD"/>
    <n v="4895.5600000000004"/>
    <m/>
  </r>
  <r>
    <s v="DEBIT"/>
    <x v="2"/>
    <x v="42"/>
    <x v="7"/>
    <x v="195"/>
    <n v="6.95"/>
    <s v="DEBIT_CARD"/>
    <n v="4931.07"/>
    <m/>
  </r>
  <r>
    <s v="DEBIT"/>
    <x v="2"/>
    <x v="42"/>
    <x v="12"/>
    <x v="196"/>
    <n v="4.55"/>
    <s v="DEBIT_CARD"/>
    <n v="4938.0200000000004"/>
    <m/>
  </r>
  <r>
    <s v="DEBIT"/>
    <x v="2"/>
    <x v="43"/>
    <x v="0"/>
    <x v="122"/>
    <n v="22.75"/>
    <s v="DEBIT_CARD"/>
    <n v="4942.57"/>
    <m/>
  </r>
  <r>
    <s v="DEBIT"/>
    <x v="2"/>
    <x v="43"/>
    <x v="1"/>
    <x v="197"/>
    <n v="27.94"/>
    <s v="DEBIT_CARD"/>
    <n v="4965.32"/>
    <m/>
  </r>
  <r>
    <s v="DEBIT"/>
    <x v="2"/>
    <x v="44"/>
    <x v="4"/>
    <x v="198"/>
    <n v="23.67"/>
    <s v="DEBIT_CARD"/>
    <n v="4993.26"/>
    <m/>
  </r>
  <r>
    <s v="DEBIT"/>
    <x v="2"/>
    <x v="44"/>
    <x v="7"/>
    <x v="199"/>
    <n v="16.55"/>
    <s v="DEBIT_CARD"/>
    <n v="5016.93"/>
    <m/>
  </r>
  <r>
    <s v="DEBIT"/>
    <x v="2"/>
    <x v="45"/>
    <x v="2"/>
    <x v="200"/>
    <n v="100"/>
    <s v="ATM"/>
    <n v="5033.4799999999996"/>
    <m/>
  </r>
  <r>
    <s v="DEBIT"/>
    <x v="2"/>
    <x v="45"/>
    <x v="1"/>
    <x v="201"/>
    <n v="42.16"/>
    <s v="DEBIT_CARD"/>
    <n v="5133.4799999999996"/>
    <m/>
  </r>
  <r>
    <s v="DEBIT"/>
    <x v="2"/>
    <x v="45"/>
    <x v="1"/>
    <x v="202"/>
    <n v="14"/>
    <s v="DEBIT_CARD"/>
    <n v="5175.6400000000003"/>
    <m/>
  </r>
  <r>
    <s v="DEBIT"/>
    <x v="2"/>
    <x v="46"/>
    <x v="24"/>
    <x v="203"/>
    <n v="40"/>
    <s v="DEBIT_CARD"/>
    <n v="5189.6400000000003"/>
    <m/>
  </r>
  <r>
    <s v="DEBIT"/>
    <x v="2"/>
    <x v="46"/>
    <x v="4"/>
    <x v="204"/>
    <n v="11.34"/>
    <s v="DEBIT_CARD"/>
    <n v="5229.6400000000003"/>
    <m/>
  </r>
  <r>
    <s v="DEBIT"/>
    <x v="2"/>
    <x v="46"/>
    <x v="1"/>
    <x v="205"/>
    <n v="14.92"/>
    <s v="DEBIT_CARD"/>
    <n v="5240.9799999999996"/>
    <m/>
  </r>
  <r>
    <s v="DEBIT"/>
    <x v="2"/>
    <x v="46"/>
    <x v="1"/>
    <x v="206"/>
    <n v="31.56"/>
    <s v="DEBIT_CARD"/>
    <n v="5255.9"/>
    <m/>
  </r>
  <r>
    <s v="DEBIT"/>
    <x v="2"/>
    <x v="47"/>
    <x v="4"/>
    <x v="207"/>
    <n v="25.009999999999998"/>
    <s v="DEBIT_CARD"/>
    <n v="5287.46"/>
    <m/>
  </r>
  <r>
    <s v="DEBIT"/>
    <x v="2"/>
    <x v="47"/>
    <x v="24"/>
    <x v="207"/>
    <n v="20"/>
    <s v="DEBIT_CARD"/>
    <n v="5287.46"/>
    <m/>
  </r>
  <r>
    <s v="DEBIT"/>
    <x v="2"/>
    <x v="47"/>
    <x v="17"/>
    <x v="208"/>
    <n v="4"/>
    <s v="DEBIT_CARD"/>
    <n v="5332.47"/>
    <m/>
  </r>
  <r>
    <s v="DEBIT"/>
    <x v="2"/>
    <x v="47"/>
    <x v="12"/>
    <x v="209"/>
    <n v="2.6"/>
    <s v="DEBIT_CARD"/>
    <n v="5336.47"/>
    <m/>
  </r>
  <r>
    <s v="DEBIT"/>
    <x v="2"/>
    <x v="47"/>
    <x v="12"/>
    <x v="209"/>
    <n v="2.6"/>
    <s v="DEBIT_CARD"/>
    <n v="5339.07"/>
    <m/>
  </r>
  <r>
    <s v="DEBIT"/>
    <x v="2"/>
    <x v="47"/>
    <x v="7"/>
    <x v="210"/>
    <n v="26.81"/>
    <s v="DEBIT_CARD"/>
    <n v="5341.67"/>
    <m/>
  </r>
  <r>
    <s v="DEBIT"/>
    <x v="2"/>
    <x v="47"/>
    <x v="4"/>
    <x v="211"/>
    <n v="32.090000000000003"/>
    <s v="DEBIT_CARD"/>
    <n v="5368.48"/>
    <m/>
  </r>
  <r>
    <s v="DEBIT"/>
    <x v="2"/>
    <x v="47"/>
    <x v="24"/>
    <x v="211"/>
    <n v="20"/>
    <s v="DEBIT_CARD"/>
    <n v="5368.48"/>
    <m/>
  </r>
  <r>
    <s v="DEBIT"/>
    <x v="2"/>
    <x v="47"/>
    <x v="12"/>
    <x v="212"/>
    <n v="3.75"/>
    <s v="DEBIT_CARD"/>
    <n v="5420.57"/>
    <m/>
  </r>
  <r>
    <s v="DEBIT"/>
    <x v="2"/>
    <x v="47"/>
    <x v="12"/>
    <x v="213"/>
    <n v="4.55"/>
    <s v="DEBIT_CARD"/>
    <n v="5424.32"/>
    <m/>
  </r>
  <r>
    <s v="DEBIT"/>
    <x v="2"/>
    <x v="47"/>
    <x v="1"/>
    <x v="214"/>
    <n v="46.13"/>
    <s v="DEBIT_CARD"/>
    <n v="5428.87"/>
    <m/>
  </r>
  <r>
    <s v="DEBIT"/>
    <x v="2"/>
    <x v="48"/>
    <x v="3"/>
    <x v="215"/>
    <n v="40.04"/>
    <s v="DEBIT_CARD"/>
    <n v="5475"/>
    <m/>
  </r>
  <r>
    <s v="DEBIT"/>
    <x v="2"/>
    <x v="48"/>
    <x v="4"/>
    <x v="216"/>
    <n v="9.36"/>
    <s v="DEBIT_CARD"/>
    <n v="5515.04"/>
    <m/>
  </r>
  <r>
    <s v="DEBIT"/>
    <x v="2"/>
    <x v="48"/>
    <x v="24"/>
    <x v="216"/>
    <n v="20"/>
    <s v="DEBIT_CARD"/>
    <n v="5515.04"/>
    <m/>
  </r>
  <r>
    <s v="DEBIT"/>
    <x v="2"/>
    <x v="48"/>
    <x v="7"/>
    <x v="217"/>
    <n v="77.3"/>
    <s v="DEBIT_CARD"/>
    <n v="5544.4"/>
    <m/>
  </r>
  <r>
    <s v="DSLIP"/>
    <x v="2"/>
    <x v="48"/>
    <x v="15"/>
    <x v="218"/>
    <n v="-1000"/>
    <s v="DEPOSIT"/>
    <n v="5621.7"/>
    <m/>
  </r>
  <r>
    <s v="DEBIT"/>
    <x v="2"/>
    <x v="49"/>
    <x v="12"/>
    <x v="219"/>
    <n v="3.48"/>
    <s v="DEBIT_CARD"/>
    <n v="4621.7"/>
    <m/>
  </r>
  <r>
    <s v="DEBIT"/>
    <x v="2"/>
    <x v="49"/>
    <x v="10"/>
    <x v="220"/>
    <n v="2"/>
    <s v="DEBIT_CARD"/>
    <n v="4625.18"/>
    <m/>
  </r>
  <r>
    <s v="DEBIT"/>
    <x v="2"/>
    <x v="50"/>
    <x v="12"/>
    <x v="221"/>
    <n v="5.83"/>
    <s v="DEBIT_CARD"/>
    <n v="4627.18"/>
    <m/>
  </r>
  <r>
    <s v="DEBIT"/>
    <x v="2"/>
    <x v="50"/>
    <x v="1"/>
    <x v="222"/>
    <n v="17"/>
    <s v="DEBIT_CARD"/>
    <n v="4633.01"/>
    <m/>
  </r>
  <r>
    <s v="DEBIT"/>
    <x v="2"/>
    <x v="50"/>
    <x v="12"/>
    <x v="223"/>
    <n v="2.6"/>
    <s v="DEBIT_CARD"/>
    <n v="4650.01"/>
    <m/>
  </r>
  <r>
    <s v="DEBIT"/>
    <x v="2"/>
    <x v="50"/>
    <x v="12"/>
    <x v="224"/>
    <n v="5.09"/>
    <s v="DEBIT_CARD"/>
    <n v="4652.6099999999997"/>
    <m/>
  </r>
  <r>
    <s v="DEBIT"/>
    <x v="2"/>
    <x v="50"/>
    <x v="17"/>
    <x v="225"/>
    <n v="12"/>
    <s v="DEBIT_CARD"/>
    <n v="4657.7"/>
    <m/>
  </r>
  <r>
    <s v="DEBIT"/>
    <x v="2"/>
    <x v="50"/>
    <x v="1"/>
    <x v="226"/>
    <n v="24"/>
    <s v="DEBIT_CARD"/>
    <n v="4669.7"/>
    <m/>
  </r>
  <r>
    <s v="CREDIT"/>
    <x v="3"/>
    <x v="51"/>
    <x v="25"/>
    <x v="14"/>
    <n v="-0.01"/>
    <s v="MISC_CREDIT"/>
    <n v="4693.7"/>
    <m/>
  </r>
  <r>
    <s v="DEBIT"/>
    <x v="3"/>
    <x v="51"/>
    <x v="13"/>
    <x v="16"/>
    <n v="437.54"/>
    <s v="ACH_DEBIT"/>
    <n v="4693.6899999999996"/>
    <m/>
  </r>
  <r>
    <s v="DEBIT"/>
    <x v="3"/>
    <x v="51"/>
    <x v="4"/>
    <x v="227"/>
    <n v="47.11"/>
    <s v="DEBIT_CARD"/>
    <n v="5131.2299999999996"/>
    <m/>
  </r>
  <r>
    <s v="DEBIT"/>
    <x v="3"/>
    <x v="51"/>
    <x v="1"/>
    <x v="228"/>
    <n v="21.02"/>
    <s v="DEBIT_CARD"/>
    <n v="5178.34"/>
    <m/>
  </r>
  <r>
    <s v="DEBIT"/>
    <x v="3"/>
    <x v="51"/>
    <x v="2"/>
    <x v="229"/>
    <n v="100"/>
    <s v="ATM"/>
    <n v="5199.3599999999997"/>
    <s v="Rent"/>
  </r>
  <r>
    <s v="DEBIT"/>
    <x v="3"/>
    <x v="51"/>
    <x v="2"/>
    <x v="229"/>
    <n v="20"/>
    <s v="ATM"/>
    <n v="5199.3599999999997"/>
    <s v="Cash"/>
  </r>
  <r>
    <s v="DEBIT"/>
    <x v="3"/>
    <x v="51"/>
    <x v="3"/>
    <x v="230"/>
    <n v="36.82"/>
    <s v="DEBIT_CARD"/>
    <n v="5319.36"/>
    <m/>
  </r>
  <r>
    <s v="DEBIT"/>
    <x v="3"/>
    <x v="51"/>
    <x v="1"/>
    <x v="231"/>
    <n v="35.74"/>
    <s v="DEBIT_CARD"/>
    <n v="5356.18"/>
    <m/>
  </r>
  <r>
    <s v="DEBIT"/>
    <x v="3"/>
    <x v="51"/>
    <x v="3"/>
    <x v="232"/>
    <n v="7.42"/>
    <s v="DEBIT_CARD"/>
    <n v="5391.92"/>
    <m/>
  </r>
  <r>
    <s v="DEBIT"/>
    <x v="3"/>
    <x v="51"/>
    <x v="12"/>
    <x v="233"/>
    <n v="3.75"/>
    <s v="DEBIT_CARD"/>
    <n v="5399.34"/>
    <m/>
  </r>
  <r>
    <s v="DEBIT"/>
    <x v="3"/>
    <x v="51"/>
    <x v="12"/>
    <x v="234"/>
    <n v="3.75"/>
    <s v="DEBIT_CARD"/>
    <n v="5403.09"/>
    <m/>
  </r>
  <r>
    <s v="DEBIT"/>
    <x v="3"/>
    <x v="51"/>
    <x v="12"/>
    <x v="235"/>
    <n v="4.01"/>
    <s v="DEBIT_CARD"/>
    <n v="5406.84"/>
    <m/>
  </r>
  <r>
    <s v="DEBIT"/>
    <x v="3"/>
    <x v="51"/>
    <x v="12"/>
    <x v="236"/>
    <n v="4.76"/>
    <s v="DEBIT_CARD"/>
    <n v="5410.85"/>
    <m/>
  </r>
  <r>
    <s v="DEBIT"/>
    <x v="3"/>
    <x v="52"/>
    <x v="1"/>
    <x v="237"/>
    <n v="38.92"/>
    <s v="DEBIT_CARD"/>
    <n v="5415.61"/>
    <m/>
  </r>
  <r>
    <s v="DEBIT"/>
    <x v="3"/>
    <x v="53"/>
    <x v="7"/>
    <x v="238"/>
    <n v="24.38"/>
    <s v="DEBIT_CARD"/>
    <n v="5454.53"/>
    <m/>
  </r>
  <r>
    <s v="DEBIT"/>
    <x v="3"/>
    <x v="54"/>
    <x v="3"/>
    <x v="239"/>
    <n v="26.43"/>
    <s v="DEBIT_CARD"/>
    <n v="5478.91"/>
    <m/>
  </r>
  <r>
    <s v="DEBIT"/>
    <x v="3"/>
    <x v="54"/>
    <x v="10"/>
    <x v="240"/>
    <n v="24.66"/>
    <s v="DEBIT_CARD"/>
    <n v="5505.34"/>
    <m/>
  </r>
  <r>
    <s v="DEBIT"/>
    <x v="3"/>
    <x v="55"/>
    <x v="24"/>
    <x v="241"/>
    <n v="62.75"/>
    <s v="ATM"/>
    <n v="5530"/>
    <m/>
  </r>
  <r>
    <s v="CREDIT"/>
    <x v="3"/>
    <x v="55"/>
    <x v="10"/>
    <x v="242"/>
    <n v="-2.75"/>
    <s v="MISC_CREDIT"/>
    <n v="5592.75"/>
    <m/>
  </r>
  <r>
    <s v="DEBIT"/>
    <x v="3"/>
    <x v="56"/>
    <x v="24"/>
    <x v="243"/>
    <n v="60"/>
    <s v="ATM"/>
    <n v="5590"/>
    <m/>
  </r>
  <r>
    <s v="DEBIT"/>
    <x v="3"/>
    <x v="56"/>
    <x v="2"/>
    <x v="244"/>
    <n v="100"/>
    <s v="ATM"/>
    <n v="5650"/>
    <m/>
  </r>
  <r>
    <s v="DEBIT"/>
    <x v="3"/>
    <x v="56"/>
    <x v="2"/>
    <x v="245"/>
    <n v="100"/>
    <s v="ATM"/>
    <n v="5750"/>
    <m/>
  </r>
  <r>
    <s v="CREDIT"/>
    <x v="3"/>
    <x v="56"/>
    <x v="20"/>
    <x v="246"/>
    <n v="-4500"/>
    <s v="ACCT_XFER"/>
    <n v="5850"/>
    <m/>
  </r>
  <r>
    <s v="CREDIT"/>
    <x v="3"/>
    <x v="56"/>
    <x v="18"/>
    <x v="247"/>
    <n v="-1350"/>
    <s v="ATM_DEPOSIT"/>
    <n v="135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m/>
    <x v="0"/>
    <n v="130"/>
    <x v="0"/>
  </r>
  <r>
    <x v="0"/>
    <m/>
    <x v="0"/>
    <n v="21.39"/>
    <x v="1"/>
  </r>
  <r>
    <x v="0"/>
    <m/>
    <x v="0"/>
    <n v="39.06"/>
    <x v="2"/>
  </r>
  <r>
    <x v="0"/>
    <m/>
    <x v="0"/>
    <n v="0"/>
    <x v="0"/>
  </r>
  <r>
    <x v="0"/>
    <m/>
    <x v="1"/>
    <m/>
    <x v="3"/>
  </r>
  <r>
    <x v="0"/>
    <m/>
    <x v="1"/>
    <m/>
    <x v="3"/>
  </r>
  <r>
    <x v="0"/>
    <m/>
    <x v="1"/>
    <m/>
    <x v="3"/>
  </r>
  <r>
    <x v="0"/>
    <d v="2019-02-19T00:00:00"/>
    <x v="2"/>
    <n v="25.66"/>
    <x v="4"/>
  </r>
  <r>
    <x v="0"/>
    <d v="2019-02-19T00:00:00"/>
    <x v="3"/>
    <n v="19.649999999999999"/>
    <x v="5"/>
  </r>
  <r>
    <x v="0"/>
    <d v="2019-02-19T00:00:00"/>
    <x v="4"/>
    <n v="5.09"/>
    <x v="6"/>
  </r>
  <r>
    <x v="0"/>
    <d v="2019-02-19T00:00:00"/>
    <x v="5"/>
    <n v="31.84"/>
    <x v="7"/>
  </r>
  <r>
    <x v="0"/>
    <d v="2019-02-19T00:00:00"/>
    <x v="6"/>
    <n v="2.99"/>
    <x v="7"/>
  </r>
  <r>
    <x v="0"/>
    <d v="2019-02-19T00:00:00"/>
    <x v="7"/>
    <n v="2.58"/>
    <x v="4"/>
  </r>
  <r>
    <x v="0"/>
    <d v="2019-02-19T00:00:00"/>
    <x v="8"/>
    <n v="45.27"/>
    <x v="7"/>
  </r>
  <r>
    <x v="0"/>
    <d v="2019-02-19T00:00:00"/>
    <x v="9"/>
    <n v="5.94"/>
    <x v="6"/>
  </r>
  <r>
    <x v="0"/>
    <d v="2019-02-19T00:00:00"/>
    <x v="10"/>
    <n v="25.02"/>
    <x v="8"/>
  </r>
  <r>
    <x v="0"/>
    <d v="2019-02-19T00:00:00"/>
    <x v="3"/>
    <n v="22.81"/>
    <x v="5"/>
  </r>
  <r>
    <x v="0"/>
    <d v="2019-02-19T00:00:00"/>
    <x v="3"/>
    <n v="52.8"/>
    <x v="5"/>
  </r>
  <r>
    <x v="0"/>
    <d v="2019-02-19T00:00:00"/>
    <x v="11"/>
    <n v="40.659999999999997"/>
    <x v="9"/>
  </r>
  <r>
    <x v="0"/>
    <d v="2019-02-19T00:00:00"/>
    <x v="9"/>
    <n v="42.8"/>
    <x v="0"/>
  </r>
  <r>
    <x v="0"/>
    <d v="2019-02-19T00:00:00"/>
    <x v="9"/>
    <n v="4.2300000000000004"/>
    <x v="6"/>
  </r>
  <r>
    <x v="0"/>
    <d v="2019-02-19T00:00:00"/>
    <x v="12"/>
    <n v="12.84"/>
    <x v="7"/>
  </r>
  <r>
    <x v="0"/>
    <d v="2019-02-16T00:00:00"/>
    <x v="13"/>
    <n v="24.08"/>
    <x v="9"/>
  </r>
  <r>
    <x v="0"/>
    <d v="2019-02-15T00:00:00"/>
    <x v="14"/>
    <n v="16.38"/>
    <x v="9"/>
  </r>
  <r>
    <x v="0"/>
    <d v="2019-02-14T00:00:00"/>
    <x v="15"/>
    <n v="5.55"/>
    <x v="10"/>
  </r>
  <r>
    <x v="0"/>
    <d v="2019-02-14T00:00:00"/>
    <x v="16"/>
    <n v="17.11"/>
    <x v="4"/>
  </r>
  <r>
    <x v="0"/>
    <d v="2019-02-14T00:00:00"/>
    <x v="17"/>
    <n v="25.67"/>
    <x v="10"/>
  </r>
  <r>
    <x v="0"/>
    <d v="2019-02-13T00:00:00"/>
    <x v="18"/>
    <n v="12.79"/>
    <x v="5"/>
  </r>
  <r>
    <x v="0"/>
    <d v="2019-02-13T00:00:00"/>
    <x v="6"/>
    <n v="12.22"/>
    <x v="7"/>
  </r>
  <r>
    <x v="0"/>
    <d v="2019-02-13T00:00:00"/>
    <x v="19"/>
    <n v="90"/>
    <x v="11"/>
  </r>
  <r>
    <x v="0"/>
    <d v="2019-02-13T00:00:00"/>
    <x v="20"/>
    <n v="16.920000000000002"/>
    <x v="12"/>
  </r>
  <r>
    <x v="0"/>
    <d v="2019-02-13T00:00:00"/>
    <x v="21"/>
    <n v="5.09"/>
    <x v="6"/>
  </r>
  <r>
    <x v="0"/>
    <d v="2019-02-12T00:00:00"/>
    <x v="22"/>
    <n v="60"/>
    <x v="13"/>
  </r>
  <r>
    <x v="0"/>
    <d v="2019-02-12T00:00:00"/>
    <x v="23"/>
    <n v="18.52"/>
    <x v="9"/>
  </r>
  <r>
    <x v="0"/>
    <d v="2019-02-11T00:00:00"/>
    <x v="24"/>
    <n v="9"/>
    <x v="7"/>
  </r>
  <r>
    <x v="0"/>
    <d v="2019-02-11T00:00:00"/>
    <x v="25"/>
    <n v="80.7"/>
    <x v="5"/>
  </r>
  <r>
    <x v="0"/>
    <d v="2019-02-11T00:00:00"/>
    <x v="26"/>
    <n v="9.94"/>
    <x v="7"/>
  </r>
  <r>
    <x v="0"/>
    <d v="2019-02-11T00:00:00"/>
    <x v="27"/>
    <n v="250"/>
    <x v="11"/>
  </r>
  <r>
    <x v="0"/>
    <d v="2019-02-11T00:00:00"/>
    <x v="6"/>
    <n v="10"/>
    <x v="7"/>
  </r>
  <r>
    <x v="0"/>
    <d v="2019-02-11T00:00:00"/>
    <x v="11"/>
    <n v="15.52"/>
    <x v="9"/>
  </r>
  <r>
    <x v="0"/>
    <d v="2019-02-11T00:00:00"/>
    <x v="6"/>
    <n v="11.41"/>
    <x v="7"/>
  </r>
  <r>
    <x v="0"/>
    <d v="2019-02-11T00:00:00"/>
    <x v="28"/>
    <n v="15.51"/>
    <x v="7"/>
  </r>
  <r>
    <x v="0"/>
    <d v="2019-02-11T00:00:00"/>
    <x v="12"/>
    <n v="6.42"/>
    <x v="7"/>
  </r>
  <r>
    <x v="0"/>
    <d v="2019-02-11T00:00:00"/>
    <x v="9"/>
    <n v="4.2300000000000004"/>
    <x v="6"/>
  </r>
  <r>
    <x v="0"/>
    <d v="2019-02-11T00:00:00"/>
    <x v="29"/>
    <n v="199.71"/>
    <x v="5"/>
  </r>
  <r>
    <x v="0"/>
    <d v="2019-02-11T00:00:00"/>
    <x v="30"/>
    <n v="557.80999999999995"/>
    <x v="5"/>
  </r>
  <r>
    <x v="0"/>
    <d v="2019-02-11T00:00:00"/>
    <x v="31"/>
    <n v="-1250"/>
    <x v="14"/>
  </r>
  <r>
    <x v="0"/>
    <d v="2019-02-11T00:00:00"/>
    <x v="32"/>
    <n v="24"/>
    <x v="15"/>
  </r>
  <r>
    <x v="0"/>
    <d v="2019-02-09T00:00:00"/>
    <x v="33"/>
    <n v="71.06"/>
    <x v="9"/>
  </r>
  <r>
    <x v="0"/>
    <d v="2019-02-09T00:00:00"/>
    <x v="34"/>
    <n v="19.54"/>
    <x v="9"/>
  </r>
  <r>
    <x v="0"/>
    <d v="2019-02-09T00:00:00"/>
    <x v="13"/>
    <n v="17.98"/>
    <x v="9"/>
  </r>
  <r>
    <x v="0"/>
    <d v="2019-02-11T00:00:00"/>
    <x v="35"/>
    <n v="45.08"/>
    <x v="0"/>
  </r>
  <r>
    <x v="0"/>
    <d v="2019-02-08T00:00:00"/>
    <x v="36"/>
    <n v="29.61"/>
    <x v="9"/>
  </r>
  <r>
    <x v="0"/>
    <d v="2019-02-08T00:00:00"/>
    <x v="37"/>
    <n v="-3485.05"/>
    <x v="16"/>
  </r>
  <r>
    <x v="0"/>
    <d v="2019-02-07T00:00:00"/>
    <x v="38"/>
    <n v="12.49"/>
    <x v="11"/>
  </r>
  <r>
    <x v="0"/>
    <d v="2019-02-07T00:00:00"/>
    <x v="39"/>
    <n v="27.81"/>
    <x v="7"/>
  </r>
  <r>
    <x v="0"/>
    <d v="2019-02-07T00:00:00"/>
    <x v="40"/>
    <n v="8.01"/>
    <x v="10"/>
  </r>
  <r>
    <x v="0"/>
    <d v="2019-02-07T00:00:00"/>
    <x v="41"/>
    <n v="-115"/>
    <x v="3"/>
  </r>
  <r>
    <x v="0"/>
    <d v="2019-02-06T00:00:00"/>
    <x v="42"/>
    <n v="40.950000000000003"/>
    <x v="17"/>
  </r>
  <r>
    <x v="0"/>
    <d v="2019-02-06T00:00:00"/>
    <x v="43"/>
    <n v="7.18"/>
    <x v="7"/>
  </r>
  <r>
    <x v="0"/>
    <d v="2019-02-06T00:00:00"/>
    <x v="44"/>
    <n v="13.9"/>
    <x v="10"/>
  </r>
  <r>
    <x v="0"/>
    <d v="2019-02-06T00:00:00"/>
    <x v="45"/>
    <n v="6.02"/>
    <x v="7"/>
  </r>
  <r>
    <x v="0"/>
    <d v="2019-02-06T00:00:00"/>
    <x v="46"/>
    <n v="17.170000000000002"/>
    <x v="10"/>
  </r>
  <r>
    <x v="0"/>
    <d v="2019-02-06T00:00:00"/>
    <x v="47"/>
    <n v="5.55"/>
    <x v="10"/>
  </r>
  <r>
    <x v="0"/>
    <d v="2019-02-06T00:00:00"/>
    <x v="48"/>
    <n v="90"/>
    <x v="11"/>
  </r>
  <r>
    <x v="0"/>
    <d v="2019-02-06T00:00:00"/>
    <x v="49"/>
    <n v="20.12"/>
    <x v="9"/>
  </r>
  <r>
    <x v="0"/>
    <d v="2019-02-05T00:00:00"/>
    <x v="50"/>
    <n v="299"/>
    <x v="18"/>
  </r>
  <r>
    <x v="0"/>
    <d v="2019-02-05T00:00:00"/>
    <x v="51"/>
    <n v="20"/>
    <x v="8"/>
  </r>
  <r>
    <x v="0"/>
    <d v="2019-02-05T00:00:00"/>
    <x v="52"/>
    <n v="1225"/>
    <x v="19"/>
  </r>
  <r>
    <x v="0"/>
    <d v="2019-02-05T00:00:00"/>
    <x v="53"/>
    <n v="2.54"/>
    <x v="7"/>
  </r>
  <r>
    <x v="0"/>
    <d v="2019-02-05T00:00:00"/>
    <x v="54"/>
    <n v="1145.3800000000001"/>
    <x v="5"/>
  </r>
  <r>
    <x v="0"/>
    <d v="2019-02-04T00:00:00"/>
    <x v="6"/>
    <n v="34.97"/>
    <x v="7"/>
  </r>
  <r>
    <x v="0"/>
    <d v="2019-02-04T00:00:00"/>
    <x v="55"/>
    <n v="124.33"/>
    <x v="9"/>
  </r>
  <r>
    <x v="0"/>
    <d v="2019-02-04T00:00:00"/>
    <x v="56"/>
    <n v="20"/>
    <x v="12"/>
  </r>
  <r>
    <x v="0"/>
    <d v="2019-02-04T00:00:00"/>
    <x v="57"/>
    <n v="32"/>
    <x v="12"/>
  </r>
  <r>
    <x v="0"/>
    <d v="2019-02-04T00:00:00"/>
    <x v="12"/>
    <n v="8.56"/>
    <x v="7"/>
  </r>
  <r>
    <x v="0"/>
    <d v="2019-02-04T00:00:00"/>
    <x v="11"/>
    <n v="21.66"/>
    <x v="9"/>
  </r>
  <r>
    <x v="0"/>
    <d v="2019-02-04T00:00:00"/>
    <x v="58"/>
    <n v="25.7"/>
    <x v="8"/>
  </r>
  <r>
    <x v="0"/>
    <d v="2019-02-04T00:00:00"/>
    <x v="59"/>
    <n v="28.61"/>
    <x v="9"/>
  </r>
  <r>
    <x v="0"/>
    <d v="2019-02-04T00:00:00"/>
    <x v="60"/>
    <n v="87.82"/>
    <x v="20"/>
  </r>
  <r>
    <x v="0"/>
    <d v="2019-02-04T00:00:00"/>
    <x v="61"/>
    <n v="2.25"/>
    <x v="0"/>
  </r>
  <r>
    <x v="0"/>
    <d v="2019-02-04T00:00:00"/>
    <x v="9"/>
    <n v="21.39"/>
    <x v="0"/>
  </r>
  <r>
    <x v="0"/>
    <d v="2019-02-04T00:00:00"/>
    <x v="9"/>
    <n v="5.56"/>
    <x v="6"/>
  </r>
  <r>
    <x v="0"/>
    <d v="2019-02-04T00:00:00"/>
    <x v="62"/>
    <n v="11.95"/>
    <x v="21"/>
  </r>
  <r>
    <x v="0"/>
    <d v="2019-02-02T00:00:00"/>
    <x v="63"/>
    <n v="17.98"/>
    <x v="9"/>
  </r>
  <r>
    <x v="0"/>
    <d v="2019-02-04T00:00:00"/>
    <x v="64"/>
    <n v="65"/>
    <x v="22"/>
  </r>
  <r>
    <x v="0"/>
    <d v="2019-02-04T00:00:00"/>
    <x v="65"/>
    <n v="828.15"/>
    <x v="23"/>
  </r>
  <r>
    <x v="0"/>
    <d v="2019-02-04T00:00:00"/>
    <x v="11"/>
    <n v="7.35"/>
    <x v="9"/>
  </r>
  <r>
    <x v="0"/>
    <d v="2019-02-01T00:00:00"/>
    <x v="66"/>
    <n v="60"/>
    <x v="13"/>
  </r>
  <r>
    <x v="0"/>
    <d v="2019-02-01T00:00:00"/>
    <x v="67"/>
    <n v="90"/>
    <x v="11"/>
  </r>
  <r>
    <x v="1"/>
    <d v="2019-01-31T00:00:00"/>
    <x v="68"/>
    <n v="-0.01"/>
    <x v="0"/>
  </r>
  <r>
    <x v="1"/>
    <d v="2019-01-31T00:00:00"/>
    <x v="69"/>
    <n v="17.64"/>
    <x v="11"/>
  </r>
  <r>
    <x v="1"/>
    <d v="2019-01-31T00:00:00"/>
    <x v="70"/>
    <n v="16.03"/>
    <x v="10"/>
  </r>
  <r>
    <x v="1"/>
    <d v="2019-01-31T00:00:00"/>
    <x v="71"/>
    <n v="17.72"/>
    <x v="24"/>
  </r>
  <r>
    <x v="1"/>
    <d v="2019-01-30T00:00:00"/>
    <x v="72"/>
    <n v="20.04"/>
    <x v="8"/>
  </r>
  <r>
    <x v="1"/>
    <d v="2019-01-30T00:00:00"/>
    <x v="73"/>
    <n v="5.67"/>
    <x v="7"/>
  </r>
  <r>
    <x v="1"/>
    <d v="2019-01-30T00:00:00"/>
    <x v="74"/>
    <n v="27.8"/>
    <x v="4"/>
  </r>
  <r>
    <x v="1"/>
    <d v="2019-01-29T00:00:00"/>
    <x v="75"/>
    <n v="6.5"/>
    <x v="7"/>
  </r>
  <r>
    <x v="1"/>
    <d v="2019-01-29T00:00:00"/>
    <x v="76"/>
    <n v="64.73"/>
    <x v="11"/>
  </r>
  <r>
    <x v="1"/>
    <d v="2019-01-29T00:00:00"/>
    <x v="77"/>
    <n v="21.39"/>
    <x v="1"/>
  </r>
  <r>
    <x v="1"/>
    <d v="2019-01-29T00:00:00"/>
    <x v="78"/>
    <n v="10"/>
    <x v="0"/>
  </r>
  <r>
    <x v="1"/>
    <d v="2019-01-29T00:00:00"/>
    <x v="79"/>
    <n v="437.54"/>
    <x v="25"/>
  </r>
  <r>
    <x v="1"/>
    <d v="2019-01-28T00:00:00"/>
    <x v="80"/>
    <n v="14.93"/>
    <x v="7"/>
  </r>
  <r>
    <x v="1"/>
    <d v="2019-01-28T00:00:00"/>
    <x v="81"/>
    <n v="13.73"/>
    <x v="7"/>
  </r>
  <r>
    <x v="1"/>
    <d v="2019-01-28T00:00:00"/>
    <x v="82"/>
    <n v="22.75"/>
    <x v="7"/>
  </r>
  <r>
    <x v="1"/>
    <d v="2019-01-28T00:00:00"/>
    <x v="83"/>
    <n v="9.24"/>
    <x v="9"/>
  </r>
  <r>
    <x v="1"/>
    <d v="2019-01-28T00:00:00"/>
    <x v="84"/>
    <n v="2.73"/>
    <x v="6"/>
  </r>
  <r>
    <x v="1"/>
    <d v="2019-01-28T00:00:00"/>
    <x v="85"/>
    <n v="9.24"/>
    <x v="9"/>
  </r>
  <r>
    <x v="1"/>
    <d v="2019-01-28T00:00:00"/>
    <x v="86"/>
    <n v="10"/>
    <x v="0"/>
  </r>
  <r>
    <x v="1"/>
    <d v="2019-01-28T00:00:00"/>
    <x v="87"/>
    <n v="25.13"/>
    <x v="8"/>
  </r>
  <r>
    <x v="1"/>
    <d v="2019-01-28T00:00:00"/>
    <x v="88"/>
    <n v="24.91"/>
    <x v="9"/>
  </r>
  <r>
    <x v="1"/>
    <d v="2019-01-28T00:00:00"/>
    <x v="89"/>
    <n v="8.56"/>
    <x v="9"/>
  </r>
  <r>
    <x v="1"/>
    <d v="2019-01-28T00:00:00"/>
    <x v="90"/>
    <n v="5.09"/>
    <x v="6"/>
  </r>
  <r>
    <x v="1"/>
    <d v="2019-01-28T00:00:00"/>
    <x v="91"/>
    <n v="80"/>
    <x v="13"/>
  </r>
  <r>
    <x v="1"/>
    <d v="2019-01-28T00:00:00"/>
    <x v="92"/>
    <n v="10"/>
    <x v="0"/>
  </r>
  <r>
    <x v="1"/>
    <d v="2019-01-28T00:00:00"/>
    <x v="93"/>
    <n v="46.59"/>
    <x v="9"/>
  </r>
  <r>
    <x v="1"/>
    <d v="2019-01-28T00:00:00"/>
    <x v="94"/>
    <n v="40"/>
    <x v="11"/>
  </r>
  <r>
    <x v="1"/>
    <d v="2019-01-25T00:00:00"/>
    <x v="95"/>
    <n v="24"/>
    <x v="15"/>
  </r>
  <r>
    <x v="1"/>
    <d v="2019-01-25T00:00:00"/>
    <x v="96"/>
    <n v="90"/>
    <x v="11"/>
  </r>
  <r>
    <x v="1"/>
    <d v="2019-01-25T00:00:00"/>
    <x v="97"/>
    <n v="39.06"/>
    <x v="2"/>
  </r>
  <r>
    <x v="1"/>
    <d v="2019-01-25T00:00:00"/>
    <x v="63"/>
    <n v="18.98"/>
    <x v="9"/>
  </r>
  <r>
    <x v="1"/>
    <d v="2019-01-25T00:00:00"/>
    <x v="78"/>
    <n v="12.63"/>
    <x v="0"/>
  </r>
  <r>
    <x v="1"/>
    <d v="2019-01-25T00:00:00"/>
    <x v="98"/>
    <n v="69.98"/>
    <x v="0"/>
  </r>
  <r>
    <x v="1"/>
    <d v="2019-01-24T00:00:00"/>
    <x v="99"/>
    <n v="12.75"/>
    <x v="7"/>
  </r>
  <r>
    <x v="1"/>
    <d v="2019-01-24T00:00:00"/>
    <x v="99"/>
    <n v="20"/>
    <x v="11"/>
  </r>
  <r>
    <x v="1"/>
    <d v="2019-01-24T00:00:00"/>
    <x v="100"/>
    <n v="15.6"/>
    <x v="10"/>
  </r>
  <r>
    <x v="1"/>
    <d v="2019-01-23T00:00:00"/>
    <x v="101"/>
    <n v="34.729999999999997"/>
    <x v="10"/>
  </r>
  <r>
    <x v="1"/>
    <d v="2019-01-23T00:00:00"/>
    <x v="102"/>
    <n v="25"/>
    <x v="8"/>
  </r>
  <r>
    <x v="1"/>
    <d v="2019-01-23T00:00:00"/>
    <x v="103"/>
    <n v="6.86"/>
    <x v="4"/>
  </r>
  <r>
    <x v="1"/>
    <d v="2019-01-23T00:00:00"/>
    <x v="104"/>
    <n v="13.57"/>
    <x v="10"/>
  </r>
  <r>
    <x v="1"/>
    <d v="2019-01-23T00:00:00"/>
    <x v="21"/>
    <n v="5.09"/>
    <x v="6"/>
  </r>
  <r>
    <x v="1"/>
    <d v="2019-01-22T00:00:00"/>
    <x v="105"/>
    <n v="151"/>
    <x v="26"/>
  </r>
  <r>
    <x v="1"/>
    <d v="2019-01-22T00:00:00"/>
    <x v="12"/>
    <n v="8.56"/>
    <x v="9"/>
  </r>
  <r>
    <x v="1"/>
    <d v="2019-01-22T00:00:00"/>
    <x v="106"/>
    <n v="15"/>
    <x v="8"/>
  </r>
  <r>
    <x v="1"/>
    <d v="2019-01-22T00:00:00"/>
    <x v="12"/>
    <n v="25.41"/>
    <x v="7"/>
  </r>
  <r>
    <x v="1"/>
    <d v="2019-01-22T00:00:00"/>
    <x v="12"/>
    <n v="19.989999999999998"/>
    <x v="11"/>
  </r>
  <r>
    <x v="1"/>
    <d v="2019-01-22T00:00:00"/>
    <x v="107"/>
    <n v="7.49"/>
    <x v="9"/>
  </r>
  <r>
    <x v="1"/>
    <d v="2019-01-22T00:00:00"/>
    <x v="3"/>
    <n v="29.94"/>
    <x v="0"/>
  </r>
  <r>
    <x v="1"/>
    <d v="2019-01-22T00:00:00"/>
    <x v="9"/>
    <n v="4.2300000000000004"/>
    <x v="6"/>
  </r>
  <r>
    <x v="1"/>
    <d v="2019-01-22T00:00:00"/>
    <x v="108"/>
    <n v="32.1"/>
    <x v="9"/>
  </r>
  <r>
    <x v="1"/>
    <d v="2019-01-22T00:00:00"/>
    <x v="109"/>
    <n v="60"/>
    <x v="13"/>
  </r>
  <r>
    <x v="1"/>
    <d v="2019-01-22T00:00:00"/>
    <x v="9"/>
    <n v="5.94"/>
    <x v="6"/>
  </r>
  <r>
    <x v="1"/>
    <d v="2019-01-19T00:00:00"/>
    <x v="110"/>
    <n v="23.66"/>
    <x v="12"/>
  </r>
  <r>
    <x v="1"/>
    <d v="2019-01-18T00:00:00"/>
    <x v="111"/>
    <n v="300"/>
    <x v="0"/>
  </r>
  <r>
    <x v="1"/>
    <d v="2019-01-18T00:00:00"/>
    <x v="112"/>
    <n v="40"/>
    <x v="11"/>
  </r>
  <r>
    <x v="1"/>
    <d v="2019-01-18T00:00:00"/>
    <x v="113"/>
    <n v="22"/>
    <x v="8"/>
  </r>
  <r>
    <x v="1"/>
    <d v="2019-01-17T00:00:00"/>
    <x v="114"/>
    <n v="29.99"/>
    <x v="0"/>
  </r>
  <r>
    <x v="1"/>
    <d v="2019-01-17T00:00:00"/>
    <x v="115"/>
    <n v="16.7"/>
    <x v="7"/>
  </r>
  <r>
    <x v="1"/>
    <d v="2019-01-17T00:00:00"/>
    <x v="116"/>
    <n v="5.73"/>
    <x v="6"/>
  </r>
  <r>
    <x v="1"/>
    <d v="2019-01-17T00:00:00"/>
    <x v="2"/>
    <n v="42.79"/>
    <x v="4"/>
  </r>
  <r>
    <x v="1"/>
    <d v="2019-01-17T00:00:00"/>
    <x v="117"/>
    <n v="18.170000000000002"/>
    <x v="4"/>
  </r>
  <r>
    <x v="1"/>
    <d v="2019-01-17T00:00:00"/>
    <x v="118"/>
    <n v="25.67"/>
    <x v="10"/>
  </r>
  <r>
    <x v="1"/>
    <d v="2019-01-17T00:00:00"/>
    <x v="104"/>
    <n v="5.55"/>
    <x v="10"/>
  </r>
  <r>
    <x v="1"/>
    <d v="2019-01-16T00:00:00"/>
    <x v="119"/>
    <n v="14.97"/>
    <x v="4"/>
  </r>
  <r>
    <x v="1"/>
    <d v="2019-01-16T00:00:00"/>
    <x v="63"/>
    <n v="34.96"/>
    <x v="9"/>
  </r>
  <r>
    <x v="1"/>
    <d v="2019-01-16T00:00:00"/>
    <x v="120"/>
    <n v="3.57"/>
    <x v="4"/>
  </r>
  <r>
    <x v="1"/>
    <d v="2019-01-15T00:00:00"/>
    <x v="121"/>
    <n v="-13.16"/>
    <x v="0"/>
  </r>
  <r>
    <x v="1"/>
    <d v="2019-01-14T00:00:00"/>
    <x v="122"/>
    <n v="19.760000000000002"/>
    <x v="7"/>
  </r>
  <r>
    <x v="1"/>
    <d v="2019-01-14T00:00:00"/>
    <x v="123"/>
    <n v="20"/>
    <x v="8"/>
  </r>
  <r>
    <x v="1"/>
    <d v="2019-01-14T00:00:00"/>
    <x v="9"/>
    <n v="2.41"/>
    <x v="6"/>
  </r>
  <r>
    <x v="1"/>
    <d v="2019-01-14T00:00:00"/>
    <x v="124"/>
    <n v="25.19"/>
    <x v="9"/>
  </r>
  <r>
    <x v="1"/>
    <d v="2019-01-14T00:00:00"/>
    <x v="9"/>
    <n v="2.41"/>
    <x v="6"/>
  </r>
  <r>
    <x v="1"/>
    <d v="2019-01-14T00:00:00"/>
    <x v="6"/>
    <n v="20.149999999999999"/>
    <x v="7"/>
  </r>
  <r>
    <x v="1"/>
    <d v="2019-01-14T00:00:00"/>
    <x v="9"/>
    <n v="3.58"/>
    <x v="6"/>
  </r>
  <r>
    <x v="1"/>
    <d v="2019-01-12T00:00:00"/>
    <x v="125"/>
    <n v="72.8"/>
    <x v="10"/>
  </r>
  <r>
    <x v="1"/>
    <d v="2019-01-12T00:00:00"/>
    <x v="126"/>
    <n v="14.98"/>
    <x v="12"/>
  </r>
  <r>
    <x v="1"/>
    <d v="2019-01-11T00:00:00"/>
    <x v="127"/>
    <n v="43"/>
    <x v="13"/>
  </r>
  <r>
    <x v="1"/>
    <d v="2019-01-11T00:00:00"/>
    <x v="128"/>
    <n v="26.28"/>
    <x v="7"/>
  </r>
  <r>
    <x v="1"/>
    <d v="2019-01-11T00:00:00"/>
    <x v="129"/>
    <n v="34.799999999999997"/>
    <x v="10"/>
  </r>
  <r>
    <x v="1"/>
    <d v="2019-01-11T00:00:00"/>
    <x v="130"/>
    <n v="-3"/>
    <x v="0"/>
  </r>
  <r>
    <x v="1"/>
    <d v="2019-01-10T00:00:00"/>
    <x v="63"/>
    <n v="17.98"/>
    <x v="9"/>
  </r>
  <r>
    <x v="1"/>
    <d v="2019-01-10T00:00:00"/>
    <x v="131"/>
    <n v="12.84"/>
    <x v="10"/>
  </r>
  <r>
    <x v="1"/>
    <d v="2019-01-10T00:00:00"/>
    <x v="132"/>
    <n v="8.01"/>
    <x v="10"/>
  </r>
  <r>
    <x v="1"/>
    <d v="2019-01-09T00:00:00"/>
    <x v="133"/>
    <n v="27.3"/>
    <x v="7"/>
  </r>
  <r>
    <x v="1"/>
    <d v="2019-01-09T00:00:00"/>
    <x v="134"/>
    <n v="34"/>
    <x v="8"/>
  </r>
  <r>
    <x v="1"/>
    <d v="2019-01-09T00:00:00"/>
    <x v="12"/>
    <n v="6"/>
    <x v="9"/>
  </r>
  <r>
    <x v="1"/>
    <d v="2019-01-09T00:00:00"/>
    <x v="12"/>
    <n v="12.760000000000002"/>
    <x v="7"/>
  </r>
  <r>
    <x v="1"/>
    <d v="2019-01-09T00:00:00"/>
    <x v="8"/>
    <n v="11.99"/>
    <x v="10"/>
  </r>
  <r>
    <x v="1"/>
    <d v="2019-01-08T00:00:00"/>
    <x v="108"/>
    <n v="17.98"/>
    <x v="9"/>
  </r>
  <r>
    <x v="1"/>
    <d v="2019-01-08T00:00:00"/>
    <x v="135"/>
    <n v="12.84"/>
    <x v="9"/>
  </r>
  <r>
    <x v="1"/>
    <d v="2019-01-08T00:00:00"/>
    <x v="136"/>
    <n v="31.98"/>
    <x v="0"/>
  </r>
  <r>
    <x v="1"/>
    <d v="2019-01-07T00:00:00"/>
    <x v="137"/>
    <n v="40.4"/>
    <x v="17"/>
  </r>
  <r>
    <x v="1"/>
    <d v="2019-01-07T00:00:00"/>
    <x v="138"/>
    <n v="16.98"/>
    <x v="11"/>
  </r>
  <r>
    <x v="1"/>
    <d v="2019-01-07T00:00:00"/>
    <x v="6"/>
    <n v="30.96"/>
    <x v="7"/>
  </r>
  <r>
    <x v="1"/>
    <d v="2019-01-07T00:00:00"/>
    <x v="12"/>
    <n v="8.66"/>
    <x v="7"/>
  </r>
  <r>
    <x v="1"/>
    <d v="2019-01-07T00:00:00"/>
    <x v="7"/>
    <n v="6.24"/>
    <x v="4"/>
  </r>
  <r>
    <x v="1"/>
    <d v="2019-01-07T00:00:00"/>
    <x v="9"/>
    <n v="2.2999999999999998"/>
    <x v="6"/>
  </r>
  <r>
    <x v="1"/>
    <d v="2019-01-07T00:00:00"/>
    <x v="9"/>
    <n v="5.94"/>
    <x v="6"/>
  </r>
  <r>
    <x v="1"/>
    <d v="2019-01-07T00:00:00"/>
    <x v="108"/>
    <n v="39.590000000000003"/>
    <x v="9"/>
  </r>
  <r>
    <x v="1"/>
    <d v="2019-01-07T00:00:00"/>
    <x v="9"/>
    <n v="10.17"/>
    <x v="6"/>
  </r>
  <r>
    <x v="1"/>
    <d v="2019-01-07T00:00:00"/>
    <x v="139"/>
    <n v="27.99"/>
    <x v="15"/>
  </r>
  <r>
    <x v="1"/>
    <d v="2019-01-07T00:00:00"/>
    <x v="140"/>
    <n v="25.01"/>
    <x v="8"/>
  </r>
  <r>
    <x v="1"/>
    <d v="2019-01-07T00:00:00"/>
    <x v="109"/>
    <n v="60"/>
    <x v="0"/>
  </r>
  <r>
    <x v="1"/>
    <d v="2019-01-07T00:00:00"/>
    <x v="141"/>
    <n v="299"/>
    <x v="18"/>
  </r>
  <r>
    <x v="1"/>
    <d v="2019-01-04T00:00:00"/>
    <x v="142"/>
    <n v="34.5"/>
    <x v="12"/>
  </r>
  <r>
    <x v="1"/>
    <d v="2019-01-04T00:00:00"/>
    <x v="143"/>
    <n v="19.98"/>
    <x v="0"/>
  </r>
  <r>
    <x v="1"/>
    <d v="2019-01-04T00:00:00"/>
    <x v="63"/>
    <n v="31.03"/>
    <x v="9"/>
  </r>
  <r>
    <x v="1"/>
    <d v="2019-01-03T00:00:00"/>
    <x v="144"/>
    <n v="11.95"/>
    <x v="21"/>
  </r>
  <r>
    <x v="1"/>
    <d v="2019-01-03T00:00:00"/>
    <x v="145"/>
    <n v="71.819999999999993"/>
    <x v="20"/>
  </r>
  <r>
    <x v="1"/>
    <d v="2019-01-03T00:00:00"/>
    <x v="146"/>
    <n v="828.15"/>
    <x v="23"/>
  </r>
  <r>
    <x v="1"/>
    <d v="2019-01-03T00:00:00"/>
    <x v="147"/>
    <n v="5.19"/>
    <x v="6"/>
  </r>
  <r>
    <x v="1"/>
    <d v="2019-01-02T00:00:00"/>
    <x v="64"/>
    <n v="65"/>
    <x v="22"/>
  </r>
  <r>
    <x v="1"/>
    <d v="2019-01-02T00:00:00"/>
    <x v="9"/>
    <n v="2.41"/>
    <x v="6"/>
  </r>
  <r>
    <x v="1"/>
    <d v="2019-01-02T00:00:00"/>
    <x v="8"/>
    <n v="14.25"/>
    <x v="7"/>
  </r>
  <r>
    <x v="1"/>
    <d v="2019-01-02T00:00:00"/>
    <x v="9"/>
    <n v="6.9"/>
    <x v="6"/>
  </r>
  <r>
    <x v="1"/>
    <d v="2019-01-01T00:00:00"/>
    <x v="148"/>
    <n v="62"/>
    <x v="27"/>
  </r>
  <r>
    <x v="1"/>
    <d v="2019-01-01T00:00:00"/>
    <x v="149"/>
    <n v="30.4"/>
    <x v="27"/>
  </r>
  <r>
    <x v="1"/>
    <d v="2019-01-01T00:00:00"/>
    <x v="150"/>
    <n v="8.57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4E6DCB-2619-4078-B3E4-633EF2EB142D}" name="PivotTable1" cacheId="1" applyNumberFormats="0" applyBorderFormats="0" applyFontFormats="0" applyPatternFormats="0" applyAlignmentFormats="0" applyWidthHeightFormats="1" dataCaption="Values" updatedVersion="6" minRefreshableVersion="3" itemPrintTitles="1" createdVersion="6" indent="0" compact="0" compactData="0" gridDropZones="1" multipleFieldFilters="0">
  <location ref="A3:D26" firstHeaderRow="1" firstDataRow="2" firstDataCol="1" rowPageCount="1" colPageCount="1"/>
  <pivotFields count="5">
    <pivotField axis="axisCol" compact="0" outline="0" showAll="0">
      <items count="3">
        <item x="1"/>
        <item x="0"/>
        <item t="default"/>
      </items>
    </pivotField>
    <pivotField compact="0" outline="0" showAll="0"/>
    <pivotField axis="axisRow" compact="0" outline="0" showAll="0">
      <items count="152">
        <item x="111"/>
        <item x="130"/>
        <item x="109"/>
        <item x="147"/>
        <item x="129"/>
        <item x="121"/>
        <item x="114"/>
        <item x="119"/>
        <item x="144"/>
        <item x="127"/>
        <item x="105"/>
        <item x="137"/>
        <item x="141"/>
        <item x="102"/>
        <item x="125"/>
        <item x="74"/>
        <item x="75"/>
        <item x="4"/>
        <item x="5"/>
        <item x="10"/>
        <item x="14"/>
        <item x="15"/>
        <item x="16"/>
        <item x="2"/>
        <item x="117"/>
        <item x="7"/>
        <item x="120"/>
        <item x="103"/>
        <item x="150"/>
        <item x="9"/>
        <item x="106"/>
        <item x="140"/>
        <item x="110"/>
        <item x="108"/>
        <item x="63"/>
        <item x="138"/>
        <item x="112"/>
        <item x="149"/>
        <item x="143"/>
        <item x="93"/>
        <item x="94"/>
        <item x="95"/>
        <item x="19"/>
        <item x="20"/>
        <item x="22"/>
        <item x="23"/>
        <item x="13"/>
        <item x="11"/>
        <item x="36"/>
        <item x="12"/>
        <item x="145"/>
        <item x="128"/>
        <item x="122"/>
        <item x="134"/>
        <item x="133"/>
        <item x="146"/>
        <item x="142"/>
        <item x="115"/>
        <item x="0"/>
        <item x="1"/>
        <item x="96"/>
        <item x="97"/>
        <item x="78"/>
        <item x="98"/>
        <item x="99"/>
        <item x="100"/>
        <item x="101"/>
        <item x="76"/>
        <item x="77"/>
        <item x="79"/>
        <item x="80"/>
        <item x="81"/>
        <item x="82"/>
        <item x="83"/>
        <item x="84"/>
        <item x="85"/>
        <item x="89"/>
        <item x="124"/>
        <item x="113"/>
        <item x="64"/>
        <item x="136"/>
        <item x="148"/>
        <item x="104"/>
        <item x="132"/>
        <item x="8"/>
        <item x="6"/>
        <item x="135"/>
        <item x="131"/>
        <item x="123"/>
        <item x="126"/>
        <item x="21"/>
        <item x="116"/>
        <item x="107"/>
        <item x="139"/>
        <item x="118"/>
        <item x="54"/>
        <item x="30"/>
        <item x="3"/>
        <item x="86"/>
        <item x="87"/>
        <item x="88"/>
        <item x="90"/>
        <item x="91"/>
        <item x="92"/>
        <item x="24"/>
        <item x="25"/>
        <item x="26"/>
        <item x="27"/>
        <item x="28"/>
        <item x="31"/>
        <item x="32"/>
        <item x="33"/>
        <item x="34"/>
        <item x="35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5"/>
        <item x="56"/>
        <item x="57"/>
        <item x="58"/>
        <item x="59"/>
        <item x="60"/>
        <item x="61"/>
        <item x="62"/>
        <item x="65"/>
        <item x="66"/>
        <item x="67"/>
        <item x="68"/>
        <item x="69"/>
        <item x="70"/>
        <item x="71"/>
        <item x="72"/>
        <item x="73"/>
        <item x="17"/>
        <item x="18"/>
        <item x="29"/>
        <item t="default"/>
      </items>
    </pivotField>
    <pivotField dataField="1" compact="0" numFmtId="43" outline="0" showAll="0"/>
    <pivotField axis="axisPage" compact="0" outline="0" showAll="0">
      <items count="29">
        <item x="23"/>
        <item x="13"/>
        <item x="26"/>
        <item x="6"/>
        <item x="9"/>
        <item x="17"/>
        <item x="12"/>
        <item x="10"/>
        <item x="8"/>
        <item x="7"/>
        <item x="15"/>
        <item x="18"/>
        <item x="22"/>
        <item x="0"/>
        <item x="21"/>
        <item x="20"/>
        <item x="27"/>
        <item x="2"/>
        <item x="3"/>
        <item x="11"/>
        <item x="1"/>
        <item x="25"/>
        <item x="14"/>
        <item x="16"/>
        <item x="19"/>
        <item x="24"/>
        <item x="4"/>
        <item x="5"/>
        <item t="default"/>
      </items>
    </pivotField>
  </pivotFields>
  <rowFields count="1">
    <field x="2"/>
  </rowFields>
  <rowItems count="22">
    <i>
      <x v="20"/>
    </i>
    <i>
      <x v="33"/>
    </i>
    <i>
      <x v="34"/>
    </i>
    <i>
      <x v="39"/>
    </i>
    <i>
      <x v="45"/>
    </i>
    <i>
      <x v="46"/>
    </i>
    <i>
      <x v="47"/>
    </i>
    <i>
      <x v="48"/>
    </i>
    <i>
      <x v="49"/>
    </i>
    <i>
      <x v="73"/>
    </i>
    <i>
      <x v="75"/>
    </i>
    <i>
      <x v="76"/>
    </i>
    <i>
      <x v="77"/>
    </i>
    <i>
      <x v="86"/>
    </i>
    <i>
      <x v="92"/>
    </i>
    <i>
      <x v="100"/>
    </i>
    <i>
      <x v="111"/>
    </i>
    <i>
      <x v="112"/>
    </i>
    <i>
      <x v="126"/>
    </i>
    <i>
      <x v="131"/>
    </i>
    <i>
      <x v="135"/>
    </i>
    <i t="grand">
      <x/>
    </i>
  </rowItems>
  <colFields count="1">
    <field x="0"/>
  </colFields>
  <colItems count="3">
    <i>
      <x/>
    </i>
    <i>
      <x v="1"/>
    </i>
    <i t="grand">
      <x/>
    </i>
  </colItems>
  <pageFields count="1">
    <pageField fld="4" item="4" hier="-1"/>
  </pageFields>
  <dataFields count="1">
    <dataField name="Sum of Amount" fld="3" baseField="4" baseItem="0" numFmtId="41"/>
  </dataFields>
  <formats count="2">
    <format dxfId="8">
      <pivotArea dataOnly="0" labelOnly="1" outline="0" fieldPosition="0">
        <references count="1">
          <reference field="0" count="0"/>
        </references>
      </pivotArea>
    </format>
    <format dxfId="7">
      <pivotArea dataOnly="0" labelOnly="1" grandCol="1" outline="0" fieldPosition="0"/>
    </format>
  </formats>
  <pivotTableStyleInfo name="PivotStyleLight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68E42-C6E2-4266-917A-868F2406F032}" name="PivotTable1" cacheId="0" applyNumberFormats="0" applyBorderFormats="0" applyFontFormats="0" applyPatternFormats="0" applyAlignmentFormats="0" applyWidthHeightFormats="1" dataCaption="Values" updatedVersion="6" minRefreshableVersion="3" itemPrintTitles="1" createdVersion="6" indent="0" compact="0" compactData="0" gridDropZones="1" multipleFieldFilters="0">
  <location ref="A4:E20" firstHeaderRow="1" firstDataRow="2" firstDataCol="1" rowPageCount="1" colPageCount="1"/>
  <pivotFields count="9">
    <pivotField compact="0" outline="0" showAll="0"/>
    <pivotField axis="axisCol" compact="0" outline="0" showAll="0">
      <items count="6">
        <item x="3"/>
        <item x="2"/>
        <item h="1" m="1" x="4"/>
        <item x="1"/>
        <item h="1" x="0"/>
        <item t="default"/>
      </items>
    </pivotField>
    <pivotField axis="axisPage" compact="0" numFmtId="164" outline="0" multipleItemSelectionAllowed="1" showAll="0">
      <items count="58"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1"/>
        <item x="28"/>
        <item x="29"/>
        <item x="27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11"/>
        <item x="12"/>
        <item x="13"/>
        <item x="14"/>
        <item x="3"/>
        <item x="0"/>
        <item x="2"/>
        <item x="4"/>
        <item x="5"/>
        <item x="6"/>
        <item x="7"/>
        <item x="8"/>
        <item x="9"/>
        <item x="10"/>
        <item t="default"/>
      </items>
    </pivotField>
    <pivotField axis="axisRow" compact="0" outline="0" showAll="0">
      <items count="29">
        <item m="1" x="27"/>
        <item x="13"/>
        <item x="22"/>
        <item x="2"/>
        <item x="4"/>
        <item h="1" x="15"/>
        <item m="1" x="26"/>
        <item x="9"/>
        <item x="3"/>
        <item x="0"/>
        <item x="1"/>
        <item x="17"/>
        <item x="12"/>
        <item x="10"/>
        <item x="7"/>
        <item h="1" x="25"/>
        <item h="1" x="20"/>
        <item h="1" x="18"/>
        <item x="24"/>
        <item x="14"/>
        <item x="23"/>
        <item h="1" x="11"/>
        <item h="1" x="21"/>
        <item h="1" x="5"/>
        <item h="1" x="6"/>
        <item h="1" x="8"/>
        <item h="1" x="19"/>
        <item h="1" x="16"/>
        <item t="default"/>
      </items>
    </pivotField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outline="0" showAll="0"/>
  </pivotFields>
  <rowFields count="1">
    <field x="3"/>
  </rowFields>
  <rowItems count="15">
    <i>
      <x v="1"/>
    </i>
    <i>
      <x v="2"/>
    </i>
    <i>
      <x v="3"/>
    </i>
    <i>
      <x v="4"/>
    </i>
    <i>
      <x v="8"/>
    </i>
    <i>
      <x v="9"/>
    </i>
    <i>
      <x v="10"/>
    </i>
    <i>
      <x v="11"/>
    </i>
    <i>
      <x v="12"/>
    </i>
    <i>
      <x v="13"/>
    </i>
    <i>
      <x v="14"/>
    </i>
    <i>
      <x v="18"/>
    </i>
    <i>
      <x v="19"/>
    </i>
    <i>
      <x v="20"/>
    </i>
    <i t="grand">
      <x/>
    </i>
  </rowItems>
  <colFields count="1">
    <field x="1"/>
  </colFields>
  <colItems count="4">
    <i>
      <x/>
    </i>
    <i>
      <x v="1"/>
    </i>
    <i>
      <x v="3"/>
    </i>
    <i t="grand">
      <x/>
    </i>
  </colItems>
  <pageFields count="1">
    <pageField fld="2" hier="-1"/>
  </pageFields>
  <dataFields count="1">
    <dataField name="Sum of Amount" fld="5" baseField="3" baseItem="0" numFmtId="41"/>
  </dataFields>
  <formats count="3">
    <format dxfId="2">
      <pivotArea dataOnly="0" labelOnly="1" fieldPosition="0">
        <references count="1">
          <reference field="1" count="0"/>
        </references>
      </pivotArea>
    </format>
    <format dxfId="1">
      <pivotArea dataOnly="0" labelOnly="1" outline="0" fieldPosition="0">
        <references count="1">
          <reference field="1" count="0"/>
        </references>
      </pivotArea>
    </format>
    <format dxfId="0">
      <pivotArea dataOnly="0" labelOnly="1" grandCol="1" outline="0" fieldPosition="0"/>
    </format>
  </formats>
  <pivotTableStyleInfo name="PivotStyleLight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BF6B25-C826-4B99-8AC9-DA29F4916B4A}" name="PivotTable3" cacheId="0" applyNumberFormats="0" applyBorderFormats="0" applyFontFormats="0" applyPatternFormats="0" applyAlignmentFormats="0" applyWidthHeightFormats="1" dataCaption="Values" updatedVersion="6" minRefreshableVersion="3" itemPrintTitles="1" createdVersion="6" indent="0" compact="0" compactData="0" gridDropZones="1" multipleFieldFilters="0">
  <location ref="G4:V31" firstHeaderRow="1" firstDataRow="3" firstDataCol="1" rowPageCount="1" colPageCount="1"/>
  <pivotFields count="9">
    <pivotField compact="0" outline="0" showAll="0"/>
    <pivotField axis="axisCol" compact="0" outline="0" showAll="0">
      <items count="6">
        <item h="1" x="3"/>
        <item h="1" x="2"/>
        <item h="1" sd="0" m="1" x="4"/>
        <item x="1"/>
        <item h="1" x="0"/>
        <item t="default"/>
      </items>
    </pivotField>
    <pivotField axis="axisCol" compact="0" numFmtId="164" outline="0" multipleItemSelectionAllowed="1" showAll="0">
      <items count="58"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1"/>
        <item x="28"/>
        <item x="29"/>
        <item x="27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11"/>
        <item x="12"/>
        <item x="13"/>
        <item x="14"/>
        <item x="3"/>
        <item x="0"/>
        <item x="2"/>
        <item x="4"/>
        <item x="5"/>
        <item x="6"/>
        <item x="7"/>
        <item x="8"/>
        <item x="9"/>
        <item x="10"/>
        <item t="default"/>
      </items>
    </pivotField>
    <pivotField axis="axisPage" compact="0" outline="0" multipleItemSelectionAllowed="1" showAll="0">
      <items count="29">
        <item m="1" x="27"/>
        <item h="1" x="13"/>
        <item h="1" x="22"/>
        <item h="1" x="12"/>
        <item h="1" x="14"/>
        <item h="1" x="1"/>
        <item h="1" x="17"/>
        <item h="1" x="3"/>
        <item h="1" x="4"/>
        <item h="1" x="0"/>
        <item x="10"/>
        <item h="1" x="15"/>
        <item h="1" x="2"/>
        <item m="1" x="26"/>
        <item h="1" x="23"/>
        <item h="1" x="24"/>
        <item h="1" x="9"/>
        <item h="1" x="7"/>
        <item h="1" x="25"/>
        <item h="1" x="20"/>
        <item h="1" x="18"/>
        <item h="1" x="11"/>
        <item h="1" x="21"/>
        <item h="1" x="5"/>
        <item h="1" x="6"/>
        <item h="1" x="8"/>
        <item h="1" x="19"/>
        <item h="1" x="16"/>
        <item t="default"/>
      </items>
    </pivotField>
    <pivotField axis="axisRow" compact="0" outline="0" showAll="0">
      <items count="249">
        <item x="242"/>
        <item x="187"/>
        <item x="247"/>
        <item x="85"/>
        <item x="243"/>
        <item x="200"/>
        <item x="229"/>
        <item x="185"/>
        <item x="245"/>
        <item x="244"/>
        <item x="233"/>
        <item x="177"/>
        <item x="221"/>
        <item x="234"/>
        <item x="212"/>
        <item x="213"/>
        <item x="236"/>
        <item x="235"/>
        <item x="196"/>
        <item x="168"/>
        <item x="20"/>
        <item x="208"/>
        <item x="230"/>
        <item x="228"/>
        <item x="222"/>
        <item x="205"/>
        <item x="197"/>
        <item x="178"/>
        <item x="217"/>
        <item x="240"/>
        <item x="183"/>
        <item x="203"/>
        <item x="218"/>
        <item x="182"/>
        <item x="159"/>
        <item x="158"/>
        <item x="152"/>
        <item x="220"/>
        <item x="167"/>
        <item x="161"/>
        <item x="154"/>
        <item x="155"/>
        <item x="186"/>
        <item x="226"/>
        <item x="225"/>
        <item x="188"/>
        <item x="14"/>
        <item x="202"/>
        <item x="16"/>
        <item x="165"/>
        <item x="153"/>
        <item x="166"/>
        <item x="163"/>
        <item x="162"/>
        <item x="157"/>
        <item x="160"/>
        <item x="156"/>
        <item x="151"/>
        <item x="164"/>
        <item x="170"/>
        <item x="241"/>
        <item x="123"/>
        <item x="210"/>
        <item x="199"/>
        <item x="181"/>
        <item x="5"/>
        <item x="144"/>
        <item x="124"/>
        <item x="140"/>
        <item x="172"/>
        <item x="130"/>
        <item x="133"/>
        <item x="148"/>
        <item x="136"/>
        <item x="145"/>
        <item x="128"/>
        <item x="91"/>
        <item x="34"/>
        <item x="132"/>
        <item x="143"/>
        <item x="150"/>
        <item x="149"/>
        <item x="129"/>
        <item x="146"/>
        <item x="126"/>
        <item x="134"/>
        <item x="138"/>
        <item x="174"/>
        <item x="173"/>
        <item x="131"/>
        <item x="141"/>
        <item x="135"/>
        <item x="127"/>
        <item x="90"/>
        <item x="176"/>
        <item x="175"/>
        <item x="142"/>
        <item x="139"/>
        <item x="92"/>
        <item x="137"/>
        <item x="171"/>
        <item x="125"/>
        <item x="105"/>
        <item x="147"/>
        <item x="180"/>
        <item x="216"/>
        <item x="211"/>
        <item x="194"/>
        <item x="227"/>
        <item x="111"/>
        <item x="207"/>
        <item x="204"/>
        <item x="184"/>
        <item x="190"/>
        <item x="239"/>
        <item x="215"/>
        <item x="214"/>
        <item x="223"/>
        <item x="224"/>
        <item x="219"/>
        <item x="209"/>
        <item x="193"/>
        <item x="179"/>
        <item x="232"/>
        <item x="192"/>
        <item x="122"/>
        <item x="238"/>
        <item x="191"/>
        <item x="231"/>
        <item x="206"/>
        <item x="189"/>
        <item x="169"/>
        <item x="198"/>
        <item x="246"/>
        <item x="201"/>
        <item x="195"/>
        <item x="237"/>
        <item x="1"/>
        <item x="117"/>
        <item x="118"/>
        <item x="119"/>
        <item x="120"/>
        <item x="121"/>
        <item x="112"/>
        <item x="113"/>
        <item x="114"/>
        <item x="115"/>
        <item x="116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6"/>
        <item x="87"/>
        <item x="88"/>
        <item x="89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6"/>
        <item x="107"/>
        <item x="108"/>
        <item x="35"/>
        <item x="109"/>
        <item x="38"/>
        <item x="110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0"/>
        <item x="2"/>
        <item x="3"/>
        <item x="4"/>
        <item x="6"/>
        <item x="7"/>
        <item x="8"/>
        <item x="9"/>
        <item x="10"/>
        <item x="11"/>
        <item x="12"/>
        <item x="13"/>
        <item x="15"/>
        <item x="17"/>
        <item x="18"/>
        <item x="19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6"/>
        <item x="37"/>
        <item x="39"/>
        <item x="40"/>
        <item x="41"/>
        <item x="42"/>
        <item x="43"/>
        <item x="44"/>
        <item t="default"/>
      </items>
    </pivotField>
    <pivotField dataField="1" compact="0" numFmtId="43" outline="0" showAll="0"/>
    <pivotField compact="0" outline="0" showAll="0"/>
    <pivotField compact="0" numFmtId="43" outline="0" showAll="0"/>
    <pivotField compact="0" outline="0" showAll="0"/>
  </pivotFields>
  <rowFields count="1">
    <field x="4"/>
  </rowFields>
  <rowItems count="25">
    <i>
      <x v="46"/>
    </i>
    <i>
      <x v="147"/>
    </i>
    <i>
      <x v="174"/>
    </i>
    <i>
      <x v="182"/>
    </i>
    <i>
      <x v="195"/>
    </i>
    <i>
      <x v="199"/>
    </i>
    <i>
      <x v="200"/>
    </i>
    <i>
      <x v="204"/>
    </i>
    <i>
      <x v="205"/>
    </i>
    <i>
      <x v="207"/>
    </i>
    <i>
      <x v="208"/>
    </i>
    <i>
      <x v="223"/>
    </i>
    <i>
      <x v="225"/>
    </i>
    <i>
      <x v="227"/>
    </i>
    <i>
      <x v="228"/>
    </i>
    <i>
      <x v="230"/>
    </i>
    <i>
      <x v="231"/>
    </i>
    <i>
      <x v="232"/>
    </i>
    <i>
      <x v="233"/>
    </i>
    <i>
      <x v="234"/>
    </i>
    <i>
      <x v="238"/>
    </i>
    <i>
      <x v="240"/>
    </i>
    <i>
      <x v="242"/>
    </i>
    <i>
      <x v="246"/>
    </i>
    <i t="grand">
      <x/>
    </i>
  </rowItems>
  <colFields count="2">
    <field x="1"/>
    <field x="2"/>
  </colFields>
  <colItems count="15">
    <i>
      <x v="3"/>
      <x v="30"/>
    </i>
    <i r="1">
      <x v="31"/>
    </i>
    <i r="1">
      <x v="38"/>
    </i>
    <i r="1">
      <x v="41"/>
    </i>
    <i r="1">
      <x v="43"/>
    </i>
    <i r="1">
      <x v="45"/>
    </i>
    <i r="1">
      <x v="46"/>
    </i>
    <i r="1">
      <x v="50"/>
    </i>
    <i r="1">
      <x v="51"/>
    </i>
    <i r="1">
      <x v="52"/>
    </i>
    <i r="1">
      <x v="53"/>
    </i>
    <i r="1">
      <x v="54"/>
    </i>
    <i r="1">
      <x v="56"/>
    </i>
    <i t="default">
      <x v="3"/>
    </i>
    <i t="grand">
      <x/>
    </i>
  </colItems>
  <pageFields count="1">
    <pageField fld="3" hier="-1"/>
  </pageFields>
  <dataFields count="1">
    <dataField name="Sum of Amount" fld="5" baseField="4" baseItem="41" numFmtId="43"/>
  </dataFields>
  <formats count="4">
    <format dxfId="6">
      <pivotArea dataOnly="0" labelOnly="1" fieldPosition="0">
        <references count="1">
          <reference field="1" count="0"/>
        </references>
      </pivotArea>
    </format>
    <format dxfId="5">
      <pivotArea outline="0" fieldPosition="0">
        <references count="1">
          <reference field="4294967294" count="1">
            <x v="0"/>
          </reference>
        </references>
      </pivotArea>
    </format>
    <format dxfId="4">
      <pivotArea dataOnly="0" labelOnly="1" outline="0" fieldPosition="0">
        <references count="1">
          <reference field="1" count="0" defaultSubtotal="1"/>
        </references>
      </pivotArea>
    </format>
    <format dxfId="3">
      <pivotArea dataOnly="0" labelOnly="1" grandCol="1" outline="0" fieldPosition="0"/>
    </format>
  </formats>
  <pivotTableStyleInfo name="PivotStyleLight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46" dT="2019-01-07T14:45:21.97" personId="{E3F287D4-FA7E-4D13-B501-3985227161E5}" id="{7E6E21DF-4D68-493A-A10B-5CF5BDFB5EBA}">
    <text>Guitar Lesson for $50</text>
  </threadedComment>
  <threadedComment ref="D248" dT="2019-01-07T14:50:09.36" personId="{E3F287D4-FA7E-4D13-B501-3985227161E5}" id="{1CD325E5-2436-48EF-928E-10741AB9DA85}">
    <text>Pie, groceries for Gladys, house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767C-6FAF-460F-B5BC-0AE77073974A}">
  <sheetPr>
    <tabColor theme="7" tint="-0.249977111117893"/>
  </sheetPr>
  <dimension ref="B1:W98"/>
  <sheetViews>
    <sheetView showGridLines="0" topLeftCell="A62" zoomScale="90" zoomScaleNormal="90" workbookViewId="0">
      <selection activeCell="D95" sqref="D95"/>
    </sheetView>
  </sheetViews>
  <sheetFormatPr defaultRowHeight="15" x14ac:dyDescent="0.25"/>
  <cols>
    <col min="1" max="1" width="2" customWidth="1"/>
    <col min="2" max="2" width="11.140625" customWidth="1"/>
    <col min="5" max="5" width="11.42578125" customWidth="1"/>
    <col min="6" max="6" width="1.42578125" customWidth="1"/>
    <col min="7" max="7" width="29.28515625" bestFit="1" customWidth="1"/>
    <col min="10" max="10" width="10.42578125" bestFit="1" customWidth="1"/>
    <col min="13" max="13" width="9.28515625" customWidth="1"/>
    <col min="14" max="22" width="8" customWidth="1"/>
    <col min="23" max="23" width="8.42578125" bestFit="1" customWidth="1"/>
  </cols>
  <sheetData>
    <row r="1" spans="3:14" x14ac:dyDescent="0.25">
      <c r="N1" t="s">
        <v>513</v>
      </c>
    </row>
    <row r="2" spans="3:14" x14ac:dyDescent="0.25">
      <c r="D2" s="99">
        <v>674</v>
      </c>
      <c r="E2" s="100" t="s">
        <v>514</v>
      </c>
      <c r="F2" s="100"/>
      <c r="G2" s="74"/>
    </row>
    <row r="3" spans="3:14" x14ac:dyDescent="0.25">
      <c r="D3" s="101">
        <v>3400</v>
      </c>
      <c r="E3" s="102" t="s">
        <v>515</v>
      </c>
      <c r="F3" s="102"/>
      <c r="G3" s="103" t="s">
        <v>196</v>
      </c>
    </row>
    <row r="4" spans="3:14" ht="17.25" x14ac:dyDescent="0.4">
      <c r="C4" s="104" t="s">
        <v>516</v>
      </c>
      <c r="D4" s="105">
        <f>SUM(D2:D3)</f>
        <v>4074</v>
      </c>
      <c r="E4" s="106" t="s">
        <v>515</v>
      </c>
      <c r="F4" s="106"/>
      <c r="G4" s="107" t="s">
        <v>31</v>
      </c>
    </row>
    <row r="5" spans="3:14" x14ac:dyDescent="0.25">
      <c r="C5" s="108">
        <f>D$4+SUM(D$5)</f>
        <v>3644</v>
      </c>
      <c r="D5" s="99">
        <v>-430</v>
      </c>
      <c r="E5" s="109" t="s">
        <v>517</v>
      </c>
      <c r="F5" s="109"/>
      <c r="G5" s="109" t="s">
        <v>518</v>
      </c>
      <c r="H5" t="s">
        <v>519</v>
      </c>
    </row>
    <row r="6" spans="3:14" x14ac:dyDescent="0.25">
      <c r="C6" s="108">
        <f>D$4+SUM(D$5:D9)</f>
        <v>2239</v>
      </c>
      <c r="D6" s="99">
        <v>-750</v>
      </c>
      <c r="E6" s="100" t="s">
        <v>520</v>
      </c>
      <c r="F6" s="100"/>
      <c r="G6" s="74" t="s">
        <v>521</v>
      </c>
      <c r="H6" t="s">
        <v>522</v>
      </c>
    </row>
    <row r="7" spans="3:14" x14ac:dyDescent="0.25">
      <c r="C7" s="108">
        <f>D$4+SUM(D$5:D7)</f>
        <v>3076</v>
      </c>
      <c r="D7" s="99">
        <v>182</v>
      </c>
      <c r="E7" s="100" t="s">
        <v>523</v>
      </c>
      <c r="F7" s="100"/>
      <c r="G7" s="74" t="s">
        <v>524</v>
      </c>
    </row>
    <row r="8" spans="3:14" x14ac:dyDescent="0.25">
      <c r="C8" s="108">
        <f>D$4+SUM(D$5:D8)</f>
        <v>2676</v>
      </c>
      <c r="D8" s="99">
        <v>-400</v>
      </c>
      <c r="E8" s="100" t="s">
        <v>523</v>
      </c>
      <c r="F8" s="100"/>
      <c r="G8" s="74" t="s">
        <v>525</v>
      </c>
    </row>
    <row r="9" spans="3:14" x14ac:dyDescent="0.25">
      <c r="C9" s="108">
        <f>D$4+SUM(D$5:D9)</f>
        <v>2239</v>
      </c>
      <c r="D9" s="99">
        <v>-437</v>
      </c>
      <c r="E9" s="100" t="s">
        <v>526</v>
      </c>
      <c r="F9" s="100"/>
      <c r="G9" s="74" t="s">
        <v>527</v>
      </c>
    </row>
    <row r="10" spans="3:14" x14ac:dyDescent="0.25">
      <c r="C10" s="108">
        <f>D$4+SUM(D$5:D10)</f>
        <v>1544</v>
      </c>
      <c r="D10" s="105">
        <v>-695</v>
      </c>
      <c r="E10" s="106" t="s">
        <v>528</v>
      </c>
      <c r="F10" s="106"/>
      <c r="G10" s="107" t="s">
        <v>31</v>
      </c>
    </row>
    <row r="11" spans="3:14" x14ac:dyDescent="0.25">
      <c r="C11" s="108">
        <f>D$4+SUM(D$5:D11)</f>
        <v>716</v>
      </c>
      <c r="D11" s="99">
        <v>-828</v>
      </c>
      <c r="E11" s="100" t="s">
        <v>529</v>
      </c>
      <c r="F11" s="100"/>
      <c r="G11" s="74" t="s">
        <v>530</v>
      </c>
    </row>
    <row r="12" spans="3:14" x14ac:dyDescent="0.25">
      <c r="C12" s="108">
        <f>D$4+SUM(D$5:D12)</f>
        <v>407</v>
      </c>
      <c r="D12" s="99">
        <v>-309</v>
      </c>
      <c r="E12" s="100" t="s">
        <v>529</v>
      </c>
      <c r="F12" s="100"/>
      <c r="G12" s="74" t="s">
        <v>518</v>
      </c>
    </row>
    <row r="13" spans="3:14" x14ac:dyDescent="0.25">
      <c r="C13" s="108">
        <f>D$4+SUM(D$5:D13)</f>
        <v>657</v>
      </c>
      <c r="D13" s="99">
        <v>250</v>
      </c>
      <c r="E13" s="100" t="s">
        <v>529</v>
      </c>
      <c r="F13" s="100"/>
      <c r="G13" s="74" t="s">
        <v>531</v>
      </c>
    </row>
    <row r="14" spans="3:14" x14ac:dyDescent="0.25">
      <c r="C14" s="108">
        <f>D$4+SUM(D$5:D14)</f>
        <v>358</v>
      </c>
      <c r="D14" s="99">
        <v>-299</v>
      </c>
      <c r="E14" s="100" t="s">
        <v>532</v>
      </c>
      <c r="F14" s="100"/>
      <c r="G14" s="74" t="s">
        <v>8</v>
      </c>
    </row>
    <row r="15" spans="3:14" x14ac:dyDescent="0.25">
      <c r="C15" s="108">
        <f>D$4+SUM(D$5:D15)</f>
        <v>3851.84</v>
      </c>
      <c r="D15" s="101">
        <v>3493.84</v>
      </c>
      <c r="E15" s="102" t="s">
        <v>533</v>
      </c>
      <c r="F15" s="102"/>
      <c r="G15" s="103" t="s">
        <v>196</v>
      </c>
    </row>
    <row r="16" spans="3:14" x14ac:dyDescent="0.25">
      <c r="C16" s="108">
        <f>D$4+SUM(D$5:D16)</f>
        <v>3751.84</v>
      </c>
      <c r="D16" s="110">
        <v>-100</v>
      </c>
      <c r="E16" s="111" t="s">
        <v>533</v>
      </c>
      <c r="F16" s="111"/>
      <c r="G16" s="112" t="s">
        <v>534</v>
      </c>
    </row>
    <row r="17" spans="3:8" x14ac:dyDescent="0.25">
      <c r="C17" s="108">
        <f>D$4+SUM(D$5:D17)</f>
        <v>3583.84</v>
      </c>
      <c r="D17" s="99">
        <v>-168</v>
      </c>
      <c r="E17" s="111" t="s">
        <v>533</v>
      </c>
      <c r="F17" s="111"/>
      <c r="G17" s="74" t="s">
        <v>524</v>
      </c>
    </row>
    <row r="18" spans="3:8" x14ac:dyDescent="0.25">
      <c r="C18" s="108">
        <f>D$4+SUM(D$5:D18)</f>
        <v>2483.84</v>
      </c>
      <c r="D18" s="110">
        <v>-1100</v>
      </c>
      <c r="E18" s="111" t="s">
        <v>533</v>
      </c>
      <c r="F18" s="111"/>
      <c r="G18" s="112" t="s">
        <v>12</v>
      </c>
    </row>
    <row r="19" spans="3:8" x14ac:dyDescent="0.25">
      <c r="C19" s="108">
        <f>D$4+SUM(D$5:D19)</f>
        <v>2103.84</v>
      </c>
      <c r="D19" s="99">
        <v>-380</v>
      </c>
      <c r="E19" s="100" t="s">
        <v>535</v>
      </c>
      <c r="F19" s="100"/>
      <c r="G19" s="74" t="s">
        <v>536</v>
      </c>
    </row>
    <row r="20" spans="3:8" x14ac:dyDescent="0.25">
      <c r="C20" s="108">
        <f>D$4+SUM(D$5:D20)</f>
        <v>2053.84</v>
      </c>
      <c r="D20" s="99">
        <v>-50</v>
      </c>
      <c r="E20" s="100" t="s">
        <v>535</v>
      </c>
      <c r="F20" s="100"/>
      <c r="G20" s="74" t="s">
        <v>537</v>
      </c>
    </row>
    <row r="21" spans="3:8" x14ac:dyDescent="0.25">
      <c r="C21" s="108">
        <f>D$4+SUM(D$5:D21)</f>
        <v>3303.84</v>
      </c>
      <c r="D21" s="99">
        <v>1250</v>
      </c>
      <c r="E21" s="100" t="s">
        <v>538</v>
      </c>
      <c r="F21" s="100"/>
      <c r="G21" s="74" t="s">
        <v>539</v>
      </c>
    </row>
    <row r="22" spans="3:8" x14ac:dyDescent="0.25">
      <c r="C22" s="108">
        <f>D$4+SUM(D$5:D22)</f>
        <v>2053.84</v>
      </c>
      <c r="D22" s="99">
        <v>-1250</v>
      </c>
      <c r="E22" s="100" t="s">
        <v>538</v>
      </c>
      <c r="F22" s="100"/>
      <c r="G22" s="74" t="s">
        <v>539</v>
      </c>
      <c r="H22" t="s">
        <v>540</v>
      </c>
    </row>
    <row r="23" spans="3:8" x14ac:dyDescent="0.25">
      <c r="C23" s="108">
        <f>D$4+SUM(D$5:D23)</f>
        <v>1808.8400000000001</v>
      </c>
      <c r="D23" s="99">
        <v>-245</v>
      </c>
      <c r="E23" s="100" t="s">
        <v>538</v>
      </c>
      <c r="F23" s="100"/>
      <c r="G23" s="74" t="s">
        <v>541</v>
      </c>
    </row>
    <row r="24" spans="3:8" x14ac:dyDescent="0.25">
      <c r="C24" s="108">
        <f>D$4+SUM(D$5:D24)</f>
        <v>1620.8400000000001</v>
      </c>
      <c r="D24" s="99">
        <f>-339+151</f>
        <v>-188</v>
      </c>
      <c r="E24" s="100" t="s">
        <v>538</v>
      </c>
      <c r="F24" s="100"/>
      <c r="G24" s="74" t="s">
        <v>518</v>
      </c>
    </row>
    <row r="25" spans="3:8" x14ac:dyDescent="0.25">
      <c r="C25" s="108">
        <f>D$4+SUM(D$5:D25)</f>
        <v>1469.8400000000001</v>
      </c>
      <c r="D25" s="99">
        <v>-151</v>
      </c>
      <c r="E25" s="100" t="s">
        <v>538</v>
      </c>
      <c r="F25" s="100"/>
      <c r="G25" s="74" t="s">
        <v>518</v>
      </c>
    </row>
    <row r="26" spans="3:8" x14ac:dyDescent="0.25">
      <c r="C26" s="108">
        <f>D$4+SUM(D$5:D26)</f>
        <v>2173.34</v>
      </c>
      <c r="D26" s="101">
        <v>703.5</v>
      </c>
      <c r="E26" s="102" t="s">
        <v>542</v>
      </c>
      <c r="F26" s="102"/>
      <c r="G26" s="103" t="s">
        <v>543</v>
      </c>
    </row>
    <row r="27" spans="3:8" x14ac:dyDescent="0.25">
      <c r="C27" s="108">
        <f>D$4+SUM(D$5:D27)</f>
        <v>1773.3400000000001</v>
      </c>
      <c r="D27" s="99">
        <v>-400</v>
      </c>
      <c r="E27" s="100" t="s">
        <v>542</v>
      </c>
      <c r="F27" s="74"/>
      <c r="G27" s="74" t="s">
        <v>544</v>
      </c>
    </row>
    <row r="28" spans="3:8" x14ac:dyDescent="0.25">
      <c r="C28" s="108">
        <f>D$4+SUM(D$5:D28)</f>
        <v>4401.34</v>
      </c>
      <c r="D28" s="99">
        <v>2628</v>
      </c>
      <c r="E28" s="100" t="s">
        <v>545</v>
      </c>
      <c r="F28" s="74"/>
      <c r="G28" s="74" t="s">
        <v>546</v>
      </c>
    </row>
    <row r="29" spans="3:8" x14ac:dyDescent="0.25">
      <c r="C29" s="108">
        <f>D$4+SUM(D$5:D29)</f>
        <v>2001.3400000000001</v>
      </c>
      <c r="D29" s="99">
        <v>-2400</v>
      </c>
      <c r="E29" s="100" t="s">
        <v>545</v>
      </c>
      <c r="F29" s="74"/>
      <c r="G29" s="74" t="s">
        <v>544</v>
      </c>
    </row>
    <row r="30" spans="3:8" x14ac:dyDescent="0.25">
      <c r="C30" s="108">
        <f>D$4+SUM(D$5:D30)</f>
        <v>2073.34</v>
      </c>
      <c r="D30" s="99">
        <v>72</v>
      </c>
      <c r="E30" s="100" t="s">
        <v>545</v>
      </c>
      <c r="F30" s="74"/>
      <c r="G30" s="74" t="s">
        <v>524</v>
      </c>
    </row>
    <row r="31" spans="3:8" x14ac:dyDescent="0.25">
      <c r="C31" s="108">
        <f>D$4+SUM(D$5:D31)</f>
        <v>1980.3400000000001</v>
      </c>
      <c r="D31" s="99">
        <v>-93</v>
      </c>
      <c r="E31" s="100" t="s">
        <v>545</v>
      </c>
      <c r="F31" s="74"/>
      <c r="G31" s="74" t="s">
        <v>524</v>
      </c>
    </row>
    <row r="32" spans="3:8" x14ac:dyDescent="0.25">
      <c r="C32" s="108">
        <f>D$4+SUM(D$5:D32)</f>
        <v>1680.3400000000001</v>
      </c>
      <c r="D32" s="99">
        <v>-300</v>
      </c>
      <c r="E32" s="100" t="s">
        <v>547</v>
      </c>
      <c r="F32" s="74"/>
      <c r="G32" s="74" t="s">
        <v>548</v>
      </c>
    </row>
    <row r="33" spans="3:7" x14ac:dyDescent="0.25">
      <c r="C33" s="108">
        <f>D$4+SUM(D$5:D33)</f>
        <v>1598.3400000000001</v>
      </c>
      <c r="D33" s="99">
        <v>-82</v>
      </c>
      <c r="E33" s="100" t="s">
        <v>549</v>
      </c>
      <c r="F33" s="74"/>
      <c r="G33" s="74" t="s">
        <v>524</v>
      </c>
    </row>
    <row r="34" spans="3:7" x14ac:dyDescent="0.25">
      <c r="C34" s="108">
        <f>D$4+SUM(D$5:D34)</f>
        <v>1745.6800000000003</v>
      </c>
      <c r="D34" s="113">
        <f>1.06*139</f>
        <v>147.34</v>
      </c>
      <c r="E34" s="114" t="s">
        <v>549</v>
      </c>
      <c r="F34" s="115"/>
      <c r="G34" s="115" t="s">
        <v>550</v>
      </c>
    </row>
    <row r="35" spans="3:7" x14ac:dyDescent="0.25">
      <c r="C35" s="108">
        <f>D$4+SUM(D$5:D35)</f>
        <v>1598.1800000000003</v>
      </c>
      <c r="D35" s="99">
        <f>295/2*-1</f>
        <v>-147.5</v>
      </c>
      <c r="E35" s="100" t="s">
        <v>551</v>
      </c>
      <c r="F35" s="74"/>
      <c r="G35" s="74" t="s">
        <v>552</v>
      </c>
    </row>
    <row r="36" spans="3:7" x14ac:dyDescent="0.25">
      <c r="C36" s="108">
        <f>D$4+SUM(D$5:D36)</f>
        <v>5092.0200000000004</v>
      </c>
      <c r="D36" s="101">
        <v>3493.84</v>
      </c>
      <c r="E36" s="102" t="s">
        <v>551</v>
      </c>
      <c r="F36" s="102"/>
      <c r="G36" s="103" t="s">
        <v>196</v>
      </c>
    </row>
    <row r="37" spans="3:7" x14ac:dyDescent="0.25">
      <c r="C37" s="108">
        <f>D$4+SUM(D$5:D37)</f>
        <v>2552.0200000000004</v>
      </c>
      <c r="D37" s="99">
        <v>-2540</v>
      </c>
      <c r="E37" s="100" t="s">
        <v>551</v>
      </c>
      <c r="F37" s="74"/>
      <c r="G37" s="74" t="s">
        <v>544</v>
      </c>
    </row>
    <row r="38" spans="3:7" x14ac:dyDescent="0.25">
      <c r="C38" s="108">
        <f>D$4+SUM(D$5:D38)</f>
        <v>2115.0200000000004</v>
      </c>
      <c r="D38" s="99">
        <v>-437</v>
      </c>
      <c r="E38" s="100" t="s">
        <v>553</v>
      </c>
      <c r="F38" s="100"/>
      <c r="G38" s="74" t="s">
        <v>527</v>
      </c>
    </row>
    <row r="39" spans="3:7" x14ac:dyDescent="0.25">
      <c r="C39" s="108">
        <f>D$4+SUM(D$5:D39)</f>
        <v>533.02000000000044</v>
      </c>
      <c r="D39" s="99">
        <v>-1582</v>
      </c>
      <c r="E39" s="100" t="s">
        <v>553</v>
      </c>
      <c r="F39" s="100"/>
      <c r="G39" s="74" t="s">
        <v>554</v>
      </c>
    </row>
    <row r="40" spans="3:7" x14ac:dyDescent="0.25">
      <c r="C40" s="108">
        <f>D$4+SUM(D$5:D40)</f>
        <v>1933.0200000000004</v>
      </c>
      <c r="D40" s="99">
        <v>1400</v>
      </c>
      <c r="E40" s="100" t="s">
        <v>553</v>
      </c>
      <c r="F40" s="100"/>
      <c r="G40" s="74" t="s">
        <v>555</v>
      </c>
    </row>
    <row r="41" spans="3:7" x14ac:dyDescent="0.25">
      <c r="C41" s="108">
        <f>D$4+SUM(D$5:D41)</f>
        <v>5426.8600000000006</v>
      </c>
      <c r="D41" s="101">
        <v>3493.84</v>
      </c>
      <c r="E41" s="102" t="s">
        <v>556</v>
      </c>
      <c r="F41" s="102"/>
      <c r="G41" s="103" t="s">
        <v>196</v>
      </c>
    </row>
    <row r="42" spans="3:7" x14ac:dyDescent="0.25">
      <c r="C42" s="108">
        <f>D$4+SUM(D$5:D42)</f>
        <v>4598.8600000000006</v>
      </c>
      <c r="D42" s="99">
        <v>-828</v>
      </c>
      <c r="E42" s="100" t="s">
        <v>556</v>
      </c>
      <c r="F42" s="100"/>
      <c r="G42" s="74" t="s">
        <v>530</v>
      </c>
    </row>
    <row r="43" spans="3:7" x14ac:dyDescent="0.25">
      <c r="C43" s="108">
        <f>D$4+SUM(D$5:D43)</f>
        <v>4222.8600000000006</v>
      </c>
      <c r="D43" s="99">
        <v>-376</v>
      </c>
      <c r="E43" s="100" t="s">
        <v>556</v>
      </c>
      <c r="F43" s="100"/>
      <c r="G43" s="74" t="s">
        <v>554</v>
      </c>
    </row>
    <row r="44" spans="3:7" x14ac:dyDescent="0.25">
      <c r="C44" s="108">
        <f>D$4+SUM(D$5:D44)</f>
        <v>3272.8600000000006</v>
      </c>
      <c r="D44" s="99">
        <v>-950</v>
      </c>
      <c r="E44" s="100" t="s">
        <v>556</v>
      </c>
      <c r="F44" s="100"/>
      <c r="G44" s="74" t="s">
        <v>544</v>
      </c>
    </row>
    <row r="45" spans="3:7" x14ac:dyDescent="0.25">
      <c r="C45" s="108">
        <f>D$4+SUM(D$5:D45)</f>
        <v>3172.8600000000006</v>
      </c>
      <c r="D45" s="99">
        <v>-100</v>
      </c>
      <c r="E45" s="100" t="s">
        <v>556</v>
      </c>
      <c r="F45" s="100"/>
      <c r="G45" s="74" t="s">
        <v>534</v>
      </c>
    </row>
    <row r="46" spans="3:7" x14ac:dyDescent="0.25">
      <c r="C46" s="108">
        <f>D$4+SUM(D$5:D46)</f>
        <v>3121.1100000000006</v>
      </c>
      <c r="D46" s="99">
        <v>-51.75</v>
      </c>
      <c r="E46" s="100" t="s">
        <v>556</v>
      </c>
      <c r="F46" s="100"/>
      <c r="G46" s="74" t="s">
        <v>557</v>
      </c>
    </row>
    <row r="47" spans="3:7" x14ac:dyDescent="0.25">
      <c r="C47" s="108">
        <f>D$4+SUM(D$5:D47)</f>
        <v>1926.1100000000006</v>
      </c>
      <c r="D47" s="99">
        <v>-1195</v>
      </c>
      <c r="E47" s="100" t="s">
        <v>558</v>
      </c>
      <c r="F47" s="100"/>
      <c r="G47" s="74" t="s">
        <v>12</v>
      </c>
    </row>
    <row r="48" spans="3:7" x14ac:dyDescent="0.25">
      <c r="C48" s="108">
        <f>D$4+SUM(D$5:D48)</f>
        <v>1627.1100000000006</v>
      </c>
      <c r="D48" s="99">
        <v>-299</v>
      </c>
      <c r="E48" s="100" t="s">
        <v>559</v>
      </c>
      <c r="F48" s="100"/>
      <c r="G48" s="74" t="s">
        <v>8</v>
      </c>
    </row>
    <row r="49" spans="3:23" x14ac:dyDescent="0.25">
      <c r="C49" s="108">
        <f>D$4+SUM(D$5:D49)</f>
        <v>2877.1100000000006</v>
      </c>
      <c r="D49" s="99">
        <v>1250</v>
      </c>
      <c r="E49" s="100" t="s">
        <v>564</v>
      </c>
      <c r="F49" s="100"/>
      <c r="G49" s="74" t="s">
        <v>539</v>
      </c>
    </row>
    <row r="50" spans="3:23" x14ac:dyDescent="0.25">
      <c r="C50" s="108">
        <f>D$4+SUM(D$5:D50)</f>
        <v>2577.1100000000006</v>
      </c>
      <c r="D50" s="99">
        <v>-300</v>
      </c>
      <c r="E50" s="100" t="s">
        <v>565</v>
      </c>
      <c r="F50" s="100"/>
      <c r="G50" s="74" t="s">
        <v>544</v>
      </c>
    </row>
    <row r="51" spans="3:23" x14ac:dyDescent="0.25">
      <c r="C51" s="108">
        <f>D$4+SUM(D$5:D51)</f>
        <v>5977.1100000000006</v>
      </c>
      <c r="D51" s="101">
        <v>3400</v>
      </c>
      <c r="E51" s="102" t="s">
        <v>566</v>
      </c>
      <c r="F51" s="102"/>
      <c r="G51" s="103" t="s">
        <v>196</v>
      </c>
    </row>
    <row r="52" spans="3:23" x14ac:dyDescent="0.25">
      <c r="C52" s="108">
        <f>D$4+SUM(D$5:D52)</f>
        <v>5677.1100000000006</v>
      </c>
      <c r="D52" s="99">
        <v>-300</v>
      </c>
      <c r="E52" s="100" t="s">
        <v>566</v>
      </c>
      <c r="F52" s="74"/>
      <c r="G52" s="74" t="s">
        <v>568</v>
      </c>
    </row>
    <row r="53" spans="3:23" x14ac:dyDescent="0.25">
      <c r="C53" s="108">
        <f>D$4+SUM(D$5:D53)</f>
        <v>2677.1100000000006</v>
      </c>
      <c r="D53" s="99">
        <v>-3000</v>
      </c>
      <c r="E53" s="100" t="s">
        <v>566</v>
      </c>
      <c r="F53" s="100"/>
      <c r="G53" s="74" t="s">
        <v>544</v>
      </c>
    </row>
    <row r="54" spans="3:23" x14ac:dyDescent="0.25">
      <c r="C54" s="108">
        <f>D$4+SUM(D$5:D54)</f>
        <v>2467.1100000000006</v>
      </c>
      <c r="D54" s="99">
        <v>-210</v>
      </c>
      <c r="E54" s="100" t="s">
        <v>571</v>
      </c>
      <c r="F54" s="74"/>
      <c r="G54" s="74" t="s">
        <v>572</v>
      </c>
    </row>
    <row r="55" spans="3:23" x14ac:dyDescent="0.25">
      <c r="C55" s="108">
        <f>D$4+SUM(D$5:D55)</f>
        <v>1005.1100000000006</v>
      </c>
      <c r="D55" s="99">
        <v>-1462</v>
      </c>
      <c r="E55" s="100" t="s">
        <v>571</v>
      </c>
      <c r="F55" s="74"/>
      <c r="G55" s="74" t="s">
        <v>573</v>
      </c>
    </row>
    <row r="56" spans="3:23" x14ac:dyDescent="0.25">
      <c r="C56" s="108">
        <f>D$4+SUM(D$5:D56)</f>
        <v>1505.1100000000006</v>
      </c>
      <c r="D56" s="99">
        <v>500</v>
      </c>
      <c r="E56" s="100" t="s">
        <v>571</v>
      </c>
      <c r="F56" s="74"/>
      <c r="G56" s="74" t="s">
        <v>575</v>
      </c>
    </row>
    <row r="57" spans="3:23" ht="17.25" x14ac:dyDescent="0.4">
      <c r="C57" s="108">
        <f>D$4+SUM(D$5:D57)</f>
        <v>1430.5100000000007</v>
      </c>
      <c r="D57" s="99">
        <v>-74.599999999999994</v>
      </c>
      <c r="E57" s="100" t="s">
        <v>586</v>
      </c>
      <c r="F57" s="74"/>
      <c r="G57" s="74" t="s">
        <v>587</v>
      </c>
      <c r="L57" s="2" t="s">
        <v>560</v>
      </c>
      <c r="M57" s="2" t="s">
        <v>561</v>
      </c>
      <c r="N57" s="2"/>
      <c r="O57" s="2"/>
      <c r="R57" s="46" t="s">
        <v>604</v>
      </c>
      <c r="S57" s="1" t="s">
        <v>603</v>
      </c>
    </row>
    <row r="58" spans="3:23" x14ac:dyDescent="0.25">
      <c r="C58" s="108">
        <f>D$4+SUM(D$5:D58)</f>
        <v>1392.5100000000007</v>
      </c>
      <c r="D58" s="99">
        <v>-38</v>
      </c>
      <c r="E58" s="100" t="s">
        <v>592</v>
      </c>
      <c r="F58" s="74"/>
      <c r="G58" s="74" t="s">
        <v>573</v>
      </c>
      <c r="J58" t="s">
        <v>562</v>
      </c>
      <c r="K58" s="125">
        <v>12460</v>
      </c>
      <c r="L58" s="125">
        <v>2940</v>
      </c>
      <c r="M58" s="125">
        <v>-1350</v>
      </c>
      <c r="N58" s="125">
        <f>D44*-1</f>
        <v>950</v>
      </c>
      <c r="O58" s="125">
        <v>2500</v>
      </c>
      <c r="P58" s="125">
        <v>-500</v>
      </c>
      <c r="Q58" s="125">
        <v>59</v>
      </c>
      <c r="R58" s="125">
        <v>-445</v>
      </c>
      <c r="S58" s="125">
        <v>-600</v>
      </c>
      <c r="T58" s="125">
        <v>-400</v>
      </c>
      <c r="U58" s="125">
        <f>D79*-1</f>
        <v>3000</v>
      </c>
      <c r="V58" s="124">
        <v>-600</v>
      </c>
      <c r="W58" s="116">
        <f>SUM(K58:V58)</f>
        <v>18014</v>
      </c>
    </row>
    <row r="59" spans="3:23" x14ac:dyDescent="0.25">
      <c r="C59" s="108">
        <f>D$4+SUM(D$5:D59)</f>
        <v>1264.5100000000007</v>
      </c>
      <c r="D59" s="99">
        <v>-128</v>
      </c>
      <c r="E59" s="100" t="s">
        <v>593</v>
      </c>
      <c r="F59" s="74"/>
      <c r="G59" s="74" t="s">
        <v>573</v>
      </c>
      <c r="J59" t="s">
        <v>563</v>
      </c>
    </row>
    <row r="60" spans="3:23" x14ac:dyDescent="0.25">
      <c r="C60" s="108">
        <f>D$4+SUM(D$5:D60)</f>
        <v>950.51000000000067</v>
      </c>
      <c r="D60" s="99">
        <v>-314</v>
      </c>
      <c r="E60" s="100" t="s">
        <v>576</v>
      </c>
      <c r="F60" s="74"/>
      <c r="G60" s="74" t="s">
        <v>573</v>
      </c>
    </row>
    <row r="61" spans="3:23" x14ac:dyDescent="0.25">
      <c r="C61" s="108">
        <f>D$4+SUM(D$5:D61)</f>
        <v>513.51000000000067</v>
      </c>
      <c r="D61" s="99">
        <v>-437</v>
      </c>
      <c r="E61" s="100" t="s">
        <v>576</v>
      </c>
      <c r="F61" s="100"/>
      <c r="G61" s="74" t="s">
        <v>527</v>
      </c>
      <c r="J61" t="s">
        <v>567</v>
      </c>
    </row>
    <row r="62" spans="3:23" x14ac:dyDescent="0.25">
      <c r="C62" s="108">
        <f>D$4+SUM(D$5:D62)</f>
        <v>395.51000000000067</v>
      </c>
      <c r="D62" s="99">
        <v>-118</v>
      </c>
      <c r="E62" s="100" t="s">
        <v>594</v>
      </c>
      <c r="F62" s="74"/>
      <c r="G62" s="74" t="s">
        <v>573</v>
      </c>
      <c r="J62" t="s">
        <v>567</v>
      </c>
    </row>
    <row r="63" spans="3:23" x14ac:dyDescent="0.25">
      <c r="C63" s="108">
        <f>D$4+SUM(D$5:D63)</f>
        <v>3889.3500000000008</v>
      </c>
      <c r="D63" s="101">
        <v>3493.84</v>
      </c>
      <c r="E63" s="102" t="s">
        <v>577</v>
      </c>
      <c r="F63" s="102"/>
      <c r="G63" s="103" t="s">
        <v>196</v>
      </c>
      <c r="J63" s="115" t="s">
        <v>569</v>
      </c>
      <c r="K63" s="115"/>
    </row>
    <row r="64" spans="3:23" x14ac:dyDescent="0.25">
      <c r="C64" s="108">
        <f>D$4+SUM(D$5:D64)</f>
        <v>3693.3500000000008</v>
      </c>
      <c r="D64" s="99">
        <v>-196</v>
      </c>
      <c r="E64" s="100" t="s">
        <v>577</v>
      </c>
      <c r="F64" s="74"/>
      <c r="G64" s="74" t="s">
        <v>573</v>
      </c>
      <c r="J64" s="115" t="s">
        <v>570</v>
      </c>
      <c r="K64" s="115"/>
    </row>
    <row r="65" spans="3:11" x14ac:dyDescent="0.25">
      <c r="C65" s="108">
        <f>D$4+SUM(D$5:D65)</f>
        <v>2983.130000000001</v>
      </c>
      <c r="D65" s="99">
        <f>-105.65-99-45-26.46-14-163.53-45.81-63.53-21.45-103.6-3.91-19.06-7+3.89+3.89</f>
        <v>-710.22</v>
      </c>
      <c r="E65" s="100" t="s">
        <v>597</v>
      </c>
      <c r="F65" s="100"/>
      <c r="G65" s="74" t="s">
        <v>598</v>
      </c>
      <c r="J65" s="115" t="s">
        <v>333</v>
      </c>
      <c r="K65" s="115"/>
    </row>
    <row r="66" spans="3:11" x14ac:dyDescent="0.25">
      <c r="C66" s="108">
        <f>D$4+SUM(D$5:D66)</f>
        <v>2155.130000000001</v>
      </c>
      <c r="D66" s="99">
        <v>-828</v>
      </c>
      <c r="E66" s="100" t="s">
        <v>578</v>
      </c>
      <c r="F66" s="100"/>
      <c r="G66" s="74" t="s">
        <v>530</v>
      </c>
      <c r="J66" t="s">
        <v>574</v>
      </c>
    </row>
    <row r="67" spans="3:11" x14ac:dyDescent="0.25">
      <c r="C67" s="108">
        <f>D$4+SUM(D$5:D67)</f>
        <v>2090.130000000001</v>
      </c>
      <c r="D67" s="99">
        <v>-65</v>
      </c>
      <c r="E67" s="100" t="s">
        <v>595</v>
      </c>
      <c r="F67" s="100"/>
      <c r="G67" s="74" t="s">
        <v>506</v>
      </c>
    </row>
    <row r="68" spans="3:11" x14ac:dyDescent="0.25">
      <c r="C68" s="108">
        <f>D$4+SUM(D$5:D68)</f>
        <v>2018.2500000000009</v>
      </c>
      <c r="D68" s="99">
        <v>-71.88</v>
      </c>
      <c r="E68" s="100" t="s">
        <v>595</v>
      </c>
      <c r="F68" s="100"/>
      <c r="G68" s="74" t="s">
        <v>507</v>
      </c>
    </row>
    <row r="69" spans="3:11" x14ac:dyDescent="0.25">
      <c r="C69" s="108">
        <f>D$4+SUM(D$5:D69)</f>
        <v>1709.2500000000009</v>
      </c>
      <c r="D69" s="99">
        <v>-309</v>
      </c>
      <c r="E69" s="100" t="s">
        <v>595</v>
      </c>
      <c r="F69" s="100"/>
      <c r="G69" s="74" t="s">
        <v>573</v>
      </c>
    </row>
    <row r="70" spans="3:11" x14ac:dyDescent="0.25">
      <c r="C70" s="108">
        <f>D$4+SUM(D$5:D70)</f>
        <v>1609.2500000000009</v>
      </c>
      <c r="D70" s="99">
        <v>-100</v>
      </c>
      <c r="E70" s="100" t="s">
        <v>579</v>
      </c>
      <c r="F70" s="100"/>
      <c r="G70" s="74" t="s">
        <v>596</v>
      </c>
    </row>
    <row r="71" spans="3:11" x14ac:dyDescent="0.25">
      <c r="C71" s="108">
        <f>D$4+SUM(D$5:D71)</f>
        <v>2209.2500000000009</v>
      </c>
      <c r="D71" s="99">
        <v>600</v>
      </c>
      <c r="E71" s="100" t="s">
        <v>579</v>
      </c>
      <c r="F71" s="100"/>
      <c r="G71" s="74" t="s">
        <v>601</v>
      </c>
    </row>
    <row r="72" spans="3:11" x14ac:dyDescent="0.25">
      <c r="C72" s="108">
        <f>D$4+SUM(D$5:D72)</f>
        <v>1910.2500000000009</v>
      </c>
      <c r="D72" s="99">
        <v>-299</v>
      </c>
      <c r="E72" s="100" t="s">
        <v>579</v>
      </c>
      <c r="F72" s="100"/>
      <c r="G72" s="74" t="s">
        <v>8</v>
      </c>
    </row>
    <row r="73" spans="3:11" x14ac:dyDescent="0.25">
      <c r="C73" s="108">
        <f>D$4+SUM(D$5:D73)</f>
        <v>1865.940000000001</v>
      </c>
      <c r="D73" s="99">
        <f>-15.42-19.98-13.91+5</f>
        <v>-44.31</v>
      </c>
      <c r="E73" s="100"/>
      <c r="F73" s="100"/>
      <c r="G73" s="74"/>
    </row>
    <row r="74" spans="3:11" x14ac:dyDescent="0.25">
      <c r="C74" s="108">
        <f>D$4+SUM(D$5:D74)</f>
        <v>640.94000000000096</v>
      </c>
      <c r="D74" s="99">
        <v>-1225</v>
      </c>
      <c r="E74" s="100" t="s">
        <v>600</v>
      </c>
      <c r="F74" s="100"/>
      <c r="G74" s="74" t="s">
        <v>12</v>
      </c>
    </row>
    <row r="75" spans="3:11" x14ac:dyDescent="0.25">
      <c r="C75" s="108">
        <f>D$4+SUM(D$5:D75)</f>
        <v>658.27000000000089</v>
      </c>
      <c r="D75" s="99">
        <f>-19.98-9.99-17.49-14.98-29.96-59.99-0.28+170</f>
        <v>17.329999999999984</v>
      </c>
      <c r="E75" s="74"/>
      <c r="F75" s="74"/>
      <c r="G75" s="74"/>
    </row>
    <row r="76" spans="3:11" x14ac:dyDescent="0.25">
      <c r="C76" s="108">
        <f>D$4+SUM(D$5:D76)</f>
        <v>1908.2700000000009</v>
      </c>
      <c r="D76" s="99">
        <v>1250</v>
      </c>
      <c r="E76" s="100" t="s">
        <v>590</v>
      </c>
      <c r="F76" s="100"/>
      <c r="G76" s="74" t="s">
        <v>539</v>
      </c>
    </row>
    <row r="77" spans="3:11" x14ac:dyDescent="0.25">
      <c r="C77" s="108">
        <f>D$4+SUM(D$5:D77)</f>
        <v>1408.2700000000009</v>
      </c>
      <c r="D77" s="99">
        <v>-500</v>
      </c>
      <c r="E77" s="100" t="s">
        <v>580</v>
      </c>
      <c r="F77" s="100"/>
      <c r="G77" s="74" t="s">
        <v>544</v>
      </c>
      <c r="J77" s="120"/>
    </row>
    <row r="78" spans="3:11" x14ac:dyDescent="0.25">
      <c r="C78" s="108">
        <f>D$4+SUM(D$5:D78)</f>
        <v>4902.1100000000006</v>
      </c>
      <c r="D78" s="101">
        <v>3493.84</v>
      </c>
      <c r="E78" s="102" t="s">
        <v>580</v>
      </c>
      <c r="F78" s="102"/>
      <c r="G78" s="103" t="s">
        <v>196</v>
      </c>
    </row>
    <row r="79" spans="3:11" x14ac:dyDescent="0.25">
      <c r="C79" s="108">
        <f>D$4+SUM(D$5:D79)</f>
        <v>1902.110000000001</v>
      </c>
      <c r="D79" s="99">
        <v>-3000</v>
      </c>
      <c r="E79" s="100" t="s">
        <v>580</v>
      </c>
      <c r="F79" s="100"/>
      <c r="G79" s="74" t="s">
        <v>544</v>
      </c>
      <c r="J79" s="120"/>
    </row>
    <row r="80" spans="3:11" x14ac:dyDescent="0.25">
      <c r="C80" s="108">
        <f>D$4+SUM(D$5:D80)</f>
        <v>1090.110000000001</v>
      </c>
      <c r="D80" s="125">
        <f>-179-12-19-179+N("AT&amp;T")-168+N("WIX")-242+N("Delay pedal")-13</f>
        <v>-812</v>
      </c>
      <c r="E80" s="74"/>
      <c r="F80" s="74"/>
      <c r="G80" s="74"/>
    </row>
    <row r="81" spans="2:13" x14ac:dyDescent="0.25">
      <c r="C81" s="108">
        <f>D$4+SUM(D$5:D81)</f>
        <v>790.11000000000104</v>
      </c>
      <c r="D81" s="99">
        <v>-300</v>
      </c>
      <c r="E81" s="100" t="s">
        <v>581</v>
      </c>
      <c r="F81" s="74"/>
      <c r="G81" s="74" t="s">
        <v>568</v>
      </c>
      <c r="M81">
        <v>3058.72</v>
      </c>
    </row>
    <row r="82" spans="2:13" x14ac:dyDescent="0.25">
      <c r="C82" s="108">
        <f>D$4+SUM(D$5:D82)</f>
        <v>622.02000000000089</v>
      </c>
      <c r="D82" s="99">
        <f>15.6-45.49-20-14.59-40.63-27.62-12.83-5.53-17</f>
        <v>-168.09000000000003</v>
      </c>
      <c r="E82" s="74"/>
      <c r="F82" s="74"/>
      <c r="G82" s="74"/>
    </row>
    <row r="83" spans="2:13" x14ac:dyDescent="0.25">
      <c r="C83" s="108">
        <f>D$4+SUM(D$5:D83)</f>
        <v>422.02000000000089</v>
      </c>
      <c r="D83" s="99">
        <v>-200</v>
      </c>
      <c r="E83" s="100" t="s">
        <v>605</v>
      </c>
      <c r="F83" s="100"/>
      <c r="G83" s="74" t="s">
        <v>591</v>
      </c>
    </row>
    <row r="84" spans="2:13" x14ac:dyDescent="0.25">
      <c r="C84" s="108">
        <f>D$4+SUM(D$5:D84)</f>
        <v>646.02000000000089</v>
      </c>
      <c r="D84" s="99">
        <f>-176+400+N("Transferred $400 into for car pmt")</f>
        <v>224</v>
      </c>
      <c r="E84" s="100" t="s">
        <v>606</v>
      </c>
      <c r="F84" s="74"/>
      <c r="G84" s="74" t="s">
        <v>573</v>
      </c>
    </row>
    <row r="85" spans="2:13" x14ac:dyDescent="0.25">
      <c r="C85" s="108">
        <f>D$4+SUM(D$5:D85)</f>
        <v>4139.8600000000006</v>
      </c>
      <c r="D85" s="101">
        <v>3493.84</v>
      </c>
      <c r="E85" s="102" t="s">
        <v>583</v>
      </c>
      <c r="F85" s="102"/>
      <c r="G85" s="103" t="s">
        <v>196</v>
      </c>
    </row>
    <row r="86" spans="2:13" x14ac:dyDescent="0.25">
      <c r="C86" s="108">
        <f>D$4+SUM(D$5:D86)</f>
        <v>4008.6800000000012</v>
      </c>
      <c r="D86" s="99">
        <f>-41.79+N("Comcast")-21.39+N("Ufit")-68</f>
        <v>-131.18</v>
      </c>
      <c r="E86" s="100" t="s">
        <v>582</v>
      </c>
      <c r="F86" s="100"/>
      <c r="G86" s="74" t="s">
        <v>573</v>
      </c>
    </row>
    <row r="87" spans="2:13" x14ac:dyDescent="0.25">
      <c r="C87" s="108">
        <f>D$4+SUM(D$5:D87)</f>
        <v>3571.6800000000012</v>
      </c>
      <c r="D87" s="99">
        <v>-437</v>
      </c>
      <c r="E87" s="100" t="s">
        <v>583</v>
      </c>
      <c r="F87" s="100"/>
      <c r="G87" s="74" t="s">
        <v>527</v>
      </c>
    </row>
    <row r="88" spans="2:13" x14ac:dyDescent="0.25">
      <c r="C88" s="108">
        <f>D$4+SUM(D$5:D88)</f>
        <v>3559.7300000000009</v>
      </c>
      <c r="D88" s="99">
        <v>-11.95</v>
      </c>
      <c r="E88" s="100" t="s">
        <v>599</v>
      </c>
      <c r="F88" s="100"/>
      <c r="G88" s="74" t="s">
        <v>334</v>
      </c>
    </row>
    <row r="89" spans="2:13" x14ac:dyDescent="0.25">
      <c r="C89" s="108">
        <f>D$4+SUM(D$5:D89)</f>
        <v>3494.7300000000009</v>
      </c>
      <c r="D89" s="99">
        <v>-65</v>
      </c>
      <c r="E89" s="100" t="s">
        <v>599</v>
      </c>
      <c r="F89" s="100"/>
      <c r="G89" s="74" t="s">
        <v>506</v>
      </c>
    </row>
    <row r="90" spans="2:13" x14ac:dyDescent="0.25">
      <c r="C90" s="108">
        <f>D$4+SUM(D$5:D90)</f>
        <v>3057.7300000000009</v>
      </c>
      <c r="D90" s="99">
        <v>-437</v>
      </c>
      <c r="E90" s="100"/>
      <c r="F90" s="100"/>
      <c r="G90" s="74"/>
    </row>
    <row r="91" spans="2:13" ht="15.75" thickBot="1" x14ac:dyDescent="0.3">
      <c r="C91" s="108">
        <f>D$4+SUM(D$5:D91)</f>
        <v>2229.7300000000009</v>
      </c>
      <c r="D91" s="99">
        <v>-828</v>
      </c>
      <c r="E91" s="100" t="s">
        <v>584</v>
      </c>
      <c r="F91" s="100"/>
      <c r="G91" s="74" t="s">
        <v>530</v>
      </c>
    </row>
    <row r="92" spans="2:13" ht="15.75" thickBot="1" x14ac:dyDescent="0.3">
      <c r="B92" s="121" t="s">
        <v>602</v>
      </c>
      <c r="C92" s="122">
        <f>D$4+SUM(D$5:D92)</f>
        <v>1004.7300000000009</v>
      </c>
      <c r="D92" s="99">
        <v>-1225</v>
      </c>
      <c r="E92" s="100" t="s">
        <v>584</v>
      </c>
      <c r="F92" s="100"/>
      <c r="G92" s="74" t="s">
        <v>12</v>
      </c>
    </row>
    <row r="93" spans="2:13" x14ac:dyDescent="0.25">
      <c r="C93" s="108">
        <f>D$4+SUM(D$5:D93)</f>
        <v>932.85000000000082</v>
      </c>
      <c r="D93" s="99">
        <v>-71.88</v>
      </c>
      <c r="E93" s="100" t="s">
        <v>599</v>
      </c>
      <c r="F93" s="100"/>
      <c r="G93" s="74" t="s">
        <v>507</v>
      </c>
    </row>
    <row r="94" spans="2:13" x14ac:dyDescent="0.25">
      <c r="C94" s="108">
        <f>D$4+SUM(D$5:D94)</f>
        <v>633.85000000000082</v>
      </c>
      <c r="D94" s="99">
        <v>-299</v>
      </c>
      <c r="E94" s="100" t="s">
        <v>585</v>
      </c>
      <c r="F94" s="100"/>
      <c r="G94" s="74" t="s">
        <v>8</v>
      </c>
    </row>
    <row r="95" spans="2:13" x14ac:dyDescent="0.25">
      <c r="C95" s="108">
        <f>D$4+SUM(D$5:D95)</f>
        <v>633.85000000000082</v>
      </c>
      <c r="D95" s="99"/>
      <c r="E95" s="100"/>
      <c r="F95" s="100"/>
      <c r="G95" s="74"/>
    </row>
    <row r="96" spans="2:13" x14ac:dyDescent="0.25">
      <c r="C96" s="108">
        <f>D$4+SUM(D$5:D96)</f>
        <v>633.85000000000082</v>
      </c>
      <c r="D96" s="99"/>
      <c r="E96" s="100"/>
      <c r="F96" s="100"/>
      <c r="G96" s="74"/>
    </row>
    <row r="97" spans="3:10" x14ac:dyDescent="0.25">
      <c r="C97" s="108">
        <f>D$4+SUM(D$5:D97)</f>
        <v>633.85000000000082</v>
      </c>
      <c r="D97" s="117">
        <v>0</v>
      </c>
      <c r="E97" s="118" t="s">
        <v>585</v>
      </c>
      <c r="F97" s="118"/>
      <c r="G97" s="119" t="s">
        <v>544</v>
      </c>
      <c r="J97" s="93">
        <v>43476</v>
      </c>
    </row>
    <row r="98" spans="3:10" x14ac:dyDescent="0.25">
      <c r="J98" s="93">
        <f>J97+14</f>
        <v>43490</v>
      </c>
    </row>
  </sheetData>
  <pageMargins left="0.7" right="0.7" top="0.75" bottom="0.75" header="0.3" footer="0.3"/>
  <pageSetup orientation="portrait" r:id="rId1"/>
  <ignoredErrors>
    <ignoredError sqref="E6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A8A8-243F-46F4-9734-257C26BC9816}">
  <sheetPr codeName="Sheet1">
    <tabColor theme="7" tint="0.39997558519241921"/>
    <pageSetUpPr fitToPage="1"/>
  </sheetPr>
  <dimension ref="A1:CL67"/>
  <sheetViews>
    <sheetView showGridLines="0" tabSelected="1" zoomScale="85" zoomScaleNormal="8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Q58" sqref="Q58"/>
    </sheetView>
  </sheetViews>
  <sheetFormatPr defaultRowHeight="15" outlineLevelCol="1" x14ac:dyDescent="0.25"/>
  <cols>
    <col min="1" max="1" width="3.28515625" customWidth="1"/>
    <col min="2" max="2" width="18.7109375" customWidth="1"/>
    <col min="3" max="3" width="8.28515625" customWidth="1"/>
    <col min="4" max="4" width="2.42578125" customWidth="1"/>
    <col min="5" max="5" width="8.28515625" customWidth="1"/>
    <col min="6" max="6" width="2.42578125" customWidth="1"/>
    <col min="7" max="7" width="8.28515625" customWidth="1"/>
    <col min="8" max="8" width="3.7109375" customWidth="1"/>
    <col min="9" max="9" width="8.28515625" customWidth="1"/>
    <col min="10" max="10" width="2.42578125" customWidth="1"/>
    <col min="11" max="11" width="8.28515625" customWidth="1"/>
    <col min="12" max="12" width="2.42578125" customWidth="1"/>
    <col min="13" max="13" width="8.28515625" customWidth="1"/>
    <col min="14" max="14" width="3.7109375" customWidth="1"/>
    <col min="15" max="15" width="8.28515625" customWidth="1"/>
    <col min="16" max="16" width="2.42578125" customWidth="1"/>
    <col min="17" max="17" width="8.28515625" customWidth="1"/>
    <col min="18" max="18" width="2.42578125" customWidth="1"/>
    <col min="19" max="19" width="8.28515625" customWidth="1"/>
    <col min="20" max="20" width="3.7109375" customWidth="1"/>
    <col min="21" max="21" width="8.28515625" customWidth="1"/>
    <col min="22" max="22" width="2.42578125" customWidth="1"/>
    <col min="23" max="23" width="8.28515625" customWidth="1"/>
    <col min="24" max="24" width="2.42578125" customWidth="1"/>
    <col min="25" max="25" width="8.28515625" customWidth="1"/>
    <col min="26" max="26" width="3.7109375" customWidth="1"/>
    <col min="27" max="27" width="8.28515625" customWidth="1"/>
    <col min="28" max="28" width="2.42578125" customWidth="1"/>
    <col min="29" max="29" width="8.28515625" customWidth="1"/>
    <col min="30" max="30" width="2.42578125" customWidth="1"/>
    <col min="31" max="31" width="8.28515625" customWidth="1"/>
    <col min="32" max="32" width="3.7109375" customWidth="1"/>
    <col min="33" max="33" width="8.28515625" customWidth="1"/>
    <col min="34" max="34" width="2.42578125" customWidth="1"/>
    <col min="35" max="35" width="8.28515625" customWidth="1"/>
    <col min="36" max="36" width="2.42578125" customWidth="1"/>
    <col min="37" max="37" width="8.28515625" customWidth="1"/>
    <col min="38" max="38" width="3.7109375" customWidth="1"/>
    <col min="39" max="39" width="8.28515625" hidden="1" customWidth="1" outlineLevel="1"/>
    <col min="40" max="40" width="2.42578125" hidden="1" customWidth="1" outlineLevel="1"/>
    <col min="41" max="41" width="8.28515625" hidden="1" customWidth="1" outlineLevel="1"/>
    <col min="42" max="42" width="2.42578125" hidden="1" customWidth="1" outlineLevel="1"/>
    <col min="43" max="43" width="8.28515625" hidden="1" customWidth="1" outlineLevel="1"/>
    <col min="44" max="44" width="3.7109375" hidden="1" customWidth="1" outlineLevel="1"/>
    <col min="45" max="45" width="8.28515625" hidden="1" customWidth="1" outlineLevel="1"/>
    <col min="46" max="46" width="2.42578125" hidden="1" customWidth="1" outlineLevel="1"/>
    <col min="47" max="47" width="8.28515625" hidden="1" customWidth="1" outlineLevel="1"/>
    <col min="48" max="48" width="2.42578125" hidden="1" customWidth="1" outlineLevel="1"/>
    <col min="49" max="49" width="8.28515625" hidden="1" customWidth="1" outlineLevel="1"/>
    <col min="50" max="50" width="3.7109375" hidden="1" customWidth="1" outlineLevel="1"/>
    <col min="51" max="51" width="8.28515625" hidden="1" customWidth="1" outlineLevel="1"/>
    <col min="52" max="52" width="2.42578125" hidden="1" customWidth="1" outlineLevel="1"/>
    <col min="53" max="53" width="8.28515625" hidden="1" customWidth="1" outlineLevel="1"/>
    <col min="54" max="54" width="2.42578125" hidden="1" customWidth="1" outlineLevel="1"/>
    <col min="55" max="55" width="8.28515625" hidden="1" customWidth="1" outlineLevel="1"/>
    <col min="56" max="56" width="3.7109375" hidden="1" customWidth="1" outlineLevel="1"/>
    <col min="57" max="57" width="8.28515625" hidden="1" customWidth="1" outlineLevel="1"/>
    <col min="58" max="58" width="2.42578125" hidden="1" customWidth="1" outlineLevel="1"/>
    <col min="59" max="59" width="8.28515625" hidden="1" customWidth="1" outlineLevel="1"/>
    <col min="60" max="60" width="2.42578125" hidden="1" customWidth="1" outlineLevel="1"/>
    <col min="61" max="61" width="8.28515625" hidden="1" customWidth="1" outlineLevel="1"/>
    <col min="62" max="62" width="3.7109375" hidden="1" customWidth="1" outlineLevel="1"/>
    <col min="63" max="63" width="8.28515625" hidden="1" customWidth="1" outlineLevel="1"/>
    <col min="64" max="64" width="2.42578125" hidden="1" customWidth="1" outlineLevel="1"/>
    <col min="65" max="65" width="8.28515625" hidden="1" customWidth="1" outlineLevel="1"/>
    <col min="66" max="66" width="2.42578125" hidden="1" customWidth="1" outlineLevel="1"/>
    <col min="67" max="67" width="8.28515625" hidden="1" customWidth="1" outlineLevel="1"/>
    <col min="68" max="68" width="3.7109375" hidden="1" customWidth="1" outlineLevel="1"/>
    <col min="69" max="69" width="8.28515625" hidden="1" customWidth="1" outlineLevel="1"/>
    <col min="70" max="70" width="2.42578125" hidden="1" customWidth="1" outlineLevel="1"/>
    <col min="71" max="71" width="8.28515625" hidden="1" customWidth="1" outlineLevel="1"/>
    <col min="72" max="72" width="2.42578125" hidden="1" customWidth="1" outlineLevel="1"/>
    <col min="73" max="73" width="8.28515625" hidden="1" customWidth="1" outlineLevel="1"/>
    <col min="74" max="74" width="3.7109375" hidden="1" customWidth="1" outlineLevel="1"/>
    <col min="75" max="75" width="8.7109375" customWidth="1" collapsed="1"/>
    <col min="76" max="76" width="2.42578125" customWidth="1"/>
    <col min="77" max="77" width="8.7109375" customWidth="1"/>
    <col min="78" max="78" width="2.42578125" customWidth="1"/>
    <col min="79" max="79" width="8.7109375" customWidth="1"/>
    <col min="80" max="80" width="3.7109375" customWidth="1"/>
    <col min="81" max="81" width="8.7109375" customWidth="1"/>
    <col min="82" max="82" width="2.42578125" customWidth="1"/>
    <col min="83" max="83" width="8.7109375" customWidth="1"/>
    <col min="84" max="84" width="2.42578125" customWidth="1"/>
    <col min="85" max="85" width="8.7109375" customWidth="1"/>
    <col min="88" max="89" width="9.140625" hidden="1" customWidth="1" outlineLevel="1"/>
    <col min="90" max="90" width="9.140625" collapsed="1"/>
  </cols>
  <sheetData>
    <row r="1" spans="1:89" ht="21" x14ac:dyDescent="0.35">
      <c r="A1" s="98" t="s">
        <v>588</v>
      </c>
      <c r="B1" s="98"/>
    </row>
    <row r="3" spans="1:89" ht="21" x14ac:dyDescent="0.45">
      <c r="C3" s="139" t="s">
        <v>508</v>
      </c>
      <c r="D3" s="139"/>
      <c r="E3" s="139"/>
      <c r="F3" s="139"/>
      <c r="G3" s="139"/>
      <c r="I3" s="139" t="s">
        <v>509</v>
      </c>
      <c r="J3" s="139"/>
      <c r="K3" s="139"/>
      <c r="L3" s="139"/>
      <c r="M3" s="139"/>
      <c r="O3" s="139" t="s">
        <v>510</v>
      </c>
      <c r="P3" s="139"/>
      <c r="Q3" s="139"/>
      <c r="R3" s="139"/>
      <c r="S3" s="139"/>
      <c r="U3" s="139" t="s">
        <v>201</v>
      </c>
      <c r="V3" s="139"/>
      <c r="W3" s="139"/>
      <c r="X3" s="139"/>
      <c r="Y3" s="139"/>
      <c r="AA3" s="139" t="s">
        <v>200</v>
      </c>
      <c r="AB3" s="139"/>
      <c r="AC3" s="139"/>
      <c r="AD3" s="139"/>
      <c r="AE3" s="139"/>
      <c r="AG3" s="139" t="s">
        <v>232</v>
      </c>
      <c r="AH3" s="139"/>
      <c r="AI3" s="139"/>
      <c r="AJ3" s="139"/>
      <c r="AK3" s="139"/>
      <c r="AM3" s="139" t="s">
        <v>233</v>
      </c>
      <c r="AN3" s="139"/>
      <c r="AO3" s="139"/>
      <c r="AP3" s="139"/>
      <c r="AQ3" s="139"/>
      <c r="AS3" s="139" t="s">
        <v>234</v>
      </c>
      <c r="AT3" s="139"/>
      <c r="AU3" s="139"/>
      <c r="AV3" s="139"/>
      <c r="AW3" s="139"/>
      <c r="AY3" s="139" t="s">
        <v>235</v>
      </c>
      <c r="AZ3" s="139"/>
      <c r="BA3" s="139"/>
      <c r="BB3" s="139"/>
      <c r="BC3" s="139"/>
      <c r="BE3" s="139" t="s">
        <v>236</v>
      </c>
      <c r="BF3" s="139"/>
      <c r="BG3" s="139"/>
      <c r="BH3" s="139"/>
      <c r="BI3" s="139"/>
      <c r="BK3" s="139" t="s">
        <v>237</v>
      </c>
      <c r="BL3" s="139"/>
      <c r="BM3" s="139"/>
      <c r="BN3" s="139"/>
      <c r="BO3" s="139"/>
      <c r="BQ3" s="139" t="s">
        <v>238</v>
      </c>
      <c r="BR3" s="139"/>
      <c r="BS3" s="139"/>
      <c r="BT3" s="139"/>
      <c r="BU3" s="139"/>
      <c r="BW3" s="139" t="str">
        <f>CHOOSE($CK$7,"YTD:  Jan","YTD:  Feb","YTD:  Mar","YTD:  Apr","YTD:  May","YTD:  Jun","YTD:  Jul","YTD:  Aug","YTD:  Sep","YTD:  Oct","YTD:  Nov","YTD:  Dec")</f>
        <v>YTD:  Mar</v>
      </c>
      <c r="BX3" s="139"/>
      <c r="BY3" s="139"/>
      <c r="BZ3" s="139"/>
      <c r="CA3" s="139"/>
      <c r="CC3" s="139" t="s">
        <v>511</v>
      </c>
      <c r="CD3" s="139"/>
      <c r="CE3" s="139"/>
      <c r="CF3" s="139"/>
      <c r="CG3" s="139"/>
    </row>
    <row r="4" spans="1:89" ht="6.75" customHeight="1" x14ac:dyDescent="0.25"/>
    <row r="5" spans="1:89" x14ac:dyDescent="0.25">
      <c r="C5" s="1"/>
      <c r="D5" s="1"/>
      <c r="E5" s="1" t="s">
        <v>2</v>
      </c>
      <c r="F5" s="1"/>
      <c r="G5" s="1"/>
      <c r="H5" s="1"/>
      <c r="I5" s="1"/>
      <c r="J5" s="1"/>
      <c r="K5" s="1" t="s">
        <v>2</v>
      </c>
      <c r="L5" s="1"/>
      <c r="M5" s="1"/>
      <c r="N5" s="1"/>
      <c r="O5" s="1"/>
      <c r="P5" s="1"/>
      <c r="Q5" s="1" t="s">
        <v>2</v>
      </c>
      <c r="R5" s="1"/>
      <c r="S5" s="1"/>
      <c r="T5" s="1"/>
      <c r="U5" s="1"/>
      <c r="V5" s="1"/>
      <c r="W5" s="1" t="s">
        <v>2</v>
      </c>
      <c r="X5" s="1"/>
      <c r="Y5" s="1"/>
      <c r="Z5" s="1"/>
      <c r="AA5" s="1"/>
      <c r="AB5" s="1"/>
      <c r="AC5" s="1" t="s">
        <v>2</v>
      </c>
      <c r="AD5" s="1"/>
      <c r="AE5" s="1"/>
      <c r="AF5" s="1"/>
      <c r="AG5" s="1"/>
      <c r="AH5" s="1"/>
      <c r="AI5" s="1" t="s">
        <v>2</v>
      </c>
      <c r="AJ5" s="1"/>
      <c r="AK5" s="1"/>
      <c r="AL5" s="1"/>
      <c r="AM5" s="1"/>
      <c r="AN5" s="1"/>
      <c r="AO5" s="1" t="s">
        <v>2</v>
      </c>
      <c r="AP5" s="1"/>
      <c r="AQ5" s="1"/>
      <c r="AR5" s="1"/>
      <c r="AS5" s="1"/>
      <c r="AT5" s="1"/>
      <c r="AU5" s="1" t="s">
        <v>2</v>
      </c>
      <c r="AV5" s="1"/>
      <c r="AW5" s="1"/>
      <c r="AX5" s="1"/>
      <c r="AY5" s="1"/>
      <c r="AZ5" s="1"/>
      <c r="BA5" s="1" t="s">
        <v>2</v>
      </c>
      <c r="BB5" s="1"/>
      <c r="BC5" s="1"/>
      <c r="BD5" s="1"/>
      <c r="BE5" s="1"/>
      <c r="BF5" s="1"/>
      <c r="BG5" s="1" t="s">
        <v>2</v>
      </c>
      <c r="BH5" s="1"/>
      <c r="BI5" s="1"/>
      <c r="BJ5" s="1"/>
      <c r="BK5" s="1"/>
      <c r="BL5" s="1"/>
      <c r="BM5" s="1" t="s">
        <v>2</v>
      </c>
      <c r="BN5" s="1"/>
      <c r="BO5" s="1"/>
      <c r="BP5" s="1"/>
      <c r="BQ5" s="1"/>
      <c r="BR5" s="1"/>
      <c r="BS5" s="1" t="s">
        <v>2</v>
      </c>
      <c r="BT5" s="1"/>
      <c r="BU5" s="1"/>
      <c r="BV5" s="1"/>
      <c r="BW5" s="1"/>
      <c r="BX5" s="1"/>
      <c r="BY5" s="1" t="s">
        <v>2</v>
      </c>
      <c r="BZ5" s="1"/>
      <c r="CA5" s="1"/>
      <c r="CB5" s="1"/>
      <c r="CC5" s="1"/>
      <c r="CD5" s="1"/>
      <c r="CE5" s="1" t="s">
        <v>2</v>
      </c>
      <c r="CF5" s="1"/>
      <c r="CG5" s="1"/>
    </row>
    <row r="6" spans="1:89" ht="17.25" x14ac:dyDescent="0.4">
      <c r="C6" s="2" t="s">
        <v>3</v>
      </c>
      <c r="D6" s="1"/>
      <c r="E6" s="2" t="s">
        <v>4</v>
      </c>
      <c r="F6" s="1"/>
      <c r="G6" s="2" t="s">
        <v>132</v>
      </c>
      <c r="H6" s="1"/>
      <c r="I6" s="2" t="s">
        <v>3</v>
      </c>
      <c r="J6" s="1"/>
      <c r="K6" s="2" t="s">
        <v>4</v>
      </c>
      <c r="L6" s="1"/>
      <c r="M6" s="2" t="s">
        <v>132</v>
      </c>
      <c r="N6" s="1"/>
      <c r="O6" s="2" t="s">
        <v>3</v>
      </c>
      <c r="P6" s="1"/>
      <c r="Q6" s="2" t="s">
        <v>4</v>
      </c>
      <c r="R6" s="1"/>
      <c r="S6" s="2" t="s">
        <v>132</v>
      </c>
      <c r="T6" s="1"/>
      <c r="U6" s="2" t="s">
        <v>3</v>
      </c>
      <c r="V6" s="1"/>
      <c r="W6" s="2" t="s">
        <v>4</v>
      </c>
      <c r="X6" s="1"/>
      <c r="Y6" s="2" t="s">
        <v>132</v>
      </c>
      <c r="Z6" s="1"/>
      <c r="AA6" s="2" t="s">
        <v>3</v>
      </c>
      <c r="AB6" s="1"/>
      <c r="AC6" s="2" t="s">
        <v>4</v>
      </c>
      <c r="AD6" s="1"/>
      <c r="AE6" s="2" t="s">
        <v>132</v>
      </c>
      <c r="AF6" s="1"/>
      <c r="AG6" s="2" t="s">
        <v>3</v>
      </c>
      <c r="AH6" s="1"/>
      <c r="AI6" s="2" t="s">
        <v>4</v>
      </c>
      <c r="AJ6" s="1"/>
      <c r="AK6" s="2" t="s">
        <v>132</v>
      </c>
      <c r="AL6" s="1"/>
      <c r="AM6" s="2" t="s">
        <v>3</v>
      </c>
      <c r="AN6" s="1"/>
      <c r="AO6" s="2" t="s">
        <v>4</v>
      </c>
      <c r="AP6" s="1"/>
      <c r="AQ6" s="2" t="s">
        <v>132</v>
      </c>
      <c r="AR6" s="1"/>
      <c r="AS6" s="2" t="s">
        <v>3</v>
      </c>
      <c r="AT6" s="1"/>
      <c r="AU6" s="2" t="s">
        <v>4</v>
      </c>
      <c r="AV6" s="1"/>
      <c r="AW6" s="2" t="s">
        <v>132</v>
      </c>
      <c r="AX6" s="1"/>
      <c r="AY6" s="2" t="s">
        <v>3</v>
      </c>
      <c r="AZ6" s="1"/>
      <c r="BA6" s="2" t="s">
        <v>4</v>
      </c>
      <c r="BB6" s="1"/>
      <c r="BC6" s="2" t="s">
        <v>132</v>
      </c>
      <c r="BD6" s="1"/>
      <c r="BE6" s="2" t="s">
        <v>3</v>
      </c>
      <c r="BF6" s="1"/>
      <c r="BG6" s="2" t="s">
        <v>4</v>
      </c>
      <c r="BH6" s="1"/>
      <c r="BI6" s="2" t="s">
        <v>132</v>
      </c>
      <c r="BJ6" s="1"/>
      <c r="BK6" s="2" t="s">
        <v>3</v>
      </c>
      <c r="BL6" s="1"/>
      <c r="BM6" s="2" t="s">
        <v>4</v>
      </c>
      <c r="BN6" s="1"/>
      <c r="BO6" s="2" t="s">
        <v>132</v>
      </c>
      <c r="BP6" s="1"/>
      <c r="BQ6" s="2" t="s">
        <v>3</v>
      </c>
      <c r="BR6" s="1"/>
      <c r="BS6" s="2" t="s">
        <v>4</v>
      </c>
      <c r="BT6" s="1"/>
      <c r="BU6" s="2" t="s">
        <v>132</v>
      </c>
      <c r="BV6" s="1"/>
      <c r="BW6" s="2" t="s">
        <v>3</v>
      </c>
      <c r="BX6" s="1"/>
      <c r="BY6" s="2" t="s">
        <v>4</v>
      </c>
      <c r="BZ6" s="1"/>
      <c r="CA6" s="2" t="s">
        <v>132</v>
      </c>
      <c r="CB6" s="1"/>
      <c r="CC6" s="2" t="s">
        <v>3</v>
      </c>
      <c r="CD6" s="1"/>
      <c r="CE6" s="2" t="s">
        <v>4</v>
      </c>
      <c r="CF6" s="1"/>
      <c r="CG6" s="2" t="s">
        <v>132</v>
      </c>
    </row>
    <row r="7" spans="1:89" ht="15.75" x14ac:dyDescent="0.25">
      <c r="A7" s="59" t="s">
        <v>5</v>
      </c>
      <c r="CJ7" t="s">
        <v>607</v>
      </c>
      <c r="CK7">
        <v>3</v>
      </c>
    </row>
    <row r="8" spans="1:89" x14ac:dyDescent="0.25">
      <c r="B8" t="s">
        <v>6</v>
      </c>
      <c r="C8" s="47">
        <f>3485.05+3485.06</f>
        <v>6970.1100000000006</v>
      </c>
      <c r="D8" s="47"/>
      <c r="E8" s="47">
        <f>C8</f>
        <v>6970.1100000000006</v>
      </c>
      <c r="F8" s="47"/>
      <c r="G8" s="47">
        <f>E8-C8</f>
        <v>0</v>
      </c>
      <c r="H8" s="47"/>
      <c r="I8" s="47">
        <f>3485.05+3485.06</f>
        <v>6970.1100000000006</v>
      </c>
      <c r="J8" s="47"/>
      <c r="K8" s="47">
        <f>I8</f>
        <v>6970.1100000000006</v>
      </c>
      <c r="L8" s="47"/>
      <c r="M8" s="47">
        <f>K8-I8</f>
        <v>0</v>
      </c>
      <c r="N8" s="47"/>
      <c r="O8" s="47">
        <f>3485.05+3485.06</f>
        <v>6970.1100000000006</v>
      </c>
      <c r="P8" s="47"/>
      <c r="Q8" s="47">
        <f>O8</f>
        <v>6970.1100000000006</v>
      </c>
      <c r="R8" s="47"/>
      <c r="S8" s="47">
        <f>Q8-O8</f>
        <v>0</v>
      </c>
      <c r="T8" s="47"/>
      <c r="U8" s="47">
        <f>3485.05+3485.06</f>
        <v>6970.1100000000006</v>
      </c>
      <c r="V8" s="47"/>
      <c r="W8" s="47">
        <f>U8</f>
        <v>6970.1100000000006</v>
      </c>
      <c r="X8" s="47"/>
      <c r="Y8" s="47">
        <f>W8-U8</f>
        <v>0</v>
      </c>
      <c r="Z8" s="47"/>
      <c r="AA8" s="47">
        <f>3485.06*3</f>
        <v>10455.18</v>
      </c>
      <c r="AB8" s="47"/>
      <c r="AC8" s="47">
        <f>AA8</f>
        <v>10455.18</v>
      </c>
      <c r="AD8" s="47"/>
      <c r="AE8" s="47">
        <f>AC8-AA8</f>
        <v>0</v>
      </c>
      <c r="AF8" s="47"/>
      <c r="AG8" s="47">
        <f>3493.85*2</f>
        <v>6987.7</v>
      </c>
      <c r="AH8" s="47"/>
      <c r="AI8" s="47">
        <f>3493.85*2</f>
        <v>6987.7</v>
      </c>
      <c r="AJ8" s="47"/>
      <c r="AK8" s="47">
        <f>AI8-AG8</f>
        <v>0</v>
      </c>
      <c r="AL8" s="47"/>
      <c r="AM8" s="47">
        <f>3493.85*2</f>
        <v>6987.7</v>
      </c>
      <c r="AN8" s="47"/>
      <c r="AO8" s="47">
        <f>3493.85*2</f>
        <v>6987.7</v>
      </c>
      <c r="AP8" s="47"/>
      <c r="AQ8" s="47">
        <f>AO8-AM8</f>
        <v>0</v>
      </c>
      <c r="AR8" s="47"/>
      <c r="AS8" s="47">
        <f>3493.85*2</f>
        <v>6987.7</v>
      </c>
      <c r="AT8" s="47"/>
      <c r="AU8" s="47">
        <f>3493.85*2</f>
        <v>6987.7</v>
      </c>
      <c r="AV8" s="47"/>
      <c r="AW8" s="47">
        <f>AU8-AS8</f>
        <v>0</v>
      </c>
      <c r="AX8" s="47"/>
      <c r="AY8" s="47">
        <f>3493.85*2</f>
        <v>6987.7</v>
      </c>
      <c r="AZ8" s="47"/>
      <c r="BA8" s="47">
        <f>3493.85*2</f>
        <v>6987.7</v>
      </c>
      <c r="BB8" s="47"/>
      <c r="BC8" s="47">
        <f>BA8-AY8</f>
        <v>0</v>
      </c>
      <c r="BD8" s="47"/>
      <c r="BE8" s="47">
        <f>3493.85*2</f>
        <v>6987.7</v>
      </c>
      <c r="BF8" s="47"/>
      <c r="BG8" s="47">
        <f>3493.85*2</f>
        <v>6987.7</v>
      </c>
      <c r="BH8" s="47"/>
      <c r="BI8" s="47">
        <f>BG8-BE8</f>
        <v>0</v>
      </c>
      <c r="BJ8" s="47"/>
      <c r="BK8" s="50">
        <f>3493.85*3</f>
        <v>10481.549999999999</v>
      </c>
      <c r="BL8" s="47"/>
      <c r="BM8" s="47">
        <f>3493.85*3</f>
        <v>10481.549999999999</v>
      </c>
      <c r="BN8" s="47"/>
      <c r="BO8" s="47">
        <f>BM8-BK8</f>
        <v>0</v>
      </c>
      <c r="BP8" s="47"/>
      <c r="BQ8" s="47">
        <f>3493.85*2</f>
        <v>6987.7</v>
      </c>
      <c r="BR8" s="47"/>
      <c r="BS8" s="47">
        <f>3493.85*2</f>
        <v>6987.7</v>
      </c>
      <c r="BT8" s="47"/>
      <c r="BU8" s="47">
        <f>BS8-BQ8</f>
        <v>0</v>
      </c>
      <c r="BV8" s="47"/>
      <c r="BW8" s="47">
        <f>CHOOSE($CK$7,C8,(C8+I8),(C8+I8+O8),(C8+I8+O8+U8),(C8+I8+O8+U8+AA8),(C8+I8+O8+U8++AG8),(C8+I8+O8+U8+AA8+AG8+AM8),(C8+I8+O8+U8+AA8+AG8+AM8+AS8),(C8+I8+O8+U8+AA8+AG8+AM8+AS8+AY8),(C8+I8+O8+U8+AA8+AG8+AM8+AS8+AY8+BE8),(C8+I8+O8+U8+AA8+AG8+AM8+AS8+AY8+BE8+BK8),(C8+I8+O8+U8+AA8+AG8+AM8+AS8+AY8+BE8+BK8+BQ8))</f>
        <v>20910.330000000002</v>
      </c>
      <c r="BX8" s="47"/>
      <c r="BY8" s="47">
        <f>CHOOSE($CK$7,E8,(E8+K8),(E8+K8+Q8),(E8+K8+Q8+W8),(E8+K8+Q8+W8+AC8),(E8+K8+Q8+W8++AI8),(E8+K8+Q8+W8+AC8+AI8+AO8),(E8+K8+Q8+W8+AC8+AI8+AO8+AU8),(E8+K8+Q8+W8+AC8+AI8+AO8+AU8+BA8),(E8+K8+Q8+W8+AC8+AI8+AO8+AU8+BA8+BG8),(E8+K8+Q8+W8+AC8+AI8+AO8+AU8+BA8+BG8+BM8),(E8+K8+Q8+W8+AC8+AI8+AO8+AU8+BA8+BG8+BM8+BS8))</f>
        <v>20910.330000000002</v>
      </c>
      <c r="BZ8" s="47"/>
      <c r="CA8" s="47">
        <f>BY8-BW8</f>
        <v>0</v>
      </c>
      <c r="CB8" s="47"/>
      <c r="CC8" s="47">
        <f>C8+I8+O8+U8+AA8+AG8+AM8+AS8+AY8+BE8+BK8+BQ8</f>
        <v>90743.37</v>
      </c>
      <c r="CD8" s="47"/>
      <c r="CE8" s="47">
        <f>E8+K8+Q8+W8+AC8+AI8+AO8+AU8+BA8+BG8+BM8+BS8</f>
        <v>90743.37</v>
      </c>
      <c r="CF8" s="47"/>
      <c r="CG8" s="47">
        <f>CE8-CC8</f>
        <v>0</v>
      </c>
      <c r="CJ8" t="s">
        <v>509</v>
      </c>
    </row>
    <row r="9" spans="1:89" x14ac:dyDescent="0.25">
      <c r="B9" t="s">
        <v>7</v>
      </c>
      <c r="C9" s="47">
        <v>1250</v>
      </c>
      <c r="D9" s="47"/>
      <c r="E9" s="47">
        <v>1250</v>
      </c>
      <c r="F9" s="47"/>
      <c r="G9" s="47">
        <f>E9-C9</f>
        <v>0</v>
      </c>
      <c r="H9" s="47"/>
      <c r="I9" s="47">
        <v>1250</v>
      </c>
      <c r="J9" s="47"/>
      <c r="K9" s="47">
        <v>1250</v>
      </c>
      <c r="L9" s="47"/>
      <c r="M9" s="47">
        <f>K9-I9</f>
        <v>0</v>
      </c>
      <c r="N9" s="47"/>
      <c r="O9" s="47">
        <v>1250</v>
      </c>
      <c r="P9" s="47"/>
      <c r="Q9" s="50">
        <v>1250</v>
      </c>
      <c r="R9" s="47"/>
      <c r="S9" s="47">
        <f>Q9-O9</f>
        <v>0</v>
      </c>
      <c r="T9" s="47"/>
      <c r="U9" s="47">
        <v>1250</v>
      </c>
      <c r="V9" s="47"/>
      <c r="W9" s="50">
        <v>1250</v>
      </c>
      <c r="X9" s="47"/>
      <c r="Y9" s="47">
        <f>W9-U9</f>
        <v>0</v>
      </c>
      <c r="Z9" s="47"/>
      <c r="AA9" s="47">
        <v>1250</v>
      </c>
      <c r="AB9" s="47"/>
      <c r="AC9" s="50">
        <v>1250</v>
      </c>
      <c r="AD9" s="47"/>
      <c r="AE9" s="47">
        <f>AC9-AA9</f>
        <v>0</v>
      </c>
      <c r="AF9" s="47"/>
      <c r="AG9" s="47">
        <v>1250</v>
      </c>
      <c r="AH9" s="47"/>
      <c r="AI9" s="50">
        <v>1250</v>
      </c>
      <c r="AJ9" s="47"/>
      <c r="AK9" s="47">
        <f>AI9-AG9</f>
        <v>0</v>
      </c>
      <c r="AL9" s="47"/>
      <c r="AM9" s="47">
        <v>1250</v>
      </c>
      <c r="AN9" s="47"/>
      <c r="AO9" s="50">
        <v>1250</v>
      </c>
      <c r="AP9" s="47"/>
      <c r="AQ9" s="47">
        <f>AO9-AM9</f>
        <v>0</v>
      </c>
      <c r="AR9" s="47"/>
      <c r="AS9" s="47">
        <v>1250</v>
      </c>
      <c r="AT9" s="47"/>
      <c r="AU9" s="50">
        <v>1250</v>
      </c>
      <c r="AV9" s="47"/>
      <c r="AW9" s="47">
        <f>AU9-AS9</f>
        <v>0</v>
      </c>
      <c r="AX9" s="47"/>
      <c r="AY9" s="47">
        <v>1250</v>
      </c>
      <c r="AZ9" s="47"/>
      <c r="BA9" s="50">
        <v>1250</v>
      </c>
      <c r="BB9" s="47"/>
      <c r="BC9" s="47">
        <f>BA9-AY9</f>
        <v>0</v>
      </c>
      <c r="BD9" s="47"/>
      <c r="BE9" s="47">
        <v>1250</v>
      </c>
      <c r="BF9" s="47"/>
      <c r="BG9" s="50">
        <v>1250</v>
      </c>
      <c r="BH9" s="47"/>
      <c r="BI9" s="47">
        <f>BG9-BE9</f>
        <v>0</v>
      </c>
      <c r="BJ9" s="47"/>
      <c r="BK9" s="47">
        <v>1250</v>
      </c>
      <c r="BL9" s="47"/>
      <c r="BM9" s="50">
        <v>1250</v>
      </c>
      <c r="BN9" s="47"/>
      <c r="BO9" s="47">
        <f>BM9-BK9</f>
        <v>0</v>
      </c>
      <c r="BP9" s="47"/>
      <c r="BQ9" s="47">
        <v>1250</v>
      </c>
      <c r="BR9" s="47"/>
      <c r="BS9" s="50">
        <v>1250</v>
      </c>
      <c r="BT9" s="47"/>
      <c r="BU9" s="47">
        <f>BS9-BQ9</f>
        <v>0</v>
      </c>
      <c r="BV9" s="47"/>
      <c r="BW9" s="47">
        <f>CHOOSE($CK$7,C9,(C9+I9),(C9+I9+O9),(C9+I9+O9+U9),(C9+I9+O9+U9+AA9),(C9+I9+O9+U9++AG9),(C9+I9+O9+U9+AA9+AG9+AM9),(C9+I9+O9+U9+AA9+AG9+AM9+AS9),(C9+I9+O9+U9+AA9+AG9+AM9+AS9+AY9),(C9+I9+O9+U9+AA9+AG9+AM9+AS9+AY9+BE9),(C9+I9+O9+U9+AA9+AG9+AM9+AS9+AY9+BE9+BK9),(C9+I9+O9+U9+AA9+AG9+AM9+AS9+AY9+BE9+BK9+BQ9))</f>
        <v>3750</v>
      </c>
      <c r="BX9" s="47"/>
      <c r="BY9" s="47">
        <f>CHOOSE($CK$7,E9,(E9+K9),(E9+K9+Q9),(E9+K9+Q9+W9),(E9+K9+Q9+W9+AC9),(E9+K9+Q9+W9++AI9),(E9+K9+Q9+W9+AC9+AI9+AO9),(E9+K9+Q9+W9+AC9+AI9+AO9+AU9),(E9+K9+Q9+W9+AC9+AI9+AO9+AU9+BA9),(E9+K9+Q9+W9+AC9+AI9+AO9+AU9+BA9+BG9),(E9+K9+Q9+W9+AC9+AI9+AO9+AU9+BA9+BG9+BM9),(E9+K9+Q9+W9+AC9+AI9+AO9+AU9+BA9+BG9+BM9+BS9))</f>
        <v>3750</v>
      </c>
      <c r="BZ9" s="47"/>
      <c r="CA9" s="47">
        <f>BY9-BW9</f>
        <v>0</v>
      </c>
      <c r="CB9" s="47"/>
      <c r="CC9" s="47">
        <f>C9+I9+O9+U9+AA9+AG9+AM9+AS9+AY9+BE9+BK9+BQ9</f>
        <v>15000</v>
      </c>
      <c r="CD9" s="47"/>
      <c r="CE9" s="47">
        <f>E9+K9+Q9+W9+AC9+AI9+AO9+AU9+BA9+BG9+BM9+BS9</f>
        <v>15000</v>
      </c>
      <c r="CF9" s="47"/>
      <c r="CG9" s="47">
        <f>CE9-CC9</f>
        <v>0</v>
      </c>
      <c r="CJ9" t="s">
        <v>510</v>
      </c>
    </row>
    <row r="10" spans="1:89" ht="17.25" x14ac:dyDescent="0.4">
      <c r="B10" t="s">
        <v>8</v>
      </c>
      <c r="C10" s="48">
        <v>299</v>
      </c>
      <c r="D10" s="47"/>
      <c r="E10" s="48">
        <f>299</f>
        <v>299</v>
      </c>
      <c r="F10" s="47"/>
      <c r="G10" s="48">
        <f>E10-C10</f>
        <v>0</v>
      </c>
      <c r="H10" s="47"/>
      <c r="I10" s="48">
        <v>299</v>
      </c>
      <c r="J10" s="47"/>
      <c r="K10" s="48">
        <v>299</v>
      </c>
      <c r="L10" s="47"/>
      <c r="M10" s="48">
        <f>K10-I10</f>
        <v>0</v>
      </c>
      <c r="N10" s="47"/>
      <c r="O10" s="48">
        <v>299</v>
      </c>
      <c r="P10" s="47"/>
      <c r="Q10" s="54">
        <v>299</v>
      </c>
      <c r="R10" s="47"/>
      <c r="S10" s="48">
        <f>Q10-O10</f>
        <v>0</v>
      </c>
      <c r="T10" s="47"/>
      <c r="U10" s="48">
        <v>299</v>
      </c>
      <c r="V10" s="47"/>
      <c r="W10" s="54">
        <v>299</v>
      </c>
      <c r="X10" s="47"/>
      <c r="Y10" s="48">
        <f>W10-U10</f>
        <v>0</v>
      </c>
      <c r="Z10" s="47"/>
      <c r="AA10" s="48">
        <v>299</v>
      </c>
      <c r="AB10" s="47"/>
      <c r="AC10" s="54">
        <v>299</v>
      </c>
      <c r="AD10" s="47"/>
      <c r="AE10" s="48">
        <f>AC10-AA10</f>
        <v>0</v>
      </c>
      <c r="AF10" s="47"/>
      <c r="AG10" s="48">
        <v>299</v>
      </c>
      <c r="AH10" s="47"/>
      <c r="AI10" s="54">
        <v>299</v>
      </c>
      <c r="AJ10" s="47"/>
      <c r="AK10" s="48">
        <f>AI10-AG10</f>
        <v>0</v>
      </c>
      <c r="AL10" s="47"/>
      <c r="AM10" s="48">
        <v>299</v>
      </c>
      <c r="AN10" s="47"/>
      <c r="AO10" s="54">
        <v>299</v>
      </c>
      <c r="AP10" s="47"/>
      <c r="AQ10" s="48">
        <f>AO10-AM10</f>
        <v>0</v>
      </c>
      <c r="AR10" s="47"/>
      <c r="AS10" s="48">
        <v>299</v>
      </c>
      <c r="AT10" s="47"/>
      <c r="AU10" s="54">
        <v>299</v>
      </c>
      <c r="AV10" s="47"/>
      <c r="AW10" s="48">
        <f>AU10-AS10</f>
        <v>0</v>
      </c>
      <c r="AX10" s="47"/>
      <c r="AY10" s="48">
        <v>299</v>
      </c>
      <c r="AZ10" s="47"/>
      <c r="BA10" s="54">
        <v>299</v>
      </c>
      <c r="BB10" s="47"/>
      <c r="BC10" s="48">
        <f>BA10-AY10</f>
        <v>0</v>
      </c>
      <c r="BD10" s="47"/>
      <c r="BE10" s="48">
        <v>299</v>
      </c>
      <c r="BF10" s="47"/>
      <c r="BG10" s="54">
        <v>299</v>
      </c>
      <c r="BH10" s="47"/>
      <c r="BI10" s="48">
        <f>BG10-BE10</f>
        <v>0</v>
      </c>
      <c r="BJ10" s="47"/>
      <c r="BK10" s="48">
        <v>299</v>
      </c>
      <c r="BL10" s="47"/>
      <c r="BM10" s="54">
        <v>299</v>
      </c>
      <c r="BN10" s="47"/>
      <c r="BO10" s="48">
        <f>BM10-BK10</f>
        <v>0</v>
      </c>
      <c r="BP10" s="47"/>
      <c r="BQ10" s="48">
        <v>299</v>
      </c>
      <c r="BR10" s="47"/>
      <c r="BS10" s="54">
        <v>299</v>
      </c>
      <c r="BT10" s="47"/>
      <c r="BU10" s="48">
        <f>BS10-BQ10</f>
        <v>0</v>
      </c>
      <c r="BV10" s="47"/>
      <c r="BW10" s="48">
        <f>CHOOSE($CK$7,C10,(C10+I10),(C10+I10+O10),(C10+I10+O10+U10),(C10+I10+O10+U10+AA10),(C10+I10+O10+U10++AG10),(C10+I10+O10+U10+AA10+AG10+AM10),(C10+I10+O10+U10+AA10+AG10+AM10+AS10),(C10+I10+O10+U10+AA10+AG10+AM10+AS10+AY10),(C10+I10+O10+U10+AA10+AG10+AM10+AS10+AY10+BE10),(C10+I10+O10+U10+AA10+AG10+AM10+AS10+AY10+BE10+BK10),(C10+I10+O10+U10+AA10+AG10+AM10+AS10+AY10+BE10+BK10+BQ10))</f>
        <v>897</v>
      </c>
      <c r="BX10" s="47"/>
      <c r="BY10" s="48">
        <f>CHOOSE($CK$7,E10,(E10+K10),(E10+K10+Q10),(E10+K10+Q10+W10),(E10+K10+Q10+W10+AC10),(E10+K10+Q10+W10++AI10),(E10+K10+Q10+W10+AC10+AI10+AO10),(E10+K10+Q10+W10+AC10+AI10+AO10+AU10),(E10+K10+Q10+W10+AC10+AI10+AO10+AU10+BA10),(E10+K10+Q10+W10+AC10+AI10+AO10+AU10+BA10+BG10),(E10+K10+Q10+W10+AC10+AI10+AO10+AU10+BA10+BG10+BM10),(E10+K10+Q10+W10+AC10+AI10+AO10+AU10+BA10+BG10+BM10+BS10))</f>
        <v>897</v>
      </c>
      <c r="BZ10" s="47"/>
      <c r="CA10" s="48">
        <f>BY10-BW10</f>
        <v>0</v>
      </c>
      <c r="CB10" s="47"/>
      <c r="CC10" s="48">
        <f>C10+I10+O10+U10+AA10+AG10+AM10+AS10+AY10+BE10+BK10+BQ10</f>
        <v>3588</v>
      </c>
      <c r="CD10" s="47"/>
      <c r="CE10" s="48">
        <f>E10+K10+Q10+W10+AC10+AI10+AO10+AU10+BA10+BG10+BM10+BS10</f>
        <v>3588</v>
      </c>
      <c r="CF10" s="47"/>
      <c r="CG10" s="48">
        <f>CE10-CC10</f>
        <v>0</v>
      </c>
      <c r="CJ10" t="s">
        <v>201</v>
      </c>
    </row>
    <row r="11" spans="1:89" x14ac:dyDescent="0.25">
      <c r="B11" s="4" t="s">
        <v>9</v>
      </c>
      <c r="C11" s="49">
        <f>C8+C9-C10</f>
        <v>7921.1100000000006</v>
      </c>
      <c r="D11" s="49"/>
      <c r="E11" s="49">
        <f>E8+E9-E10</f>
        <v>7921.1100000000006</v>
      </c>
      <c r="F11" s="49"/>
      <c r="G11" s="49">
        <f>SUM(G8:G10)</f>
        <v>0</v>
      </c>
      <c r="H11" s="49"/>
      <c r="I11" s="49">
        <f>I8+I9-I10</f>
        <v>7921.1100000000006</v>
      </c>
      <c r="J11" s="49"/>
      <c r="K11" s="49">
        <f>K8+K9-K10</f>
        <v>7921.1100000000006</v>
      </c>
      <c r="L11" s="49"/>
      <c r="M11" s="49">
        <f>SUM(M8:M10)</f>
        <v>0</v>
      </c>
      <c r="N11" s="49"/>
      <c r="O11" s="49">
        <f>O8+O9-O10</f>
        <v>7921.1100000000006</v>
      </c>
      <c r="P11" s="49"/>
      <c r="Q11" s="49">
        <f>Q8+Q9-Q10</f>
        <v>7921.1100000000006</v>
      </c>
      <c r="R11" s="49"/>
      <c r="S11" s="49">
        <f>SUM(S8:S10)</f>
        <v>0</v>
      </c>
      <c r="T11" s="49"/>
      <c r="U11" s="49">
        <f>U8+U9-U10</f>
        <v>7921.1100000000006</v>
      </c>
      <c r="V11" s="49"/>
      <c r="W11" s="49">
        <f>W8+W9-W10</f>
        <v>7921.1100000000006</v>
      </c>
      <c r="X11" s="49"/>
      <c r="Y11" s="49">
        <f>SUM(Y8:Y10)</f>
        <v>0</v>
      </c>
      <c r="Z11" s="49"/>
      <c r="AA11" s="49">
        <f>AA8+AA9-AA10</f>
        <v>11406.18</v>
      </c>
      <c r="AB11" s="49"/>
      <c r="AC11" s="49">
        <f>AC8+AC9-AC10</f>
        <v>11406.18</v>
      </c>
      <c r="AD11" s="49"/>
      <c r="AE11" s="49">
        <f>SUM(AE8:AE10)</f>
        <v>0</v>
      </c>
      <c r="AF11" s="49"/>
      <c r="AG11" s="49">
        <f>AG8+AG9-AG10</f>
        <v>7938.7000000000007</v>
      </c>
      <c r="AH11" s="49"/>
      <c r="AI11" s="49">
        <f>AI8+AI9-AI10</f>
        <v>7938.7000000000007</v>
      </c>
      <c r="AJ11" s="49"/>
      <c r="AK11" s="49">
        <f>SUM(AK8:AK10)</f>
        <v>0</v>
      </c>
      <c r="AL11" s="49"/>
      <c r="AM11" s="49">
        <f>AM8+AM9-AM10</f>
        <v>7938.7000000000007</v>
      </c>
      <c r="AN11" s="49"/>
      <c r="AO11" s="49">
        <f>AO8+AO9-AO10</f>
        <v>7938.7000000000007</v>
      </c>
      <c r="AP11" s="49"/>
      <c r="AQ11" s="49">
        <f>SUM(AQ8:AQ10)</f>
        <v>0</v>
      </c>
      <c r="AR11" s="49"/>
      <c r="AS11" s="49">
        <f>AS8+AS9-AS10</f>
        <v>7938.7000000000007</v>
      </c>
      <c r="AT11" s="49"/>
      <c r="AU11" s="49">
        <f>AU8+AU9-AU10</f>
        <v>7938.7000000000007</v>
      </c>
      <c r="AV11" s="49"/>
      <c r="AW11" s="49">
        <f>SUM(AW8:AW10)</f>
        <v>0</v>
      </c>
      <c r="AX11" s="49"/>
      <c r="AY11" s="49">
        <f>AY8+AY9-AY10</f>
        <v>7938.7000000000007</v>
      </c>
      <c r="AZ11" s="49"/>
      <c r="BA11" s="49">
        <f>BA8+BA9-BA10</f>
        <v>7938.7000000000007</v>
      </c>
      <c r="BB11" s="49"/>
      <c r="BC11" s="49">
        <f>SUM(BC8:BC10)</f>
        <v>0</v>
      </c>
      <c r="BD11" s="49"/>
      <c r="BE11" s="49">
        <f>BE8+BE9-BE10</f>
        <v>7938.7000000000007</v>
      </c>
      <c r="BF11" s="49"/>
      <c r="BG11" s="49">
        <f>BG8+BG9-BG10</f>
        <v>7938.7000000000007</v>
      </c>
      <c r="BH11" s="49"/>
      <c r="BI11" s="49">
        <f>SUM(BI8:BI10)</f>
        <v>0</v>
      </c>
      <c r="BJ11" s="49"/>
      <c r="BK11" s="49">
        <f>BK8+BK9-BK10</f>
        <v>11432.55</v>
      </c>
      <c r="BL11" s="49"/>
      <c r="BM11" s="49">
        <f>BM8+BM9-BM10</f>
        <v>11432.55</v>
      </c>
      <c r="BN11" s="49"/>
      <c r="BO11" s="49">
        <f>SUM(BO8:BO10)</f>
        <v>0</v>
      </c>
      <c r="BP11" s="49"/>
      <c r="BQ11" s="49">
        <f>BQ8+BQ9-BQ10</f>
        <v>7938.7000000000007</v>
      </c>
      <c r="BR11" s="49"/>
      <c r="BS11" s="49">
        <f>BS8+BS9-BS10</f>
        <v>7938.7000000000007</v>
      </c>
      <c r="BT11" s="49"/>
      <c r="BU11" s="49">
        <f>SUM(BU8:BU10)</f>
        <v>0</v>
      </c>
      <c r="BV11" s="49"/>
      <c r="BW11" s="49">
        <f>BW8+BW9-BW10</f>
        <v>23763.33</v>
      </c>
      <c r="BX11" s="49"/>
      <c r="BY11" s="49">
        <f>BY8+BY9-BY10</f>
        <v>23763.33</v>
      </c>
      <c r="BZ11" s="49"/>
      <c r="CA11" s="49">
        <f>SUM(CA8:CA10)</f>
        <v>0</v>
      </c>
      <c r="CB11" s="49"/>
      <c r="CC11" s="49">
        <f>CC8+CC9-CC10</f>
        <v>102155.37</v>
      </c>
      <c r="CD11" s="49"/>
      <c r="CE11" s="49">
        <f>CE8+CE9-CE10</f>
        <v>102155.37</v>
      </c>
      <c r="CF11" s="49"/>
      <c r="CG11" s="49">
        <f>SUM(CG8:CG10)</f>
        <v>0</v>
      </c>
      <c r="CJ11" t="s">
        <v>200</v>
      </c>
    </row>
    <row r="12" spans="1:89" x14ac:dyDescent="0.25"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J12" t="s">
        <v>232</v>
      </c>
    </row>
    <row r="13" spans="1:89" ht="15.75" x14ac:dyDescent="0.25">
      <c r="A13" s="59" t="s">
        <v>10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J13" t="s">
        <v>233</v>
      </c>
    </row>
    <row r="14" spans="1:89" x14ac:dyDescent="0.25">
      <c r="B14" s="55" t="s">
        <v>11</v>
      </c>
      <c r="C14" s="56">
        <v>828.15</v>
      </c>
      <c r="D14" s="56"/>
      <c r="E14" s="56">
        <v>828.15</v>
      </c>
      <c r="F14" s="56"/>
      <c r="G14" s="56">
        <f t="shared" ref="G14:G40" si="0">E14-C14</f>
        <v>0</v>
      </c>
      <c r="H14" s="47"/>
      <c r="I14" s="56">
        <v>828.15</v>
      </c>
      <c r="J14" s="56"/>
      <c r="K14" s="56">
        <v>828.15</v>
      </c>
      <c r="L14" s="56"/>
      <c r="M14" s="56">
        <f t="shared" ref="M14:M40" si="1">K14-I14</f>
        <v>0</v>
      </c>
      <c r="N14" s="47"/>
      <c r="O14" s="56">
        <v>828.15</v>
      </c>
      <c r="P14" s="56"/>
      <c r="Q14" s="57">
        <v>828.15</v>
      </c>
      <c r="R14" s="56"/>
      <c r="S14" s="56">
        <f t="shared" ref="S14:S40" si="2">Q14-O14</f>
        <v>0</v>
      </c>
      <c r="T14" s="47"/>
      <c r="U14" s="56">
        <v>828.15</v>
      </c>
      <c r="V14" s="56"/>
      <c r="W14" s="57">
        <v>828.15</v>
      </c>
      <c r="X14" s="56"/>
      <c r="Y14" s="56">
        <f t="shared" ref="Y14:Y40" si="3">W14-U14</f>
        <v>0</v>
      </c>
      <c r="Z14" s="47"/>
      <c r="AA14" s="56">
        <v>828.15</v>
      </c>
      <c r="AB14" s="56"/>
      <c r="AC14" s="57">
        <v>828.15</v>
      </c>
      <c r="AD14" s="56"/>
      <c r="AE14" s="56">
        <f t="shared" ref="AE14:AE40" si="4">AC14-AA14</f>
        <v>0</v>
      </c>
      <c r="AF14" s="47"/>
      <c r="AG14" s="56">
        <v>828.15</v>
      </c>
      <c r="AH14" s="56"/>
      <c r="AI14" s="57">
        <v>828.15</v>
      </c>
      <c r="AJ14" s="56"/>
      <c r="AK14" s="56">
        <f t="shared" ref="AK14:AK40" si="5">AI14-AG14</f>
        <v>0</v>
      </c>
      <c r="AL14" s="47"/>
      <c r="AM14" s="56">
        <v>828.15</v>
      </c>
      <c r="AN14" s="56"/>
      <c r="AO14" s="57">
        <v>828.15</v>
      </c>
      <c r="AP14" s="56"/>
      <c r="AQ14" s="56">
        <f t="shared" ref="AQ14:AQ40" si="6">AO14-AM14</f>
        <v>0</v>
      </c>
      <c r="AR14" s="47"/>
      <c r="AS14" s="56">
        <v>828.15</v>
      </c>
      <c r="AT14" s="56"/>
      <c r="AU14" s="57">
        <v>828.15</v>
      </c>
      <c r="AV14" s="56"/>
      <c r="AW14" s="56">
        <f t="shared" ref="AW14:AW40" si="7">AU14-AS14</f>
        <v>0</v>
      </c>
      <c r="AX14" s="47"/>
      <c r="AY14" s="56">
        <v>828.15</v>
      </c>
      <c r="AZ14" s="56"/>
      <c r="BA14" s="57">
        <v>828.15</v>
      </c>
      <c r="BB14" s="56"/>
      <c r="BC14" s="56">
        <f t="shared" ref="BC14:BC40" si="8">BA14-AY14</f>
        <v>0</v>
      </c>
      <c r="BD14" s="47"/>
      <c r="BE14" s="56">
        <v>828.15</v>
      </c>
      <c r="BF14" s="56"/>
      <c r="BG14" s="57">
        <v>828.15</v>
      </c>
      <c r="BH14" s="56"/>
      <c r="BI14" s="56">
        <f t="shared" ref="BI14:BI40" si="9">BG14-BE14</f>
        <v>0</v>
      </c>
      <c r="BJ14" s="47"/>
      <c r="BK14" s="56">
        <v>828.15</v>
      </c>
      <c r="BL14" s="56"/>
      <c r="BM14" s="57">
        <v>828.15</v>
      </c>
      <c r="BN14" s="56"/>
      <c r="BO14" s="56">
        <f t="shared" ref="BO14:BO40" si="10">BM14-BK14</f>
        <v>0</v>
      </c>
      <c r="BP14" s="47"/>
      <c r="BQ14" s="56">
        <v>828.15</v>
      </c>
      <c r="BR14" s="56"/>
      <c r="BS14" s="57">
        <v>828.15</v>
      </c>
      <c r="BT14" s="56"/>
      <c r="BU14" s="56">
        <f t="shared" ref="BU14:BU40" si="11">BS14-BQ14</f>
        <v>0</v>
      </c>
      <c r="BV14" s="47"/>
      <c r="BW14" s="56">
        <f t="shared" ref="BW14:BW40" si="12">CHOOSE($CK$7,C14,(C14+I14),(C14+I14+O14),(C14+I14+O14+U14),(C14+I14+O14+U14+AA14),(C14+I14+O14+U14++AG14),(C14+I14+O14+U14+AA14+AG14+AM14),(C14+I14+O14+U14+AA14+AG14+AM14+AS14),(C14+I14+O14+U14+AA14+AG14+AM14+AS14+AY14),(C14+I14+O14+U14+AA14+AG14+AM14+AS14+AY14+BE14),(C14+I14+O14+U14+AA14+AG14+AM14+AS14+AY14+BE14+BK14),(C14+I14+O14+U14+AA14+AG14+AM14+AS14+AY14+BE14+BK14+BQ14))</f>
        <v>2484.4499999999998</v>
      </c>
      <c r="BX14" s="56"/>
      <c r="BY14" s="56">
        <f t="shared" ref="BY14:BY40" si="13">CHOOSE($CK$7,E14,(E14+K14),(E14+K14+Q14),(E14+K14+Q14+W14),(E14+K14+Q14+W14+AC14),(E14+K14+Q14+W14++AI14),(E14+K14+Q14+W14+AC14+AI14+AO14),(E14+K14+Q14+W14+AC14+AI14+AO14+AU14),(E14+K14+Q14+W14+AC14+AI14+AO14+AU14+BA14),(E14+K14+Q14+W14+AC14+AI14+AO14+AU14+BA14+BG14),(E14+K14+Q14+W14+AC14+AI14+AO14+AU14+BA14+BG14+BM14),(E14+K14+Q14+W14+AC14+AI14+AO14+AU14+BA14+BG14+BM14+BS14))</f>
        <v>2484.4499999999998</v>
      </c>
      <c r="BZ14" s="56"/>
      <c r="CA14" s="56">
        <f t="shared" ref="CA14:CA40" si="14">BY14-BW14</f>
        <v>0</v>
      </c>
      <c r="CB14" s="47"/>
      <c r="CC14" s="56">
        <f t="shared" ref="CC14:CC40" si="15">C14+I14+O14+U14+AA14+AG14+AM14+AS14+AY14+BE14+BK14+BQ14</f>
        <v>9937.7999999999975</v>
      </c>
      <c r="CD14" s="56"/>
      <c r="CE14" s="56">
        <f t="shared" ref="CE14:CE40" si="16">E14+K14+Q14+W14+AC14+AI14+AO14+AU14+BA14+BG14+BM14+BS14</f>
        <v>9937.7999999999975</v>
      </c>
      <c r="CF14" s="56"/>
      <c r="CG14" s="56">
        <f t="shared" ref="CG14:CG40" si="17">CE14-CC14</f>
        <v>0</v>
      </c>
      <c r="CJ14" t="s">
        <v>234</v>
      </c>
    </row>
    <row r="15" spans="1:89" x14ac:dyDescent="0.25">
      <c r="B15" s="55" t="s">
        <v>192</v>
      </c>
      <c r="C15" s="56">
        <v>437.54</v>
      </c>
      <c r="D15" s="56"/>
      <c r="E15" s="56">
        <v>437.54</v>
      </c>
      <c r="F15" s="56"/>
      <c r="G15" s="56">
        <f t="shared" si="0"/>
        <v>0</v>
      </c>
      <c r="H15" s="47"/>
      <c r="I15" s="56">
        <v>437.54</v>
      </c>
      <c r="J15" s="56"/>
      <c r="K15" s="56">
        <v>437.54</v>
      </c>
      <c r="L15" s="56"/>
      <c r="M15" s="56">
        <f t="shared" si="1"/>
        <v>0</v>
      </c>
      <c r="N15" s="47"/>
      <c r="O15" s="56">
        <v>437.54</v>
      </c>
      <c r="P15" s="56"/>
      <c r="Q15" s="57">
        <v>437.54</v>
      </c>
      <c r="R15" s="56"/>
      <c r="S15" s="56">
        <f t="shared" si="2"/>
        <v>0</v>
      </c>
      <c r="T15" s="47"/>
      <c r="U15" s="56">
        <v>437.54</v>
      </c>
      <c r="V15" s="56"/>
      <c r="W15" s="57">
        <v>437.54</v>
      </c>
      <c r="X15" s="56"/>
      <c r="Y15" s="56">
        <f t="shared" si="3"/>
        <v>0</v>
      </c>
      <c r="Z15" s="47"/>
      <c r="AA15" s="56">
        <v>437.54</v>
      </c>
      <c r="AB15" s="56"/>
      <c r="AC15" s="57">
        <v>437.54</v>
      </c>
      <c r="AD15" s="56"/>
      <c r="AE15" s="56">
        <f t="shared" si="4"/>
        <v>0</v>
      </c>
      <c r="AF15" s="47"/>
      <c r="AG15" s="56">
        <v>437.54</v>
      </c>
      <c r="AH15" s="56"/>
      <c r="AI15" s="57">
        <v>437.54</v>
      </c>
      <c r="AJ15" s="56"/>
      <c r="AK15" s="56">
        <f t="shared" si="5"/>
        <v>0</v>
      </c>
      <c r="AL15" s="47"/>
      <c r="AM15" s="56">
        <v>437.54</v>
      </c>
      <c r="AN15" s="56"/>
      <c r="AO15" s="57">
        <v>437.54</v>
      </c>
      <c r="AP15" s="56"/>
      <c r="AQ15" s="56">
        <f t="shared" si="6"/>
        <v>0</v>
      </c>
      <c r="AR15" s="47"/>
      <c r="AS15" s="56">
        <v>437.54</v>
      </c>
      <c r="AT15" s="56"/>
      <c r="AU15" s="57">
        <v>437.54</v>
      </c>
      <c r="AV15" s="56"/>
      <c r="AW15" s="56">
        <f t="shared" si="7"/>
        <v>0</v>
      </c>
      <c r="AX15" s="47"/>
      <c r="AY15" s="56">
        <v>437.54</v>
      </c>
      <c r="AZ15" s="56"/>
      <c r="BA15" s="57">
        <v>437.54</v>
      </c>
      <c r="BB15" s="56"/>
      <c r="BC15" s="56">
        <f t="shared" si="8"/>
        <v>0</v>
      </c>
      <c r="BD15" s="47"/>
      <c r="BE15" s="56">
        <v>437.54</v>
      </c>
      <c r="BF15" s="56"/>
      <c r="BG15" s="57">
        <v>437.54</v>
      </c>
      <c r="BH15" s="56"/>
      <c r="BI15" s="56">
        <f t="shared" si="9"/>
        <v>0</v>
      </c>
      <c r="BJ15" s="47"/>
      <c r="BK15" s="56">
        <v>437.54</v>
      </c>
      <c r="BL15" s="56"/>
      <c r="BM15" s="57">
        <v>437.54</v>
      </c>
      <c r="BN15" s="56"/>
      <c r="BO15" s="56">
        <f t="shared" si="10"/>
        <v>0</v>
      </c>
      <c r="BP15" s="47"/>
      <c r="BQ15" s="56">
        <v>437.54</v>
      </c>
      <c r="BR15" s="56"/>
      <c r="BS15" s="57">
        <v>437.54</v>
      </c>
      <c r="BT15" s="56"/>
      <c r="BU15" s="56">
        <f t="shared" si="11"/>
        <v>0</v>
      </c>
      <c r="BV15" s="47"/>
      <c r="BW15" s="56">
        <f t="shared" si="12"/>
        <v>1312.6200000000001</v>
      </c>
      <c r="BX15" s="56"/>
      <c r="BY15" s="56">
        <f t="shared" si="13"/>
        <v>1312.6200000000001</v>
      </c>
      <c r="BZ15" s="56"/>
      <c r="CA15" s="56">
        <f t="shared" si="14"/>
        <v>0</v>
      </c>
      <c r="CB15" s="47"/>
      <c r="CC15" s="56">
        <f t="shared" si="15"/>
        <v>5250.4800000000005</v>
      </c>
      <c r="CD15" s="56"/>
      <c r="CE15" s="56">
        <f t="shared" si="16"/>
        <v>5250.4800000000005</v>
      </c>
      <c r="CF15" s="56"/>
      <c r="CG15" s="56">
        <f t="shared" si="17"/>
        <v>0</v>
      </c>
      <c r="CJ15" t="s">
        <v>235</v>
      </c>
    </row>
    <row r="16" spans="1:89" x14ac:dyDescent="0.25">
      <c r="B16" s="55" t="s">
        <v>12</v>
      </c>
      <c r="C16" s="56">
        <v>1225</v>
      </c>
      <c r="D16" s="56"/>
      <c r="E16" s="56">
        <v>1225</v>
      </c>
      <c r="F16" s="56"/>
      <c r="G16" s="56">
        <f t="shared" si="0"/>
        <v>0</v>
      </c>
      <c r="H16" s="47"/>
      <c r="I16" s="56">
        <v>1225</v>
      </c>
      <c r="J16" s="56"/>
      <c r="K16" s="56">
        <v>1225</v>
      </c>
      <c r="L16" s="56"/>
      <c r="M16" s="56">
        <f t="shared" si="1"/>
        <v>0</v>
      </c>
      <c r="N16" s="47"/>
      <c r="O16" s="56">
        <v>1225</v>
      </c>
      <c r="P16" s="56"/>
      <c r="Q16" s="57">
        <v>1225</v>
      </c>
      <c r="R16" s="56"/>
      <c r="S16" s="56">
        <f t="shared" si="2"/>
        <v>0</v>
      </c>
      <c r="T16" s="47"/>
      <c r="U16" s="56">
        <v>1225</v>
      </c>
      <c r="V16" s="56"/>
      <c r="W16" s="57">
        <v>1225</v>
      </c>
      <c r="X16" s="56"/>
      <c r="Y16" s="56">
        <f t="shared" si="3"/>
        <v>0</v>
      </c>
      <c r="Z16" s="47"/>
      <c r="AA16" s="56">
        <v>1225</v>
      </c>
      <c r="AB16" s="56"/>
      <c r="AC16" s="57">
        <v>1225</v>
      </c>
      <c r="AD16" s="56"/>
      <c r="AE16" s="56">
        <f t="shared" si="4"/>
        <v>0</v>
      </c>
      <c r="AF16" s="47"/>
      <c r="AG16" s="56">
        <v>1225</v>
      </c>
      <c r="AH16" s="56"/>
      <c r="AI16" s="57">
        <v>1225</v>
      </c>
      <c r="AJ16" s="56"/>
      <c r="AK16" s="56">
        <f t="shared" si="5"/>
        <v>0</v>
      </c>
      <c r="AL16" s="47"/>
      <c r="AM16" s="56">
        <v>1225</v>
      </c>
      <c r="AN16" s="56"/>
      <c r="AO16" s="57">
        <v>1225</v>
      </c>
      <c r="AP16" s="56"/>
      <c r="AQ16" s="56">
        <f t="shared" si="6"/>
        <v>0</v>
      </c>
      <c r="AR16" s="47"/>
      <c r="AS16" s="56">
        <v>1225</v>
      </c>
      <c r="AT16" s="56"/>
      <c r="AU16" s="57">
        <v>1225</v>
      </c>
      <c r="AV16" s="56"/>
      <c r="AW16" s="56">
        <f t="shared" si="7"/>
        <v>0</v>
      </c>
      <c r="AX16" s="47"/>
      <c r="AY16" s="56">
        <v>1225</v>
      </c>
      <c r="AZ16" s="56"/>
      <c r="BA16" s="57">
        <v>1225</v>
      </c>
      <c r="BB16" s="56"/>
      <c r="BC16" s="56">
        <f t="shared" si="8"/>
        <v>0</v>
      </c>
      <c r="BD16" s="47"/>
      <c r="BE16" s="56">
        <v>1225</v>
      </c>
      <c r="BF16" s="56"/>
      <c r="BG16" s="57">
        <v>1225</v>
      </c>
      <c r="BH16" s="56"/>
      <c r="BI16" s="56">
        <f t="shared" si="9"/>
        <v>0</v>
      </c>
      <c r="BJ16" s="47"/>
      <c r="BK16" s="56">
        <v>1225</v>
      </c>
      <c r="BL16" s="56"/>
      <c r="BM16" s="57">
        <v>1225</v>
      </c>
      <c r="BN16" s="56"/>
      <c r="BO16" s="56">
        <f t="shared" si="10"/>
        <v>0</v>
      </c>
      <c r="BP16" s="47"/>
      <c r="BQ16" s="56">
        <v>1225</v>
      </c>
      <c r="BR16" s="56"/>
      <c r="BS16" s="57">
        <v>1225</v>
      </c>
      <c r="BT16" s="56"/>
      <c r="BU16" s="56">
        <f t="shared" si="11"/>
        <v>0</v>
      </c>
      <c r="BV16" s="47"/>
      <c r="BW16" s="56">
        <f t="shared" si="12"/>
        <v>3675</v>
      </c>
      <c r="BX16" s="56"/>
      <c r="BY16" s="56">
        <f t="shared" si="13"/>
        <v>3675</v>
      </c>
      <c r="BZ16" s="56"/>
      <c r="CA16" s="56">
        <f t="shared" si="14"/>
        <v>0</v>
      </c>
      <c r="CB16" s="47"/>
      <c r="CC16" s="56">
        <f t="shared" si="15"/>
        <v>14700</v>
      </c>
      <c r="CD16" s="56"/>
      <c r="CE16" s="56">
        <f t="shared" si="16"/>
        <v>14700</v>
      </c>
      <c r="CF16" s="56"/>
      <c r="CG16" s="56">
        <f t="shared" si="17"/>
        <v>0</v>
      </c>
      <c r="CJ16" t="s">
        <v>236</v>
      </c>
    </row>
    <row r="17" spans="2:88" x14ac:dyDescent="0.25">
      <c r="B17" s="55" t="s">
        <v>13</v>
      </c>
      <c r="C17" s="56">
        <v>0</v>
      </c>
      <c r="D17" s="56"/>
      <c r="E17" s="56">
        <v>0</v>
      </c>
      <c r="F17" s="56"/>
      <c r="G17" s="56">
        <f t="shared" si="0"/>
        <v>0</v>
      </c>
      <c r="H17" s="47"/>
      <c r="I17" s="56">
        <v>0</v>
      </c>
      <c r="J17" s="56"/>
      <c r="K17" s="56">
        <v>0</v>
      </c>
      <c r="L17" s="56"/>
      <c r="M17" s="56">
        <f t="shared" si="1"/>
        <v>0</v>
      </c>
      <c r="N17" s="47"/>
      <c r="O17" s="56">
        <v>0</v>
      </c>
      <c r="P17" s="56"/>
      <c r="Q17" s="56">
        <v>0</v>
      </c>
      <c r="R17" s="56"/>
      <c r="S17" s="56">
        <f t="shared" si="2"/>
        <v>0</v>
      </c>
      <c r="T17" s="47"/>
      <c r="U17" s="56">
        <v>0</v>
      </c>
      <c r="V17" s="56"/>
      <c r="W17" s="56">
        <v>0</v>
      </c>
      <c r="X17" s="56"/>
      <c r="Y17" s="56">
        <f t="shared" si="3"/>
        <v>0</v>
      </c>
      <c r="Z17" s="47"/>
      <c r="AA17" s="56">
        <v>550</v>
      </c>
      <c r="AB17" s="56"/>
      <c r="AC17" s="57">
        <v>550</v>
      </c>
      <c r="AD17" s="56"/>
      <c r="AE17" s="56">
        <f t="shared" si="4"/>
        <v>0</v>
      </c>
      <c r="AF17" s="47"/>
      <c r="AG17" s="56">
        <v>0</v>
      </c>
      <c r="AH17" s="56"/>
      <c r="AI17" s="56">
        <v>0</v>
      </c>
      <c r="AJ17" s="56"/>
      <c r="AK17" s="56">
        <f t="shared" si="5"/>
        <v>0</v>
      </c>
      <c r="AL17" s="47"/>
      <c r="AM17" s="56">
        <v>0</v>
      </c>
      <c r="AN17" s="56"/>
      <c r="AO17" s="56">
        <v>0</v>
      </c>
      <c r="AP17" s="56"/>
      <c r="AQ17" s="56">
        <f t="shared" si="6"/>
        <v>0</v>
      </c>
      <c r="AR17" s="47"/>
      <c r="AS17" s="56">
        <v>0</v>
      </c>
      <c r="AT17" s="56"/>
      <c r="AU17" s="56">
        <v>0</v>
      </c>
      <c r="AV17" s="56"/>
      <c r="AW17" s="56">
        <f t="shared" si="7"/>
        <v>0</v>
      </c>
      <c r="AX17" s="47"/>
      <c r="AY17" s="56">
        <v>0</v>
      </c>
      <c r="AZ17" s="56"/>
      <c r="BA17" s="56">
        <v>0</v>
      </c>
      <c r="BB17" s="56"/>
      <c r="BC17" s="56">
        <f t="shared" si="8"/>
        <v>0</v>
      </c>
      <c r="BD17" s="47"/>
      <c r="BE17" s="56">
        <v>0</v>
      </c>
      <c r="BF17" s="56"/>
      <c r="BG17" s="56">
        <v>0</v>
      </c>
      <c r="BH17" s="56"/>
      <c r="BI17" s="56">
        <f t="shared" si="9"/>
        <v>0</v>
      </c>
      <c r="BJ17" s="47"/>
      <c r="BK17" s="56">
        <v>550</v>
      </c>
      <c r="BL17" s="56"/>
      <c r="BM17" s="56">
        <v>550</v>
      </c>
      <c r="BN17" s="56"/>
      <c r="BO17" s="56">
        <f t="shared" si="10"/>
        <v>0</v>
      </c>
      <c r="BP17" s="47"/>
      <c r="BQ17" s="56">
        <v>0</v>
      </c>
      <c r="BR17" s="56"/>
      <c r="BS17" s="56">
        <v>0</v>
      </c>
      <c r="BT17" s="56"/>
      <c r="BU17" s="56">
        <f t="shared" si="11"/>
        <v>0</v>
      </c>
      <c r="BV17" s="47"/>
      <c r="BW17" s="56">
        <f t="shared" si="12"/>
        <v>0</v>
      </c>
      <c r="BX17" s="56"/>
      <c r="BY17" s="56">
        <f t="shared" si="13"/>
        <v>0</v>
      </c>
      <c r="BZ17" s="56"/>
      <c r="CA17" s="56">
        <f t="shared" si="14"/>
        <v>0</v>
      </c>
      <c r="CB17" s="47"/>
      <c r="CC17" s="56">
        <f t="shared" si="15"/>
        <v>1100</v>
      </c>
      <c r="CD17" s="56"/>
      <c r="CE17" s="56">
        <f t="shared" si="16"/>
        <v>1100</v>
      </c>
      <c r="CF17" s="56"/>
      <c r="CG17" s="56">
        <f t="shared" si="17"/>
        <v>0</v>
      </c>
      <c r="CJ17" t="s">
        <v>237</v>
      </c>
    </row>
    <row r="18" spans="2:88" x14ac:dyDescent="0.25">
      <c r="B18" s="55" t="s">
        <v>14</v>
      </c>
      <c r="C18" s="56">
        <v>151</v>
      </c>
      <c r="D18" s="56"/>
      <c r="E18" s="56">
        <v>151</v>
      </c>
      <c r="F18" s="56"/>
      <c r="G18" s="56">
        <f t="shared" si="0"/>
        <v>0</v>
      </c>
      <c r="H18" s="47"/>
      <c r="I18" s="56">
        <v>151</v>
      </c>
      <c r="J18" s="56"/>
      <c r="K18" s="56">
        <v>151</v>
      </c>
      <c r="L18" s="56"/>
      <c r="M18" s="56">
        <f t="shared" si="1"/>
        <v>0</v>
      </c>
      <c r="N18" s="47"/>
      <c r="O18" s="56">
        <v>151</v>
      </c>
      <c r="P18" s="56"/>
      <c r="Q18" s="57">
        <v>151</v>
      </c>
      <c r="R18" s="56"/>
      <c r="S18" s="56">
        <f t="shared" si="2"/>
        <v>0</v>
      </c>
      <c r="T18" s="47"/>
      <c r="U18" s="56">
        <v>151</v>
      </c>
      <c r="V18" s="56"/>
      <c r="W18" s="57">
        <v>151</v>
      </c>
      <c r="X18" s="56"/>
      <c r="Y18" s="56">
        <f t="shared" si="3"/>
        <v>0</v>
      </c>
      <c r="Z18" s="47"/>
      <c r="AA18" s="56">
        <v>151</v>
      </c>
      <c r="AB18" s="56"/>
      <c r="AC18" s="57">
        <v>151</v>
      </c>
      <c r="AD18" s="56"/>
      <c r="AE18" s="56">
        <f t="shared" si="4"/>
        <v>0</v>
      </c>
      <c r="AF18" s="47"/>
      <c r="AG18" s="56">
        <v>151</v>
      </c>
      <c r="AH18" s="56"/>
      <c r="AI18" s="57">
        <v>151</v>
      </c>
      <c r="AJ18" s="56"/>
      <c r="AK18" s="56">
        <f t="shared" si="5"/>
        <v>0</v>
      </c>
      <c r="AL18" s="47"/>
      <c r="AM18" s="56">
        <v>151</v>
      </c>
      <c r="AN18" s="56"/>
      <c r="AO18" s="57">
        <v>151</v>
      </c>
      <c r="AP18" s="56"/>
      <c r="AQ18" s="56">
        <f t="shared" si="6"/>
        <v>0</v>
      </c>
      <c r="AR18" s="47"/>
      <c r="AS18" s="56">
        <v>151</v>
      </c>
      <c r="AT18" s="56"/>
      <c r="AU18" s="57">
        <v>151</v>
      </c>
      <c r="AV18" s="56"/>
      <c r="AW18" s="56">
        <f t="shared" si="7"/>
        <v>0</v>
      </c>
      <c r="AX18" s="47"/>
      <c r="AY18" s="56">
        <v>151</v>
      </c>
      <c r="AZ18" s="56"/>
      <c r="BA18" s="57">
        <v>151</v>
      </c>
      <c r="BB18" s="56"/>
      <c r="BC18" s="56">
        <f t="shared" si="8"/>
        <v>0</v>
      </c>
      <c r="BD18" s="47"/>
      <c r="BE18" s="56">
        <v>151</v>
      </c>
      <c r="BF18" s="56"/>
      <c r="BG18" s="57">
        <v>151</v>
      </c>
      <c r="BH18" s="56"/>
      <c r="BI18" s="56">
        <f t="shared" si="9"/>
        <v>0</v>
      </c>
      <c r="BJ18" s="47"/>
      <c r="BK18" s="56">
        <v>151</v>
      </c>
      <c r="BL18" s="56"/>
      <c r="BM18" s="57">
        <v>151</v>
      </c>
      <c r="BN18" s="56"/>
      <c r="BO18" s="56">
        <f t="shared" si="10"/>
        <v>0</v>
      </c>
      <c r="BP18" s="47"/>
      <c r="BQ18" s="56">
        <v>151</v>
      </c>
      <c r="BR18" s="56"/>
      <c r="BS18" s="57">
        <v>151</v>
      </c>
      <c r="BT18" s="56"/>
      <c r="BU18" s="56">
        <f t="shared" si="11"/>
        <v>0</v>
      </c>
      <c r="BV18" s="47"/>
      <c r="BW18" s="56">
        <f t="shared" si="12"/>
        <v>453</v>
      </c>
      <c r="BX18" s="56"/>
      <c r="BY18" s="56">
        <f t="shared" si="13"/>
        <v>453</v>
      </c>
      <c r="BZ18" s="56"/>
      <c r="CA18" s="56">
        <f t="shared" si="14"/>
        <v>0</v>
      </c>
      <c r="CB18" s="47"/>
      <c r="CC18" s="56">
        <f t="shared" si="15"/>
        <v>1812</v>
      </c>
      <c r="CD18" s="56"/>
      <c r="CE18" s="56">
        <f t="shared" si="16"/>
        <v>1812</v>
      </c>
      <c r="CF18" s="56"/>
      <c r="CG18" s="56">
        <f t="shared" si="17"/>
        <v>0</v>
      </c>
      <c r="CJ18" t="s">
        <v>238</v>
      </c>
    </row>
    <row r="19" spans="2:88" x14ac:dyDescent="0.25">
      <c r="B19" s="55" t="s">
        <v>15</v>
      </c>
      <c r="C19" s="56">
        <v>250</v>
      </c>
      <c r="D19" s="56"/>
      <c r="E19" s="56">
        <f t="array" ref="E19">SUM(IF(data_2019!$B$2:$B$261="Jan",IF(data_2019!$F$2:$F$261=$B19,data_2019!$E$2:$E$261)))</f>
        <v>278.56</v>
      </c>
      <c r="F19" s="56"/>
      <c r="G19" s="56">
        <f t="shared" si="0"/>
        <v>28.560000000000002</v>
      </c>
      <c r="H19" s="47"/>
      <c r="I19" s="56">
        <v>250</v>
      </c>
      <c r="J19" s="56"/>
      <c r="K19" s="79">
        <f t="array" ref="K19">SUM(IF(data_2019!$B$2:$B$148="Feb",IF(data_2019!$F$2:$F$148=$B19,data_2019!$E$2:$E$148)))</f>
        <v>379.66</v>
      </c>
      <c r="L19" s="56"/>
      <c r="M19" s="56">
        <f t="shared" si="1"/>
        <v>129.66000000000003</v>
      </c>
      <c r="N19" s="47"/>
      <c r="O19" s="56">
        <v>250</v>
      </c>
      <c r="P19" s="56"/>
      <c r="Q19" s="56">
        <v>0</v>
      </c>
      <c r="R19" s="56"/>
      <c r="S19" s="56">
        <f t="shared" si="2"/>
        <v>-250</v>
      </c>
      <c r="T19" s="47"/>
      <c r="U19" s="56">
        <v>250</v>
      </c>
      <c r="V19" s="56"/>
      <c r="W19" s="56">
        <v>0</v>
      </c>
      <c r="X19" s="56"/>
      <c r="Y19" s="56">
        <f t="shared" si="3"/>
        <v>-250</v>
      </c>
      <c r="Z19" s="47"/>
      <c r="AA19" s="56">
        <v>250</v>
      </c>
      <c r="AB19" s="56"/>
      <c r="AC19" s="56">
        <v>0</v>
      </c>
      <c r="AD19" s="56"/>
      <c r="AE19" s="56">
        <f t="shared" si="4"/>
        <v>-250</v>
      </c>
      <c r="AF19" s="47"/>
      <c r="AG19" s="56">
        <v>250</v>
      </c>
      <c r="AH19" s="56"/>
      <c r="AI19" s="56">
        <v>0</v>
      </c>
      <c r="AJ19" s="56"/>
      <c r="AK19" s="56">
        <f t="shared" si="5"/>
        <v>-250</v>
      </c>
      <c r="AL19" s="47"/>
      <c r="AM19" s="56">
        <v>250</v>
      </c>
      <c r="AN19" s="56"/>
      <c r="AO19" s="56">
        <v>0</v>
      </c>
      <c r="AP19" s="56"/>
      <c r="AQ19" s="56">
        <f t="shared" si="6"/>
        <v>-250</v>
      </c>
      <c r="AR19" s="47"/>
      <c r="AS19" s="56">
        <v>250</v>
      </c>
      <c r="AT19" s="56"/>
      <c r="AU19" s="56">
        <v>0</v>
      </c>
      <c r="AV19" s="56"/>
      <c r="AW19" s="56">
        <f t="shared" si="7"/>
        <v>-250</v>
      </c>
      <c r="AX19" s="47"/>
      <c r="AY19" s="56">
        <v>250</v>
      </c>
      <c r="AZ19" s="56"/>
      <c r="BA19" s="56">
        <v>0</v>
      </c>
      <c r="BB19" s="56"/>
      <c r="BC19" s="56">
        <f t="shared" si="8"/>
        <v>-250</v>
      </c>
      <c r="BD19" s="47"/>
      <c r="BE19" s="56">
        <v>250</v>
      </c>
      <c r="BF19" s="56"/>
      <c r="BG19" s="56">
        <v>0</v>
      </c>
      <c r="BH19" s="56"/>
      <c r="BI19" s="56">
        <f t="shared" si="9"/>
        <v>-250</v>
      </c>
      <c r="BJ19" s="47"/>
      <c r="BK19" s="56">
        <v>250</v>
      </c>
      <c r="BL19" s="56"/>
      <c r="BM19" s="56">
        <v>0</v>
      </c>
      <c r="BN19" s="56"/>
      <c r="BO19" s="56">
        <f t="shared" si="10"/>
        <v>-250</v>
      </c>
      <c r="BP19" s="47"/>
      <c r="BQ19" s="56">
        <v>250</v>
      </c>
      <c r="BR19" s="56"/>
      <c r="BS19" s="56">
        <v>0</v>
      </c>
      <c r="BT19" s="56"/>
      <c r="BU19" s="56">
        <f t="shared" si="11"/>
        <v>-250</v>
      </c>
      <c r="BV19" s="47"/>
      <c r="BW19" s="56">
        <f t="shared" si="12"/>
        <v>750</v>
      </c>
      <c r="BX19" s="56"/>
      <c r="BY19" s="56">
        <f t="shared" si="13"/>
        <v>658.22</v>
      </c>
      <c r="BZ19" s="56"/>
      <c r="CA19" s="56">
        <f t="shared" si="14"/>
        <v>-91.779999999999973</v>
      </c>
      <c r="CB19" s="47"/>
      <c r="CC19" s="56">
        <f t="shared" si="15"/>
        <v>3000</v>
      </c>
      <c r="CD19" s="56"/>
      <c r="CE19" s="56">
        <f t="shared" si="16"/>
        <v>658.22</v>
      </c>
      <c r="CF19" s="56"/>
      <c r="CG19" s="56">
        <f t="shared" si="17"/>
        <v>-2341.7799999999997</v>
      </c>
    </row>
    <row r="20" spans="2:88" x14ac:dyDescent="0.25">
      <c r="B20" s="55" t="s">
        <v>16</v>
      </c>
      <c r="C20" s="56">
        <f>30*4</f>
        <v>120</v>
      </c>
      <c r="D20" s="56"/>
      <c r="E20" s="56">
        <f t="array" ref="E20">SUM(IF(data_2019!$B$2:$B$261="Jan",IF(data_2019!$F$2:$F$261=$B20,data_2019!$E$2:$E$261)))</f>
        <v>186.18</v>
      </c>
      <c r="F20" s="56"/>
      <c r="G20" s="56">
        <f t="shared" si="0"/>
        <v>66.180000000000007</v>
      </c>
      <c r="H20" s="47"/>
      <c r="I20" s="56">
        <v>120</v>
      </c>
      <c r="J20" s="56"/>
      <c r="K20" s="56">
        <f t="array" ref="K20">SUM(IF(data_2019!$B$2:$B$148="Feb",IF(data_2019!$F$2:$F$148=$B20,data_2019!$E$2:$E$148)))</f>
        <v>119.05</v>
      </c>
      <c r="L20" s="56"/>
      <c r="M20" s="56">
        <f t="shared" si="1"/>
        <v>-0.95000000000000284</v>
      </c>
      <c r="N20" s="47"/>
      <c r="O20" s="56">
        <v>120</v>
      </c>
      <c r="P20" s="56"/>
      <c r="Q20" s="56">
        <v>0</v>
      </c>
      <c r="R20" s="56"/>
      <c r="S20" s="56">
        <f t="shared" si="2"/>
        <v>-120</v>
      </c>
      <c r="T20" s="47"/>
      <c r="U20" s="56">
        <v>120</v>
      </c>
      <c r="V20" s="56"/>
      <c r="W20" s="56">
        <v>0</v>
      </c>
      <c r="X20" s="56"/>
      <c r="Y20" s="56">
        <f t="shared" si="3"/>
        <v>-120</v>
      </c>
      <c r="Z20" s="47"/>
      <c r="AA20" s="56">
        <v>120</v>
      </c>
      <c r="AB20" s="56"/>
      <c r="AC20" s="56">
        <v>0</v>
      </c>
      <c r="AD20" s="56"/>
      <c r="AE20" s="56">
        <f t="shared" si="4"/>
        <v>-120</v>
      </c>
      <c r="AF20" s="47"/>
      <c r="AG20" s="56">
        <v>120</v>
      </c>
      <c r="AH20" s="56"/>
      <c r="AI20" s="56">
        <v>0</v>
      </c>
      <c r="AJ20" s="56"/>
      <c r="AK20" s="56">
        <f t="shared" si="5"/>
        <v>-120</v>
      </c>
      <c r="AL20" s="47"/>
      <c r="AM20" s="56">
        <v>120</v>
      </c>
      <c r="AN20" s="56"/>
      <c r="AO20" s="56">
        <v>0</v>
      </c>
      <c r="AP20" s="56"/>
      <c r="AQ20" s="56">
        <f t="shared" si="6"/>
        <v>-120</v>
      </c>
      <c r="AR20" s="47"/>
      <c r="AS20" s="56">
        <v>120</v>
      </c>
      <c r="AT20" s="56"/>
      <c r="AU20" s="56">
        <v>0</v>
      </c>
      <c r="AV20" s="56"/>
      <c r="AW20" s="56">
        <f t="shared" si="7"/>
        <v>-120</v>
      </c>
      <c r="AX20" s="47"/>
      <c r="AY20" s="56">
        <v>120</v>
      </c>
      <c r="AZ20" s="56"/>
      <c r="BA20" s="56">
        <v>0</v>
      </c>
      <c r="BB20" s="56"/>
      <c r="BC20" s="56">
        <f t="shared" si="8"/>
        <v>-120</v>
      </c>
      <c r="BD20" s="47"/>
      <c r="BE20" s="56">
        <v>120</v>
      </c>
      <c r="BF20" s="56"/>
      <c r="BG20" s="56">
        <v>0</v>
      </c>
      <c r="BH20" s="56"/>
      <c r="BI20" s="56">
        <f t="shared" si="9"/>
        <v>-120</v>
      </c>
      <c r="BJ20" s="47"/>
      <c r="BK20" s="56">
        <v>120</v>
      </c>
      <c r="BL20" s="56"/>
      <c r="BM20" s="56">
        <v>0</v>
      </c>
      <c r="BN20" s="56"/>
      <c r="BO20" s="56">
        <f t="shared" si="10"/>
        <v>-120</v>
      </c>
      <c r="BP20" s="47"/>
      <c r="BQ20" s="56">
        <v>120</v>
      </c>
      <c r="BR20" s="56"/>
      <c r="BS20" s="56">
        <v>0</v>
      </c>
      <c r="BT20" s="56"/>
      <c r="BU20" s="56">
        <f t="shared" si="11"/>
        <v>-120</v>
      </c>
      <c r="BV20" s="47"/>
      <c r="BW20" s="56">
        <f t="shared" si="12"/>
        <v>360</v>
      </c>
      <c r="BX20" s="56"/>
      <c r="BY20" s="56">
        <f t="shared" si="13"/>
        <v>305.23</v>
      </c>
      <c r="BZ20" s="56"/>
      <c r="CA20" s="56">
        <f t="shared" si="14"/>
        <v>-54.769999999999982</v>
      </c>
      <c r="CB20" s="47"/>
      <c r="CC20" s="56">
        <f t="shared" si="15"/>
        <v>1440</v>
      </c>
      <c r="CD20" s="56"/>
      <c r="CE20" s="56">
        <f t="shared" si="16"/>
        <v>305.23</v>
      </c>
      <c r="CF20" s="56"/>
      <c r="CG20" s="56">
        <f t="shared" si="17"/>
        <v>-1134.77</v>
      </c>
    </row>
    <row r="21" spans="2:88" x14ac:dyDescent="0.25">
      <c r="B21" s="55" t="s">
        <v>198</v>
      </c>
      <c r="C21" s="56">
        <f>24*2</f>
        <v>48</v>
      </c>
      <c r="D21" s="56"/>
      <c r="E21" s="56">
        <f t="array" ref="E21">SUM(IF(data_2019!$B$2:$B$261="Jan",IF(data_2019!$F$2:$F$261=$B21,data_2019!$E$2:$E$261)))</f>
        <v>51.989999999999995</v>
      </c>
      <c r="F21" s="56"/>
      <c r="G21" s="56">
        <f t="shared" si="0"/>
        <v>3.9899999999999949</v>
      </c>
      <c r="H21" s="47"/>
      <c r="I21" s="56">
        <v>48</v>
      </c>
      <c r="J21" s="56"/>
      <c r="K21" s="56">
        <f t="array" ref="K21">SUM(IF(data_2019!$B$2:$B$148="Feb",IF(data_2019!$F$2:$F$148=$B21,data_2019!$E$2:$E$148)))</f>
        <v>71</v>
      </c>
      <c r="L21" s="56"/>
      <c r="M21" s="56">
        <f t="shared" si="1"/>
        <v>23</v>
      </c>
      <c r="N21" s="47"/>
      <c r="O21" s="56">
        <v>48</v>
      </c>
      <c r="P21" s="56"/>
      <c r="Q21" s="56">
        <v>0</v>
      </c>
      <c r="R21" s="56"/>
      <c r="S21" s="56">
        <f t="shared" si="2"/>
        <v>-48</v>
      </c>
      <c r="T21" s="47"/>
      <c r="U21" s="56">
        <v>48</v>
      </c>
      <c r="V21" s="56"/>
      <c r="W21" s="56">
        <v>0</v>
      </c>
      <c r="X21" s="56"/>
      <c r="Y21" s="56">
        <f t="shared" si="3"/>
        <v>-48</v>
      </c>
      <c r="Z21" s="47"/>
      <c r="AA21" s="56">
        <v>48</v>
      </c>
      <c r="AB21" s="56"/>
      <c r="AC21" s="56">
        <v>0</v>
      </c>
      <c r="AD21" s="56"/>
      <c r="AE21" s="56">
        <f t="shared" si="4"/>
        <v>-48</v>
      </c>
      <c r="AF21" s="47"/>
      <c r="AG21" s="56">
        <v>48</v>
      </c>
      <c r="AH21" s="56"/>
      <c r="AI21" s="56">
        <v>0</v>
      </c>
      <c r="AJ21" s="56"/>
      <c r="AK21" s="56">
        <f t="shared" si="5"/>
        <v>-48</v>
      </c>
      <c r="AL21" s="47"/>
      <c r="AM21" s="56">
        <v>48</v>
      </c>
      <c r="AN21" s="56"/>
      <c r="AO21" s="56">
        <v>0</v>
      </c>
      <c r="AP21" s="56"/>
      <c r="AQ21" s="56">
        <f t="shared" si="6"/>
        <v>-48</v>
      </c>
      <c r="AR21" s="47"/>
      <c r="AS21" s="56">
        <v>48</v>
      </c>
      <c r="AT21" s="56"/>
      <c r="AU21" s="56">
        <v>0</v>
      </c>
      <c r="AV21" s="56"/>
      <c r="AW21" s="56">
        <f t="shared" si="7"/>
        <v>-48</v>
      </c>
      <c r="AX21" s="47"/>
      <c r="AY21" s="56">
        <v>48</v>
      </c>
      <c r="AZ21" s="56"/>
      <c r="BA21" s="56">
        <v>0</v>
      </c>
      <c r="BB21" s="56"/>
      <c r="BC21" s="56">
        <f t="shared" si="8"/>
        <v>-48</v>
      </c>
      <c r="BD21" s="47"/>
      <c r="BE21" s="56">
        <v>48</v>
      </c>
      <c r="BF21" s="56"/>
      <c r="BG21" s="56">
        <v>0</v>
      </c>
      <c r="BH21" s="56"/>
      <c r="BI21" s="56">
        <f t="shared" si="9"/>
        <v>-48</v>
      </c>
      <c r="BJ21" s="47"/>
      <c r="BK21" s="56">
        <v>48</v>
      </c>
      <c r="BL21" s="56"/>
      <c r="BM21" s="56">
        <v>0</v>
      </c>
      <c r="BN21" s="56"/>
      <c r="BO21" s="56">
        <f t="shared" si="10"/>
        <v>-48</v>
      </c>
      <c r="BP21" s="47"/>
      <c r="BQ21" s="56">
        <v>48</v>
      </c>
      <c r="BR21" s="56"/>
      <c r="BS21" s="56">
        <v>0</v>
      </c>
      <c r="BT21" s="56"/>
      <c r="BU21" s="56">
        <f t="shared" si="11"/>
        <v>-48</v>
      </c>
      <c r="BV21" s="47"/>
      <c r="BW21" s="56">
        <f t="shared" si="12"/>
        <v>144</v>
      </c>
      <c r="BX21" s="56"/>
      <c r="BY21" s="56">
        <f t="shared" si="13"/>
        <v>122.99</v>
      </c>
      <c r="BZ21" s="56"/>
      <c r="CA21" s="56">
        <f t="shared" si="14"/>
        <v>-21.010000000000005</v>
      </c>
      <c r="CB21" s="47"/>
      <c r="CC21" s="56">
        <f t="shared" si="15"/>
        <v>576</v>
      </c>
      <c r="CD21" s="56"/>
      <c r="CE21" s="56">
        <f t="shared" si="16"/>
        <v>122.99</v>
      </c>
      <c r="CF21" s="56"/>
      <c r="CG21" s="56">
        <f t="shared" si="17"/>
        <v>-453.01</v>
      </c>
    </row>
    <row r="22" spans="2:88" x14ac:dyDescent="0.25">
      <c r="B22" s="55" t="s">
        <v>17</v>
      </c>
      <c r="C22" s="56">
        <v>250</v>
      </c>
      <c r="D22" s="56"/>
      <c r="E22" s="79">
        <f t="array" ref="E22">SUM(IF(data_2019!$B$2:$B$261="Jan",IF(data_2019!$F$2:$F$261=$B22,data_2019!$E$2:$E$261)))</f>
        <v>351.24</v>
      </c>
      <c r="F22" s="56"/>
      <c r="G22" s="56">
        <f t="shared" si="0"/>
        <v>101.24000000000001</v>
      </c>
      <c r="H22" s="47"/>
      <c r="I22" s="56">
        <v>250</v>
      </c>
      <c r="J22" s="56"/>
      <c r="K22" s="79">
        <f t="array" ref="K22">SUM(IF(data_2019!$B$2:$B$148="Feb",IF(data_2019!$F$2:$F$148=$B22,data_2019!$E$2:$E$148)))</f>
        <v>611.78000000000009</v>
      </c>
      <c r="L22" s="56"/>
      <c r="M22" s="56">
        <f t="shared" si="1"/>
        <v>361.78000000000009</v>
      </c>
      <c r="N22" s="47"/>
      <c r="O22" s="56">
        <v>250</v>
      </c>
      <c r="P22" s="56"/>
      <c r="Q22" s="56">
        <v>0</v>
      </c>
      <c r="R22" s="56"/>
      <c r="S22" s="56">
        <f t="shared" si="2"/>
        <v>-250</v>
      </c>
      <c r="T22" s="47"/>
      <c r="U22" s="56">
        <v>250</v>
      </c>
      <c r="V22" s="56"/>
      <c r="W22" s="56">
        <v>0</v>
      </c>
      <c r="X22" s="56"/>
      <c r="Y22" s="56">
        <f t="shared" si="3"/>
        <v>-250</v>
      </c>
      <c r="Z22" s="47"/>
      <c r="AA22" s="56">
        <v>250</v>
      </c>
      <c r="AB22" s="56"/>
      <c r="AC22" s="56">
        <v>0</v>
      </c>
      <c r="AD22" s="56"/>
      <c r="AE22" s="56">
        <f t="shared" si="4"/>
        <v>-250</v>
      </c>
      <c r="AF22" s="47"/>
      <c r="AG22" s="56">
        <v>250</v>
      </c>
      <c r="AH22" s="56"/>
      <c r="AI22" s="56">
        <v>0</v>
      </c>
      <c r="AJ22" s="56"/>
      <c r="AK22" s="56">
        <f t="shared" si="5"/>
        <v>-250</v>
      </c>
      <c r="AL22" s="47"/>
      <c r="AM22" s="56">
        <v>250</v>
      </c>
      <c r="AN22" s="56"/>
      <c r="AO22" s="56">
        <v>0</v>
      </c>
      <c r="AP22" s="56"/>
      <c r="AQ22" s="56">
        <f t="shared" si="6"/>
        <v>-250</v>
      </c>
      <c r="AR22" s="47"/>
      <c r="AS22" s="56">
        <v>250</v>
      </c>
      <c r="AT22" s="56"/>
      <c r="AU22" s="56">
        <v>0</v>
      </c>
      <c r="AV22" s="56"/>
      <c r="AW22" s="56">
        <f t="shared" si="7"/>
        <v>-250</v>
      </c>
      <c r="AX22" s="47"/>
      <c r="AY22" s="56">
        <v>250</v>
      </c>
      <c r="AZ22" s="56"/>
      <c r="BA22" s="56">
        <v>0</v>
      </c>
      <c r="BB22" s="56"/>
      <c r="BC22" s="56">
        <f t="shared" si="8"/>
        <v>-250</v>
      </c>
      <c r="BD22" s="47"/>
      <c r="BE22" s="56">
        <v>250</v>
      </c>
      <c r="BF22" s="56"/>
      <c r="BG22" s="56">
        <v>0</v>
      </c>
      <c r="BH22" s="56"/>
      <c r="BI22" s="56">
        <f t="shared" si="9"/>
        <v>-250</v>
      </c>
      <c r="BJ22" s="47"/>
      <c r="BK22" s="56">
        <v>250</v>
      </c>
      <c r="BL22" s="56"/>
      <c r="BM22" s="56">
        <v>0</v>
      </c>
      <c r="BN22" s="56"/>
      <c r="BO22" s="56">
        <f t="shared" si="10"/>
        <v>-250</v>
      </c>
      <c r="BP22" s="47"/>
      <c r="BQ22" s="56">
        <v>250</v>
      </c>
      <c r="BR22" s="56"/>
      <c r="BS22" s="56">
        <v>0</v>
      </c>
      <c r="BT22" s="56"/>
      <c r="BU22" s="56">
        <f t="shared" si="11"/>
        <v>-250</v>
      </c>
      <c r="BV22" s="47"/>
      <c r="BW22" s="56">
        <f t="shared" si="12"/>
        <v>750</v>
      </c>
      <c r="BX22" s="56"/>
      <c r="BY22" s="56">
        <f t="shared" si="13"/>
        <v>963.0200000000001</v>
      </c>
      <c r="BZ22" s="56"/>
      <c r="CA22" s="56">
        <f t="shared" si="14"/>
        <v>213.0200000000001</v>
      </c>
      <c r="CB22" s="47"/>
      <c r="CC22" s="56">
        <f t="shared" si="15"/>
        <v>3000</v>
      </c>
      <c r="CD22" s="56"/>
      <c r="CE22" s="56">
        <f t="shared" si="16"/>
        <v>963.0200000000001</v>
      </c>
      <c r="CF22" s="56"/>
      <c r="CG22" s="56">
        <f t="shared" si="17"/>
        <v>-2036.98</v>
      </c>
    </row>
    <row r="23" spans="2:88" x14ac:dyDescent="0.25">
      <c r="B23" s="55" t="s">
        <v>18</v>
      </c>
      <c r="C23" s="56">
        <v>50</v>
      </c>
      <c r="D23" s="56"/>
      <c r="E23" s="56">
        <f t="array" ref="E23">SUM(IF(data_2019!$B$2:$B$261="Jan",IF(data_2019!$F$2:$F$261=$B23,data_2019!$E$2:$E$261)))</f>
        <v>73.14</v>
      </c>
      <c r="F23" s="56"/>
      <c r="G23" s="56">
        <f t="shared" si="0"/>
        <v>23.14</v>
      </c>
      <c r="H23" s="47"/>
      <c r="I23" s="56">
        <v>50</v>
      </c>
      <c r="J23" s="56"/>
      <c r="K23" s="56">
        <f t="array" ref="K23">SUM(IF(data_2019!$B$2:$B$148="Feb",IF(data_2019!$F$2:$F$148=$B23,data_2019!$E$2:$E$148)))</f>
        <v>68.92</v>
      </c>
      <c r="L23" s="56"/>
      <c r="M23" s="56">
        <f t="shared" si="1"/>
        <v>18.920000000000002</v>
      </c>
      <c r="N23" s="47"/>
      <c r="O23" s="56">
        <v>50</v>
      </c>
      <c r="P23" s="56"/>
      <c r="Q23" s="56">
        <v>0</v>
      </c>
      <c r="R23" s="56"/>
      <c r="S23" s="56">
        <f t="shared" si="2"/>
        <v>-50</v>
      </c>
      <c r="T23" s="47"/>
      <c r="U23" s="56">
        <v>50</v>
      </c>
      <c r="V23" s="56"/>
      <c r="W23" s="56">
        <v>0</v>
      </c>
      <c r="X23" s="56"/>
      <c r="Y23" s="56">
        <f t="shared" si="3"/>
        <v>-50</v>
      </c>
      <c r="Z23" s="47"/>
      <c r="AA23" s="56">
        <v>50</v>
      </c>
      <c r="AB23" s="56"/>
      <c r="AC23" s="56">
        <v>0</v>
      </c>
      <c r="AD23" s="56"/>
      <c r="AE23" s="56">
        <f t="shared" si="4"/>
        <v>-50</v>
      </c>
      <c r="AF23" s="47"/>
      <c r="AG23" s="56">
        <v>50</v>
      </c>
      <c r="AH23" s="56"/>
      <c r="AI23" s="56">
        <v>0</v>
      </c>
      <c r="AJ23" s="56"/>
      <c r="AK23" s="56">
        <f t="shared" si="5"/>
        <v>-50</v>
      </c>
      <c r="AL23" s="47"/>
      <c r="AM23" s="56">
        <v>50</v>
      </c>
      <c r="AN23" s="56"/>
      <c r="AO23" s="56">
        <v>0</v>
      </c>
      <c r="AP23" s="56"/>
      <c r="AQ23" s="56">
        <f t="shared" si="6"/>
        <v>-50</v>
      </c>
      <c r="AR23" s="47"/>
      <c r="AS23" s="56">
        <v>50</v>
      </c>
      <c r="AT23" s="56"/>
      <c r="AU23" s="56">
        <v>0</v>
      </c>
      <c r="AV23" s="56"/>
      <c r="AW23" s="56">
        <f t="shared" si="7"/>
        <v>-50</v>
      </c>
      <c r="AX23" s="47"/>
      <c r="AY23" s="56">
        <v>50</v>
      </c>
      <c r="AZ23" s="56"/>
      <c r="BA23" s="56">
        <v>0</v>
      </c>
      <c r="BB23" s="56"/>
      <c r="BC23" s="56">
        <f t="shared" si="8"/>
        <v>-50</v>
      </c>
      <c r="BD23" s="47"/>
      <c r="BE23" s="56">
        <v>50</v>
      </c>
      <c r="BF23" s="56"/>
      <c r="BG23" s="56">
        <v>0</v>
      </c>
      <c r="BH23" s="56"/>
      <c r="BI23" s="56">
        <f t="shared" si="9"/>
        <v>-50</v>
      </c>
      <c r="BJ23" s="47"/>
      <c r="BK23" s="56">
        <v>50</v>
      </c>
      <c r="BL23" s="56"/>
      <c r="BM23" s="56">
        <v>0</v>
      </c>
      <c r="BN23" s="56"/>
      <c r="BO23" s="56">
        <f t="shared" si="10"/>
        <v>-50</v>
      </c>
      <c r="BP23" s="47"/>
      <c r="BQ23" s="56">
        <v>50</v>
      </c>
      <c r="BR23" s="56"/>
      <c r="BS23" s="56">
        <v>0</v>
      </c>
      <c r="BT23" s="56"/>
      <c r="BU23" s="56">
        <f t="shared" si="11"/>
        <v>-50</v>
      </c>
      <c r="BV23" s="47"/>
      <c r="BW23" s="56">
        <f t="shared" si="12"/>
        <v>150</v>
      </c>
      <c r="BX23" s="56"/>
      <c r="BY23" s="56">
        <f t="shared" si="13"/>
        <v>142.06</v>
      </c>
      <c r="BZ23" s="56"/>
      <c r="CA23" s="56">
        <f t="shared" si="14"/>
        <v>-7.9399999999999977</v>
      </c>
      <c r="CB23" s="47"/>
      <c r="CC23" s="56">
        <f t="shared" si="15"/>
        <v>600</v>
      </c>
      <c r="CD23" s="56"/>
      <c r="CE23" s="56">
        <f t="shared" si="16"/>
        <v>142.06</v>
      </c>
      <c r="CF23" s="56"/>
      <c r="CG23" s="56">
        <f t="shared" si="17"/>
        <v>-457.94</v>
      </c>
    </row>
    <row r="24" spans="2:88" x14ac:dyDescent="0.25">
      <c r="B24" s="55" t="s">
        <v>19</v>
      </c>
      <c r="C24" s="56">
        <v>40</v>
      </c>
      <c r="D24" s="56"/>
      <c r="E24" s="56">
        <f t="array" ref="E24">SUM(IF(data_2019!$B$2:$B$261="Jan",IF(data_2019!$F$2:$F$261=$B24,data_2019!$E$2:$E$261)))</f>
        <v>70.12</v>
      </c>
      <c r="F24" s="56"/>
      <c r="G24" s="56">
        <f t="shared" si="0"/>
        <v>30.120000000000005</v>
      </c>
      <c r="H24" s="47"/>
      <c r="I24" s="56">
        <v>40</v>
      </c>
      <c r="J24" s="56"/>
      <c r="K24" s="56">
        <f t="array" ref="K24">SUM(IF(data_2019!$B$2:$B$148="Feb",IF(data_2019!$F$2:$F$148=$B24,data_2019!$E$2:$E$148)))</f>
        <v>66.54000000000002</v>
      </c>
      <c r="L24" s="56"/>
      <c r="M24" s="56">
        <f t="shared" si="1"/>
        <v>26.54000000000002</v>
      </c>
      <c r="N24" s="47"/>
      <c r="O24" s="56">
        <v>40</v>
      </c>
      <c r="P24" s="56"/>
      <c r="Q24" s="56">
        <v>0</v>
      </c>
      <c r="R24" s="56"/>
      <c r="S24" s="56">
        <f t="shared" si="2"/>
        <v>-40</v>
      </c>
      <c r="T24" s="47"/>
      <c r="U24" s="56">
        <v>40</v>
      </c>
      <c r="V24" s="56"/>
      <c r="W24" s="56">
        <v>0</v>
      </c>
      <c r="X24" s="56"/>
      <c r="Y24" s="56">
        <f t="shared" si="3"/>
        <v>-40</v>
      </c>
      <c r="Z24" s="47"/>
      <c r="AA24" s="56">
        <v>40</v>
      </c>
      <c r="AB24" s="56"/>
      <c r="AC24" s="56">
        <v>0</v>
      </c>
      <c r="AD24" s="56"/>
      <c r="AE24" s="56">
        <f t="shared" si="4"/>
        <v>-40</v>
      </c>
      <c r="AF24" s="47"/>
      <c r="AG24" s="56">
        <v>40</v>
      </c>
      <c r="AH24" s="56"/>
      <c r="AI24" s="56">
        <v>0</v>
      </c>
      <c r="AJ24" s="56"/>
      <c r="AK24" s="56">
        <f t="shared" si="5"/>
        <v>-40</v>
      </c>
      <c r="AL24" s="47"/>
      <c r="AM24" s="56">
        <v>40</v>
      </c>
      <c r="AN24" s="56"/>
      <c r="AO24" s="56">
        <v>0</v>
      </c>
      <c r="AP24" s="56"/>
      <c r="AQ24" s="56">
        <f t="shared" si="6"/>
        <v>-40</v>
      </c>
      <c r="AR24" s="47"/>
      <c r="AS24" s="56">
        <v>40</v>
      </c>
      <c r="AT24" s="56"/>
      <c r="AU24" s="56">
        <v>0</v>
      </c>
      <c r="AV24" s="56"/>
      <c r="AW24" s="56">
        <f t="shared" si="7"/>
        <v>-40</v>
      </c>
      <c r="AX24" s="47"/>
      <c r="AY24" s="56">
        <v>40</v>
      </c>
      <c r="AZ24" s="56"/>
      <c r="BA24" s="56">
        <v>0</v>
      </c>
      <c r="BB24" s="56"/>
      <c r="BC24" s="56">
        <f t="shared" si="8"/>
        <v>-40</v>
      </c>
      <c r="BD24" s="47"/>
      <c r="BE24" s="56">
        <v>40</v>
      </c>
      <c r="BF24" s="56"/>
      <c r="BG24" s="56">
        <v>0</v>
      </c>
      <c r="BH24" s="56"/>
      <c r="BI24" s="56">
        <f t="shared" si="9"/>
        <v>-40</v>
      </c>
      <c r="BJ24" s="47"/>
      <c r="BK24" s="56">
        <v>40</v>
      </c>
      <c r="BL24" s="56"/>
      <c r="BM24" s="56">
        <v>0</v>
      </c>
      <c r="BN24" s="56"/>
      <c r="BO24" s="56">
        <f t="shared" si="10"/>
        <v>-40</v>
      </c>
      <c r="BP24" s="47"/>
      <c r="BQ24" s="56">
        <v>40</v>
      </c>
      <c r="BR24" s="56"/>
      <c r="BS24" s="56">
        <v>0</v>
      </c>
      <c r="BT24" s="56"/>
      <c r="BU24" s="56">
        <f t="shared" si="11"/>
        <v>-40</v>
      </c>
      <c r="BV24" s="47"/>
      <c r="BW24" s="56">
        <f t="shared" si="12"/>
        <v>120</v>
      </c>
      <c r="BX24" s="56"/>
      <c r="BY24" s="56">
        <f t="shared" si="13"/>
        <v>136.66000000000003</v>
      </c>
      <c r="BZ24" s="56"/>
      <c r="CA24" s="56">
        <f t="shared" si="14"/>
        <v>16.660000000000025</v>
      </c>
      <c r="CB24" s="47"/>
      <c r="CC24" s="56">
        <f t="shared" si="15"/>
        <v>480</v>
      </c>
      <c r="CD24" s="56"/>
      <c r="CE24" s="56">
        <f t="shared" si="16"/>
        <v>136.66000000000003</v>
      </c>
      <c r="CF24" s="56"/>
      <c r="CG24" s="56">
        <f t="shared" si="17"/>
        <v>-343.34</v>
      </c>
    </row>
    <row r="25" spans="2:88" x14ac:dyDescent="0.25">
      <c r="B25" s="55" t="s">
        <v>20</v>
      </c>
      <c r="C25" s="56">
        <v>300</v>
      </c>
      <c r="D25" s="56"/>
      <c r="E25" s="56">
        <f t="array" ref="E25">SUM(IF(data_2019!$B$2:$B$261="Jan",IF(data_2019!$F$2:$F$261=$B25,data_2019!$E$2:$E$261)))</f>
        <v>568.33000000000004</v>
      </c>
      <c r="F25" s="56"/>
      <c r="G25" s="56">
        <f t="shared" si="0"/>
        <v>268.33000000000004</v>
      </c>
      <c r="H25" s="47"/>
      <c r="I25" s="56">
        <f>100+150</f>
        <v>250</v>
      </c>
      <c r="J25" s="56"/>
      <c r="K25" s="79">
        <f t="array" ref="K25">SUM(IF(data_2019!$B$2:$B$148="Feb",IF(data_2019!$F$2:$F$148=$B25,data_2019!$E$2:$E$148)))</f>
        <v>482.40999999999997</v>
      </c>
      <c r="L25" s="56"/>
      <c r="M25" s="56">
        <f t="shared" si="1"/>
        <v>232.40999999999997</v>
      </c>
      <c r="N25" s="47"/>
      <c r="O25" s="86">
        <f>100+300+250+N("Aventura Eye bill due in March during follow-up exam in Weston")</f>
        <v>650</v>
      </c>
      <c r="P25" s="56"/>
      <c r="Q25" s="56">
        <v>0</v>
      </c>
      <c r="R25" s="56"/>
      <c r="S25" s="56">
        <f t="shared" si="2"/>
        <v>-650</v>
      </c>
      <c r="T25" s="47"/>
      <c r="U25" s="86">
        <f>100+300</f>
        <v>400</v>
      </c>
      <c r="V25" s="56"/>
      <c r="W25" s="56">
        <v>0</v>
      </c>
      <c r="X25" s="56"/>
      <c r="Y25" s="56">
        <f t="shared" si="3"/>
        <v>-400</v>
      </c>
      <c r="Z25" s="47"/>
      <c r="AA25" s="56">
        <v>100</v>
      </c>
      <c r="AB25" s="56"/>
      <c r="AC25" s="56">
        <v>0</v>
      </c>
      <c r="AD25" s="56"/>
      <c r="AE25" s="56">
        <f t="shared" si="4"/>
        <v>-100</v>
      </c>
      <c r="AF25" s="47"/>
      <c r="AG25" s="56">
        <v>100</v>
      </c>
      <c r="AH25" s="56"/>
      <c r="AI25" s="56">
        <v>0</v>
      </c>
      <c r="AJ25" s="56"/>
      <c r="AK25" s="56">
        <f t="shared" si="5"/>
        <v>-100</v>
      </c>
      <c r="AL25" s="47"/>
      <c r="AM25" s="56">
        <v>100</v>
      </c>
      <c r="AN25" s="56"/>
      <c r="AO25" s="56">
        <v>0</v>
      </c>
      <c r="AP25" s="56"/>
      <c r="AQ25" s="56">
        <f t="shared" si="6"/>
        <v>-100</v>
      </c>
      <c r="AR25" s="47"/>
      <c r="AS25" s="56">
        <v>100</v>
      </c>
      <c r="AT25" s="56"/>
      <c r="AU25" s="56">
        <v>0</v>
      </c>
      <c r="AV25" s="56"/>
      <c r="AW25" s="56">
        <f t="shared" si="7"/>
        <v>-100</v>
      </c>
      <c r="AX25" s="47"/>
      <c r="AY25" s="56">
        <v>100</v>
      </c>
      <c r="AZ25" s="56"/>
      <c r="BA25" s="56">
        <v>0</v>
      </c>
      <c r="BB25" s="56"/>
      <c r="BC25" s="56">
        <f t="shared" si="8"/>
        <v>-100</v>
      </c>
      <c r="BD25" s="47"/>
      <c r="BE25" s="56">
        <v>100</v>
      </c>
      <c r="BF25" s="56"/>
      <c r="BG25" s="56">
        <v>0</v>
      </c>
      <c r="BH25" s="56"/>
      <c r="BI25" s="56">
        <f t="shared" si="9"/>
        <v>-100</v>
      </c>
      <c r="BJ25" s="47"/>
      <c r="BK25" s="56">
        <v>100</v>
      </c>
      <c r="BL25" s="56"/>
      <c r="BM25" s="56">
        <v>0</v>
      </c>
      <c r="BN25" s="56"/>
      <c r="BO25" s="56">
        <f t="shared" si="10"/>
        <v>-100</v>
      </c>
      <c r="BP25" s="47"/>
      <c r="BQ25" s="56">
        <v>100</v>
      </c>
      <c r="BR25" s="56"/>
      <c r="BS25" s="56">
        <v>0</v>
      </c>
      <c r="BT25" s="56"/>
      <c r="BU25" s="56">
        <f t="shared" si="11"/>
        <v>-100</v>
      </c>
      <c r="BV25" s="47"/>
      <c r="BW25" s="56">
        <f t="shared" si="12"/>
        <v>1200</v>
      </c>
      <c r="BX25" s="56"/>
      <c r="BY25" s="56">
        <f t="shared" si="13"/>
        <v>1050.74</v>
      </c>
      <c r="BZ25" s="56"/>
      <c r="CA25" s="56">
        <f t="shared" si="14"/>
        <v>-149.26</v>
      </c>
      <c r="CB25" s="47"/>
      <c r="CC25" s="56">
        <f t="shared" si="15"/>
        <v>2400</v>
      </c>
      <c r="CD25" s="56"/>
      <c r="CE25" s="56">
        <f t="shared" si="16"/>
        <v>1050.74</v>
      </c>
      <c r="CF25" s="56"/>
      <c r="CG25" s="56">
        <f t="shared" si="17"/>
        <v>-1349.26</v>
      </c>
    </row>
    <row r="26" spans="2:88" x14ac:dyDescent="0.25">
      <c r="B26" s="55" t="s">
        <v>737</v>
      </c>
      <c r="C26" s="56">
        <v>0</v>
      </c>
      <c r="D26" s="56"/>
      <c r="E26" s="56">
        <f t="array" ref="E26">SUM(IF(data_2019!$B$2:$B$261="Jan",IF(data_2019!$F$2:$F$261=$B26,data_2019!$E$2:$E$261)))</f>
        <v>0</v>
      </c>
      <c r="F26" s="56"/>
      <c r="G26" s="56">
        <f>E26-C26</f>
        <v>0</v>
      </c>
      <c r="H26" s="47"/>
      <c r="I26" s="56">
        <v>0</v>
      </c>
      <c r="J26" s="56"/>
      <c r="K26" s="79">
        <f t="array" ref="K26">SUM(IF(data_2019!$B$2:$B$148="Feb",IF(data_2019!$F$2:$F$148=$B26,data_2019!$E$2:$E$148)))</f>
        <v>2186.36</v>
      </c>
      <c r="L26" s="56"/>
      <c r="M26" s="56">
        <f>K26-I26</f>
        <v>2186.36</v>
      </c>
      <c r="N26" s="47"/>
      <c r="O26" s="56">
        <v>0</v>
      </c>
      <c r="P26" s="56"/>
      <c r="Q26" s="56">
        <v>0</v>
      </c>
      <c r="R26" s="56"/>
      <c r="S26" s="56">
        <f>Q26-O26</f>
        <v>0</v>
      </c>
      <c r="T26" s="47"/>
      <c r="U26" s="56">
        <v>0</v>
      </c>
      <c r="V26" s="56"/>
      <c r="W26" s="56">
        <v>0</v>
      </c>
      <c r="X26" s="56"/>
      <c r="Y26" s="56">
        <f>W26-U26</f>
        <v>0</v>
      </c>
      <c r="Z26" s="47"/>
      <c r="AA26" s="56">
        <v>0</v>
      </c>
      <c r="AB26" s="56"/>
      <c r="AC26" s="56">
        <v>0</v>
      </c>
      <c r="AD26" s="56"/>
      <c r="AE26" s="56">
        <f>AC26-AA26</f>
        <v>0</v>
      </c>
      <c r="AF26" s="47"/>
      <c r="AG26" s="56">
        <v>0</v>
      </c>
      <c r="AH26" s="56"/>
      <c r="AI26" s="56">
        <v>0</v>
      </c>
      <c r="AJ26" s="56"/>
      <c r="AK26" s="56">
        <f>AI26-AG26</f>
        <v>0</v>
      </c>
      <c r="AL26" s="47"/>
      <c r="AM26" s="56">
        <v>0</v>
      </c>
      <c r="AN26" s="56"/>
      <c r="AO26" s="56">
        <v>0</v>
      </c>
      <c r="AP26" s="56"/>
      <c r="AQ26" s="56">
        <f>AO26-AM26</f>
        <v>0</v>
      </c>
      <c r="AR26" s="47"/>
      <c r="AS26" s="56">
        <v>0</v>
      </c>
      <c r="AT26" s="56"/>
      <c r="AU26" s="56">
        <v>0</v>
      </c>
      <c r="AV26" s="56"/>
      <c r="AW26" s="56">
        <f>AU26-AS26</f>
        <v>0</v>
      </c>
      <c r="AX26" s="47"/>
      <c r="AY26" s="56">
        <v>0</v>
      </c>
      <c r="AZ26" s="56"/>
      <c r="BA26" s="56">
        <v>0</v>
      </c>
      <c r="BB26" s="56"/>
      <c r="BC26" s="56">
        <f>BA26-AY26</f>
        <v>0</v>
      </c>
      <c r="BD26" s="47"/>
      <c r="BE26" s="56">
        <v>0</v>
      </c>
      <c r="BF26" s="56"/>
      <c r="BG26" s="56">
        <v>0</v>
      </c>
      <c r="BH26" s="56"/>
      <c r="BI26" s="56">
        <f>BG26-BE26</f>
        <v>0</v>
      </c>
      <c r="BJ26" s="47"/>
      <c r="BK26" s="56">
        <v>0</v>
      </c>
      <c r="BL26" s="56"/>
      <c r="BM26" s="56">
        <v>0</v>
      </c>
      <c r="BN26" s="56"/>
      <c r="BO26" s="56">
        <f>BM26-BK26</f>
        <v>0</v>
      </c>
      <c r="BP26" s="47"/>
      <c r="BQ26" s="56">
        <v>0</v>
      </c>
      <c r="BR26" s="56"/>
      <c r="BS26" s="56">
        <v>0</v>
      </c>
      <c r="BT26" s="56"/>
      <c r="BU26" s="56">
        <f>BS26-BQ26</f>
        <v>0</v>
      </c>
      <c r="BV26" s="47"/>
      <c r="BW26" s="56">
        <f>CHOOSE($CK$7,C26,(C26+I26),(C26+I26+O26),(C26+I26+O26+U26),(C26+I26+O26+U26+AA26),(C26+I26+O26+U26++AG26),(C26+I26+O26+U26+AA26+AG26+AM26),(C26+I26+O26+U26+AA26+AG26+AM26+AS26),(C26+I26+O26+U26+AA26+AG26+AM26+AS26+AY26),(C26+I26+O26+U26+AA26+AG26+AM26+AS26+AY26+BE26),(C26+I26+O26+U26+AA26+AG26+AM26+AS26+AY26+BE26+BK26),(C26+I26+O26+U26+AA26+AG26+AM26+AS26+AY26+BE26+BK26+BQ26))</f>
        <v>0</v>
      </c>
      <c r="BX26" s="56"/>
      <c r="BY26" s="56">
        <f>CHOOSE($CK$7,E26,(E26+K26),(E26+K26+Q26),(E26+K26+Q26+W26),(E26+K26+Q26+W26+AC26),(E26+K26+Q26+W26++AI26),(E26+K26+Q26+W26+AC26+AI26+AO26),(E26+K26+Q26+W26+AC26+AI26+AO26+AU26),(E26+K26+Q26+W26+AC26+AI26+AO26+AU26+BA26),(E26+K26+Q26+W26+AC26+AI26+AO26+AU26+BA26+BG26),(E26+K26+Q26+W26+AC26+AI26+AO26+AU26+BA26+BG26+BM26),(E26+K26+Q26+W26+AC26+AI26+AO26+AU26+BA26+BG26+BM26+BS26))</f>
        <v>2186.36</v>
      </c>
      <c r="BZ26" s="56"/>
      <c r="CA26" s="56">
        <f>BY26-BW26</f>
        <v>2186.36</v>
      </c>
      <c r="CB26" s="47"/>
      <c r="CC26" s="56">
        <f>C26+I26+O26+U26+AA26+AG26+AM26+AS26+AY26+BE26+BK26+BQ26</f>
        <v>0</v>
      </c>
      <c r="CD26" s="56"/>
      <c r="CE26" s="56">
        <f>E26+K26+Q26+W26+AC26+AI26+AO26+AU26+BA26+BG26+BM26+BS26</f>
        <v>2186.36</v>
      </c>
      <c r="CF26" s="56"/>
      <c r="CG26" s="56">
        <f>CE26-CC26</f>
        <v>2186.36</v>
      </c>
    </row>
    <row r="27" spans="2:88" x14ac:dyDescent="0.25">
      <c r="B27" s="55" t="s">
        <v>755</v>
      </c>
      <c r="C27" s="56">
        <v>0</v>
      </c>
      <c r="D27" s="56"/>
      <c r="E27" s="56">
        <f t="array" ref="E27">SUM(IF(data_2019!$B$2:$B$261="Jan",IF(data_2019!$F$2:$F$261=$B27,data_2019!$E$2:$E$261)))</f>
        <v>128.97</v>
      </c>
      <c r="F27" s="56"/>
      <c r="G27" s="56">
        <f>E27-C27</f>
        <v>128.97</v>
      </c>
      <c r="H27" s="47"/>
      <c r="I27" s="56">
        <v>0</v>
      </c>
      <c r="J27" s="56"/>
      <c r="K27" s="56">
        <f t="array" ref="K27">SUM(IF(data_2019!$B$2:$B$148="Feb",IF(data_2019!$F$2:$F$148=$B27,data_2019!$E$2:$E$148)))</f>
        <v>49.33</v>
      </c>
      <c r="L27" s="56"/>
      <c r="M27" s="56">
        <f>K27-I27</f>
        <v>49.33</v>
      </c>
      <c r="N27" s="47"/>
      <c r="O27" s="56">
        <v>0</v>
      </c>
      <c r="P27" s="56"/>
      <c r="Q27" s="56">
        <v>0</v>
      </c>
      <c r="R27" s="56"/>
      <c r="S27" s="56">
        <f>Q27-O27</f>
        <v>0</v>
      </c>
      <c r="T27" s="47"/>
      <c r="U27" s="56">
        <v>0</v>
      </c>
      <c r="V27" s="56"/>
      <c r="W27" s="56">
        <v>0</v>
      </c>
      <c r="X27" s="56"/>
      <c r="Y27" s="56">
        <f>W27-U27</f>
        <v>0</v>
      </c>
      <c r="Z27" s="47"/>
      <c r="AA27" s="56">
        <v>0</v>
      </c>
      <c r="AB27" s="56"/>
      <c r="AC27" s="56">
        <v>0</v>
      </c>
      <c r="AD27" s="56"/>
      <c r="AE27" s="56">
        <f>AC27-AA27</f>
        <v>0</v>
      </c>
      <c r="AF27" s="47"/>
      <c r="AG27" s="56">
        <v>0</v>
      </c>
      <c r="AH27" s="56"/>
      <c r="AI27" s="56">
        <v>0</v>
      </c>
      <c r="AJ27" s="56"/>
      <c r="AK27" s="56">
        <f>AI27-AG27</f>
        <v>0</v>
      </c>
      <c r="AL27" s="47"/>
      <c r="AM27" s="56">
        <v>0</v>
      </c>
      <c r="AN27" s="56"/>
      <c r="AO27" s="56">
        <v>0</v>
      </c>
      <c r="AP27" s="56"/>
      <c r="AQ27" s="56">
        <f>AO27-AM27</f>
        <v>0</v>
      </c>
      <c r="AR27" s="47"/>
      <c r="AS27" s="56">
        <v>0</v>
      </c>
      <c r="AT27" s="56"/>
      <c r="AU27" s="56">
        <v>0</v>
      </c>
      <c r="AV27" s="56"/>
      <c r="AW27" s="56">
        <f>AU27-AS27</f>
        <v>0</v>
      </c>
      <c r="AX27" s="47"/>
      <c r="AY27" s="56">
        <v>0</v>
      </c>
      <c r="AZ27" s="56"/>
      <c r="BA27" s="56">
        <v>0</v>
      </c>
      <c r="BB27" s="56"/>
      <c r="BC27" s="56">
        <f>BA27-AY27</f>
        <v>0</v>
      </c>
      <c r="BD27" s="47"/>
      <c r="BE27" s="56">
        <v>0</v>
      </c>
      <c r="BF27" s="56"/>
      <c r="BG27" s="56">
        <v>0</v>
      </c>
      <c r="BH27" s="56"/>
      <c r="BI27" s="56">
        <f>BG27-BE27</f>
        <v>0</v>
      </c>
      <c r="BJ27" s="47"/>
      <c r="BK27" s="56">
        <v>0</v>
      </c>
      <c r="BL27" s="56"/>
      <c r="BM27" s="56">
        <v>0</v>
      </c>
      <c r="BN27" s="56"/>
      <c r="BO27" s="56">
        <f>BM27-BK27</f>
        <v>0</v>
      </c>
      <c r="BP27" s="47"/>
      <c r="BQ27" s="56">
        <v>0</v>
      </c>
      <c r="BR27" s="56"/>
      <c r="BS27" s="56">
        <v>0</v>
      </c>
      <c r="BT27" s="56"/>
      <c r="BU27" s="56">
        <f>BS27-BQ27</f>
        <v>0</v>
      </c>
      <c r="BV27" s="47"/>
      <c r="BW27" s="56">
        <f>CHOOSE($CK$7,C27,(C27+I27),(C27+I27+O27),(C27+I27+O27+U27),(C27+I27+O27+U27+AA27),(C27+I27+O27+U27++AG27),(C27+I27+O27+U27+AA27+AG27+AM27),(C27+I27+O27+U27+AA27+AG27+AM27+AS27),(C27+I27+O27+U27+AA27+AG27+AM27+AS27+AY27),(C27+I27+O27+U27+AA27+AG27+AM27+AS27+AY27+BE27),(C27+I27+O27+U27+AA27+AG27+AM27+AS27+AY27+BE27+BK27),(C27+I27+O27+U27+AA27+AG27+AM27+AS27+AY27+BE27+BK27+BQ27))</f>
        <v>0</v>
      </c>
      <c r="BX27" s="56"/>
      <c r="BY27" s="56">
        <f>CHOOSE($CK$7,E27,(E27+K27),(E27+K27+Q27),(E27+K27+Q27+W27),(E27+K27+Q27+W27+AC27),(E27+K27+Q27+W27++AI27),(E27+K27+Q27+W27+AC27+AI27+AO27),(E27+K27+Q27+W27+AC27+AI27+AO27+AU27),(E27+K27+Q27+W27+AC27+AI27+AO27+AU27+BA27),(E27+K27+Q27+W27+AC27+AI27+AO27+AU27+BA27+BG27),(E27+K27+Q27+W27+AC27+AI27+AO27+AU27+BA27+BG27+BM27),(E27+K27+Q27+W27+AC27+AI27+AO27+AU27+BA27+BG27+BM27+BS27))</f>
        <v>178.3</v>
      </c>
      <c r="BZ27" s="56"/>
      <c r="CA27" s="56">
        <f>BY27-BW27</f>
        <v>178.3</v>
      </c>
      <c r="CB27" s="47"/>
      <c r="CC27" s="56">
        <f>C27+I27+O27+U27+AA27+AG27+AM27+AS27+AY27+BE27+BK27+BQ27</f>
        <v>0</v>
      </c>
      <c r="CD27" s="56"/>
      <c r="CE27" s="56">
        <f>E27+K27+Q27+W27+AC27+AI27+AO27+AU27+BA27+BG27+BM27+BS27</f>
        <v>178.3</v>
      </c>
      <c r="CF27" s="56"/>
      <c r="CG27" s="56">
        <f>CE27-CC27</f>
        <v>178.3</v>
      </c>
    </row>
    <row r="28" spans="2:88" x14ac:dyDescent="0.25">
      <c r="B28" s="55" t="s">
        <v>21</v>
      </c>
      <c r="C28" s="56">
        <v>100</v>
      </c>
      <c r="D28" s="56"/>
      <c r="E28" s="56">
        <f t="array" ref="E28">SUM(IF(data_2019!$B$2:$B$261="Jan",IF(data_2019!$F$2:$F$261=$B28,data_2019!$E$2:$E$261)))</f>
        <v>251.59</v>
      </c>
      <c r="F28" s="56"/>
      <c r="G28" s="56">
        <f t="shared" si="0"/>
        <v>151.59</v>
      </c>
      <c r="H28" s="47"/>
      <c r="I28" s="56">
        <v>100</v>
      </c>
      <c r="J28" s="56"/>
      <c r="K28" s="56">
        <f t="array" ref="K28">SUM(IF(data_2019!$B$2:$B$148="Feb",IF(data_2019!$F$2:$F$148=$B28,data_2019!$E$2:$E$148)))</f>
        <v>108.38000000000001</v>
      </c>
      <c r="L28" s="56"/>
      <c r="M28" s="56">
        <f t="shared" si="1"/>
        <v>8.3800000000000097</v>
      </c>
      <c r="N28" s="47"/>
      <c r="O28" s="56">
        <v>100</v>
      </c>
      <c r="P28" s="56"/>
      <c r="Q28" s="56">
        <v>0</v>
      </c>
      <c r="R28" s="56"/>
      <c r="S28" s="56">
        <f t="shared" si="2"/>
        <v>-100</v>
      </c>
      <c r="T28" s="47"/>
      <c r="U28" s="56">
        <v>100</v>
      </c>
      <c r="V28" s="56"/>
      <c r="W28" s="56">
        <v>0</v>
      </c>
      <c r="X28" s="56"/>
      <c r="Y28" s="56">
        <f t="shared" si="3"/>
        <v>-100</v>
      </c>
      <c r="Z28" s="47"/>
      <c r="AA28" s="56">
        <v>100</v>
      </c>
      <c r="AB28" s="56"/>
      <c r="AC28" s="56">
        <v>0</v>
      </c>
      <c r="AD28" s="56"/>
      <c r="AE28" s="56">
        <f t="shared" si="4"/>
        <v>-100</v>
      </c>
      <c r="AF28" s="47"/>
      <c r="AG28" s="56">
        <v>100</v>
      </c>
      <c r="AH28" s="56"/>
      <c r="AI28" s="56">
        <v>0</v>
      </c>
      <c r="AJ28" s="56"/>
      <c r="AK28" s="56">
        <f t="shared" si="5"/>
        <v>-100</v>
      </c>
      <c r="AL28" s="47"/>
      <c r="AM28" s="56">
        <v>100</v>
      </c>
      <c r="AN28" s="56"/>
      <c r="AO28" s="56">
        <v>0</v>
      </c>
      <c r="AP28" s="56"/>
      <c r="AQ28" s="56">
        <f t="shared" si="6"/>
        <v>-100</v>
      </c>
      <c r="AR28" s="47"/>
      <c r="AS28" s="56">
        <v>100</v>
      </c>
      <c r="AT28" s="56"/>
      <c r="AU28" s="56">
        <v>0</v>
      </c>
      <c r="AV28" s="56"/>
      <c r="AW28" s="56">
        <f t="shared" si="7"/>
        <v>-100</v>
      </c>
      <c r="AX28" s="47"/>
      <c r="AY28" s="56">
        <v>100</v>
      </c>
      <c r="AZ28" s="56"/>
      <c r="BA28" s="56">
        <v>0</v>
      </c>
      <c r="BB28" s="56"/>
      <c r="BC28" s="56">
        <f t="shared" si="8"/>
        <v>-100</v>
      </c>
      <c r="BD28" s="47"/>
      <c r="BE28" s="56">
        <v>100</v>
      </c>
      <c r="BF28" s="56"/>
      <c r="BG28" s="56">
        <v>0</v>
      </c>
      <c r="BH28" s="56"/>
      <c r="BI28" s="56">
        <f t="shared" si="9"/>
        <v>-100</v>
      </c>
      <c r="BJ28" s="47"/>
      <c r="BK28" s="56">
        <v>100</v>
      </c>
      <c r="BL28" s="56"/>
      <c r="BM28" s="56">
        <v>0</v>
      </c>
      <c r="BN28" s="56"/>
      <c r="BO28" s="56">
        <f t="shared" si="10"/>
        <v>-100</v>
      </c>
      <c r="BP28" s="47"/>
      <c r="BQ28" s="56">
        <v>100</v>
      </c>
      <c r="BR28" s="56"/>
      <c r="BS28" s="56">
        <v>0</v>
      </c>
      <c r="BT28" s="56"/>
      <c r="BU28" s="56">
        <f t="shared" si="11"/>
        <v>-100</v>
      </c>
      <c r="BV28" s="47"/>
      <c r="BW28" s="56">
        <f t="shared" si="12"/>
        <v>300</v>
      </c>
      <c r="BX28" s="56"/>
      <c r="BY28" s="56">
        <f t="shared" si="13"/>
        <v>359.97</v>
      </c>
      <c r="BZ28" s="56"/>
      <c r="CA28" s="56">
        <f t="shared" si="14"/>
        <v>59.970000000000027</v>
      </c>
      <c r="CB28" s="47"/>
      <c r="CC28" s="56">
        <f t="shared" si="15"/>
        <v>1200</v>
      </c>
      <c r="CD28" s="56"/>
      <c r="CE28" s="56">
        <f t="shared" si="16"/>
        <v>359.97</v>
      </c>
      <c r="CF28" s="56"/>
      <c r="CG28" s="56">
        <f t="shared" si="17"/>
        <v>-840.03</v>
      </c>
    </row>
    <row r="29" spans="2:88" x14ac:dyDescent="0.25">
      <c r="B29" s="55" t="s">
        <v>22</v>
      </c>
      <c r="C29" s="56">
        <v>300</v>
      </c>
      <c r="D29" s="56"/>
      <c r="E29" s="56">
        <f t="array" ref="E29">SUM(IF(data_2019!$B$2:$B$261="Jan",IF(data_2019!$F$2:$F$261=$B29,data_2019!$E$2:$E$261)))</f>
        <v>0</v>
      </c>
      <c r="F29" s="56"/>
      <c r="G29" s="56">
        <f t="shared" si="0"/>
        <v>-300</v>
      </c>
      <c r="H29" s="47"/>
      <c r="I29" s="56">
        <v>300</v>
      </c>
      <c r="J29" s="56"/>
      <c r="K29" s="56">
        <f t="array" ref="K29">SUM(IF(data_2019!$B$2:$B$148="Feb",IF(data_2019!$F$2:$F$148=$B29,data_2019!$E$2:$E$148)))</f>
        <v>0</v>
      </c>
      <c r="L29" s="56"/>
      <c r="M29" s="56">
        <f t="shared" si="1"/>
        <v>-300</v>
      </c>
      <c r="N29" s="47"/>
      <c r="O29" s="56">
        <v>300</v>
      </c>
      <c r="P29" s="56"/>
      <c r="Q29" s="56">
        <v>0</v>
      </c>
      <c r="R29" s="56"/>
      <c r="S29" s="56">
        <f t="shared" si="2"/>
        <v>-300</v>
      </c>
      <c r="T29" s="47"/>
      <c r="U29" s="56">
        <v>300</v>
      </c>
      <c r="V29" s="56"/>
      <c r="W29" s="56">
        <v>0</v>
      </c>
      <c r="X29" s="56"/>
      <c r="Y29" s="56">
        <f t="shared" si="3"/>
        <v>-300</v>
      </c>
      <c r="Z29" s="47"/>
      <c r="AA29" s="56">
        <v>300</v>
      </c>
      <c r="AB29" s="56"/>
      <c r="AC29" s="56">
        <v>0</v>
      </c>
      <c r="AD29" s="56"/>
      <c r="AE29" s="56">
        <f t="shared" si="4"/>
        <v>-300</v>
      </c>
      <c r="AF29" s="47"/>
      <c r="AG29" s="56">
        <v>300</v>
      </c>
      <c r="AH29" s="56"/>
      <c r="AI29" s="56">
        <v>0</v>
      </c>
      <c r="AJ29" s="56"/>
      <c r="AK29" s="56">
        <f t="shared" si="5"/>
        <v>-300</v>
      </c>
      <c r="AL29" s="47"/>
      <c r="AM29" s="56">
        <v>300</v>
      </c>
      <c r="AN29" s="56"/>
      <c r="AO29" s="56">
        <v>0</v>
      </c>
      <c r="AP29" s="56"/>
      <c r="AQ29" s="56">
        <f t="shared" si="6"/>
        <v>-300</v>
      </c>
      <c r="AR29" s="47"/>
      <c r="AS29" s="56">
        <v>300</v>
      </c>
      <c r="AT29" s="56"/>
      <c r="AU29" s="56">
        <v>0</v>
      </c>
      <c r="AV29" s="56"/>
      <c r="AW29" s="56">
        <f t="shared" si="7"/>
        <v>-300</v>
      </c>
      <c r="AX29" s="47"/>
      <c r="AY29" s="56">
        <v>300</v>
      </c>
      <c r="AZ29" s="56"/>
      <c r="BA29" s="56">
        <v>0</v>
      </c>
      <c r="BB29" s="56"/>
      <c r="BC29" s="56">
        <f t="shared" si="8"/>
        <v>-300</v>
      </c>
      <c r="BD29" s="47"/>
      <c r="BE29" s="56">
        <v>300</v>
      </c>
      <c r="BF29" s="56"/>
      <c r="BG29" s="56">
        <v>0</v>
      </c>
      <c r="BH29" s="56"/>
      <c r="BI29" s="56">
        <f t="shared" si="9"/>
        <v>-300</v>
      </c>
      <c r="BJ29" s="47"/>
      <c r="BK29" s="56">
        <v>300</v>
      </c>
      <c r="BL29" s="56"/>
      <c r="BM29" s="56">
        <v>0</v>
      </c>
      <c r="BN29" s="56"/>
      <c r="BO29" s="56">
        <f t="shared" si="10"/>
        <v>-300</v>
      </c>
      <c r="BP29" s="47"/>
      <c r="BQ29" s="56">
        <v>300</v>
      </c>
      <c r="BR29" s="56"/>
      <c r="BS29" s="56">
        <v>0</v>
      </c>
      <c r="BT29" s="56"/>
      <c r="BU29" s="56">
        <f t="shared" si="11"/>
        <v>-300</v>
      </c>
      <c r="BV29" s="47"/>
      <c r="BW29" s="56">
        <f t="shared" si="12"/>
        <v>900</v>
      </c>
      <c r="BX29" s="56"/>
      <c r="BY29" s="56">
        <f t="shared" si="13"/>
        <v>0</v>
      </c>
      <c r="BZ29" s="56"/>
      <c r="CA29" s="56">
        <f t="shared" si="14"/>
        <v>-900</v>
      </c>
      <c r="CB29" s="47"/>
      <c r="CC29" s="56">
        <f t="shared" si="15"/>
        <v>3600</v>
      </c>
      <c r="CD29" s="56"/>
      <c r="CE29" s="56">
        <f t="shared" si="16"/>
        <v>0</v>
      </c>
      <c r="CF29" s="56"/>
      <c r="CG29" s="56">
        <f t="shared" si="17"/>
        <v>-3600</v>
      </c>
    </row>
    <row r="30" spans="2:88" x14ac:dyDescent="0.25">
      <c r="B30" s="55" t="s">
        <v>23</v>
      </c>
      <c r="C30" s="56">
        <v>200</v>
      </c>
      <c r="D30" s="56"/>
      <c r="E30" s="56">
        <f t="array" ref="E30">SUM(IF(data_2019!$B$2:$B$261="Jan",IF(data_2019!$F$2:$F$261=$B30,data_2019!$E$2:$E$261)))</f>
        <v>0</v>
      </c>
      <c r="F30" s="56"/>
      <c r="G30" s="56">
        <f t="shared" si="0"/>
        <v>-200</v>
      </c>
      <c r="H30" s="47"/>
      <c r="I30" s="56">
        <v>200</v>
      </c>
      <c r="J30" s="56"/>
      <c r="K30" s="56">
        <f t="array" ref="K30">SUM(IF(data_2019!$B$2:$B$148="Feb",IF(data_2019!$F$2:$F$148=$B30,data_2019!$E$2:$E$148)))</f>
        <v>0</v>
      </c>
      <c r="L30" s="56"/>
      <c r="M30" s="56">
        <f t="shared" si="1"/>
        <v>-200</v>
      </c>
      <c r="N30" s="47"/>
      <c r="O30" s="56">
        <v>200</v>
      </c>
      <c r="P30" s="56"/>
      <c r="Q30" s="56">
        <v>0</v>
      </c>
      <c r="R30" s="56"/>
      <c r="S30" s="56">
        <f t="shared" si="2"/>
        <v>-200</v>
      </c>
      <c r="T30" s="47"/>
      <c r="U30" s="56">
        <v>200</v>
      </c>
      <c r="V30" s="56"/>
      <c r="W30" s="56">
        <v>0</v>
      </c>
      <c r="X30" s="56"/>
      <c r="Y30" s="56">
        <f t="shared" si="3"/>
        <v>-200</v>
      </c>
      <c r="Z30" s="47"/>
      <c r="AA30" s="56">
        <v>200</v>
      </c>
      <c r="AB30" s="56"/>
      <c r="AC30" s="56">
        <v>0</v>
      </c>
      <c r="AD30" s="56"/>
      <c r="AE30" s="56">
        <f t="shared" si="4"/>
        <v>-200</v>
      </c>
      <c r="AF30" s="47"/>
      <c r="AG30" s="56">
        <v>200</v>
      </c>
      <c r="AH30" s="56"/>
      <c r="AI30" s="56">
        <v>0</v>
      </c>
      <c r="AJ30" s="56"/>
      <c r="AK30" s="56">
        <f t="shared" si="5"/>
        <v>-200</v>
      </c>
      <c r="AL30" s="47"/>
      <c r="AM30" s="56">
        <v>200</v>
      </c>
      <c r="AN30" s="56"/>
      <c r="AO30" s="56">
        <v>0</v>
      </c>
      <c r="AP30" s="56"/>
      <c r="AQ30" s="56">
        <f t="shared" si="6"/>
        <v>-200</v>
      </c>
      <c r="AR30" s="47"/>
      <c r="AS30" s="56">
        <v>200</v>
      </c>
      <c r="AT30" s="56"/>
      <c r="AU30" s="56">
        <v>0</v>
      </c>
      <c r="AV30" s="56"/>
      <c r="AW30" s="56">
        <f t="shared" si="7"/>
        <v>-200</v>
      </c>
      <c r="AX30" s="47"/>
      <c r="AY30" s="56">
        <v>200</v>
      </c>
      <c r="AZ30" s="56"/>
      <c r="BA30" s="56">
        <v>0</v>
      </c>
      <c r="BB30" s="56"/>
      <c r="BC30" s="56">
        <f t="shared" si="8"/>
        <v>-200</v>
      </c>
      <c r="BD30" s="47"/>
      <c r="BE30" s="56">
        <v>200</v>
      </c>
      <c r="BF30" s="56"/>
      <c r="BG30" s="56">
        <v>0</v>
      </c>
      <c r="BH30" s="56"/>
      <c r="BI30" s="56">
        <f t="shared" si="9"/>
        <v>-200</v>
      </c>
      <c r="BJ30" s="47"/>
      <c r="BK30" s="56">
        <v>200</v>
      </c>
      <c r="BL30" s="56"/>
      <c r="BM30" s="56">
        <v>0</v>
      </c>
      <c r="BN30" s="56"/>
      <c r="BO30" s="56">
        <f t="shared" si="10"/>
        <v>-200</v>
      </c>
      <c r="BP30" s="47"/>
      <c r="BQ30" s="56">
        <v>200</v>
      </c>
      <c r="BR30" s="56"/>
      <c r="BS30" s="56">
        <v>0</v>
      </c>
      <c r="BT30" s="56"/>
      <c r="BU30" s="56">
        <f t="shared" si="11"/>
        <v>-200</v>
      </c>
      <c r="BV30" s="47"/>
      <c r="BW30" s="56">
        <f t="shared" si="12"/>
        <v>600</v>
      </c>
      <c r="BX30" s="56"/>
      <c r="BY30" s="56">
        <f t="shared" si="13"/>
        <v>0</v>
      </c>
      <c r="BZ30" s="56"/>
      <c r="CA30" s="56">
        <f t="shared" si="14"/>
        <v>-600</v>
      </c>
      <c r="CB30" s="47"/>
      <c r="CC30" s="56">
        <f t="shared" si="15"/>
        <v>2400</v>
      </c>
      <c r="CD30" s="56"/>
      <c r="CE30" s="56">
        <f t="shared" si="16"/>
        <v>0</v>
      </c>
      <c r="CF30" s="56"/>
      <c r="CG30" s="56">
        <f t="shared" si="17"/>
        <v>-2400</v>
      </c>
    </row>
    <row r="31" spans="2:88" x14ac:dyDescent="0.25">
      <c r="B31" s="55" t="s">
        <v>138</v>
      </c>
      <c r="C31" s="56">
        <v>21.39</v>
      </c>
      <c r="D31" s="56"/>
      <c r="E31" s="56">
        <f t="array" ref="E31">SUM(IF(data_2019!$B$2:$B$261="Jan",IF(data_2019!$F$2:$F$261=$B31,data_2019!$E$2:$E$261)))</f>
        <v>21.39</v>
      </c>
      <c r="F31" s="56"/>
      <c r="G31" s="56">
        <f t="shared" si="0"/>
        <v>0</v>
      </c>
      <c r="H31" s="47"/>
      <c r="I31" s="56">
        <v>21.39</v>
      </c>
      <c r="J31" s="56"/>
      <c r="K31" s="56">
        <f t="array" ref="K31">SUM(IF(data_2019!$B$2:$B$148="Feb",IF(data_2019!$F$2:$F$148=$B31,data_2019!$E$2:$E$148)))</f>
        <v>106.97</v>
      </c>
      <c r="L31" s="56"/>
      <c r="M31" s="56">
        <f t="shared" si="1"/>
        <v>85.58</v>
      </c>
      <c r="N31" s="47"/>
      <c r="O31" s="56">
        <v>21.39</v>
      </c>
      <c r="P31" s="56"/>
      <c r="Q31" s="57">
        <v>21.39</v>
      </c>
      <c r="R31" s="56"/>
      <c r="S31" s="56">
        <f t="shared" si="2"/>
        <v>0</v>
      </c>
      <c r="T31" s="47"/>
      <c r="U31" s="56">
        <v>21.39</v>
      </c>
      <c r="V31" s="56"/>
      <c r="W31" s="57">
        <v>21.39</v>
      </c>
      <c r="X31" s="56"/>
      <c r="Y31" s="56">
        <f t="shared" si="3"/>
        <v>0</v>
      </c>
      <c r="Z31" s="47"/>
      <c r="AA31" s="56">
        <v>21.39</v>
      </c>
      <c r="AB31" s="56"/>
      <c r="AC31" s="57">
        <v>21.39</v>
      </c>
      <c r="AD31" s="56"/>
      <c r="AE31" s="56">
        <f t="shared" si="4"/>
        <v>0</v>
      </c>
      <c r="AF31" s="47"/>
      <c r="AG31" s="56">
        <v>21.39</v>
      </c>
      <c r="AH31" s="56"/>
      <c r="AI31" s="57">
        <v>21.39</v>
      </c>
      <c r="AJ31" s="56"/>
      <c r="AK31" s="56">
        <f t="shared" si="5"/>
        <v>0</v>
      </c>
      <c r="AL31" s="47"/>
      <c r="AM31" s="56">
        <v>21.39</v>
      </c>
      <c r="AN31" s="56"/>
      <c r="AO31" s="57">
        <v>21.39</v>
      </c>
      <c r="AP31" s="56"/>
      <c r="AQ31" s="56">
        <f t="shared" si="6"/>
        <v>0</v>
      </c>
      <c r="AR31" s="47"/>
      <c r="AS31" s="56">
        <v>21.39</v>
      </c>
      <c r="AT31" s="56"/>
      <c r="AU31" s="57">
        <v>21.39</v>
      </c>
      <c r="AV31" s="56"/>
      <c r="AW31" s="56">
        <f t="shared" si="7"/>
        <v>0</v>
      </c>
      <c r="AX31" s="47"/>
      <c r="AY31" s="56">
        <v>21.39</v>
      </c>
      <c r="AZ31" s="56"/>
      <c r="BA31" s="57">
        <v>21.39</v>
      </c>
      <c r="BB31" s="56"/>
      <c r="BC31" s="56">
        <f t="shared" si="8"/>
        <v>0</v>
      </c>
      <c r="BD31" s="47"/>
      <c r="BE31" s="56">
        <v>21.39</v>
      </c>
      <c r="BF31" s="56"/>
      <c r="BG31" s="57">
        <v>21.39</v>
      </c>
      <c r="BH31" s="56"/>
      <c r="BI31" s="56">
        <f t="shared" si="9"/>
        <v>0</v>
      </c>
      <c r="BJ31" s="47"/>
      <c r="BK31" s="56">
        <v>21.39</v>
      </c>
      <c r="BL31" s="56"/>
      <c r="BM31" s="57">
        <v>21.39</v>
      </c>
      <c r="BN31" s="56"/>
      <c r="BO31" s="56">
        <f t="shared" si="10"/>
        <v>0</v>
      </c>
      <c r="BP31" s="47"/>
      <c r="BQ31" s="56">
        <v>21.39</v>
      </c>
      <c r="BR31" s="56"/>
      <c r="BS31" s="57">
        <v>21.39</v>
      </c>
      <c r="BT31" s="56"/>
      <c r="BU31" s="56">
        <f t="shared" si="11"/>
        <v>0</v>
      </c>
      <c r="BV31" s="47"/>
      <c r="BW31" s="56">
        <f t="shared" si="12"/>
        <v>64.17</v>
      </c>
      <c r="BX31" s="56"/>
      <c r="BY31" s="56">
        <f t="shared" si="13"/>
        <v>149.75</v>
      </c>
      <c r="BZ31" s="56"/>
      <c r="CA31" s="56">
        <f t="shared" si="14"/>
        <v>85.58</v>
      </c>
      <c r="CB31" s="47"/>
      <c r="CC31" s="56">
        <f t="shared" si="15"/>
        <v>256.67999999999995</v>
      </c>
      <c r="CD31" s="56"/>
      <c r="CE31" s="56">
        <f t="shared" si="16"/>
        <v>342.25999999999988</v>
      </c>
      <c r="CF31" s="56"/>
      <c r="CG31" s="56">
        <f t="shared" si="17"/>
        <v>85.579999999999927</v>
      </c>
    </row>
    <row r="32" spans="2:88" x14ac:dyDescent="0.25">
      <c r="B32" s="55" t="s">
        <v>329</v>
      </c>
      <c r="C32" s="56">
        <v>60</v>
      </c>
      <c r="D32" s="56"/>
      <c r="E32" s="56">
        <f t="array" ref="E32">SUM(IF(data_2019!$B$2:$B$261="Jan",IF(data_2019!$F$2:$F$261=$B32,data_2019!$E$2:$E$261)))</f>
        <v>40.4</v>
      </c>
      <c r="F32" s="56"/>
      <c r="G32" s="56">
        <f t="shared" si="0"/>
        <v>-19.600000000000001</v>
      </c>
      <c r="H32" s="47"/>
      <c r="I32" s="56">
        <v>60</v>
      </c>
      <c r="J32" s="56"/>
      <c r="K32" s="56">
        <f t="array" ref="K32">SUM(IF(data_2019!$B$2:$B$148="Feb",IF(data_2019!$F$2:$F$148=$B32,data_2019!$E$2:$E$148)))</f>
        <v>40.950000000000003</v>
      </c>
      <c r="L32" s="56"/>
      <c r="M32" s="56">
        <f t="shared" si="1"/>
        <v>-19.049999999999997</v>
      </c>
      <c r="N32" s="47"/>
      <c r="O32" s="56">
        <v>60</v>
      </c>
      <c r="P32" s="56"/>
      <c r="Q32" s="57">
        <v>60</v>
      </c>
      <c r="R32" s="56"/>
      <c r="S32" s="56">
        <f t="shared" si="2"/>
        <v>0</v>
      </c>
      <c r="T32" s="47"/>
      <c r="U32" s="56">
        <v>60</v>
      </c>
      <c r="V32" s="56"/>
      <c r="W32" s="57">
        <v>60</v>
      </c>
      <c r="X32" s="56"/>
      <c r="Y32" s="56">
        <f t="shared" si="3"/>
        <v>0</v>
      </c>
      <c r="Z32" s="47"/>
      <c r="AA32" s="56">
        <v>60</v>
      </c>
      <c r="AB32" s="47"/>
      <c r="AC32" s="57">
        <v>60</v>
      </c>
      <c r="AD32" s="56"/>
      <c r="AE32" s="56">
        <f t="shared" si="4"/>
        <v>0</v>
      </c>
      <c r="AF32" s="47"/>
      <c r="AG32" s="56">
        <v>60</v>
      </c>
      <c r="AH32" s="56"/>
      <c r="AI32" s="57">
        <v>60</v>
      </c>
      <c r="AJ32" s="56"/>
      <c r="AK32" s="56">
        <f t="shared" si="5"/>
        <v>0</v>
      </c>
      <c r="AL32" s="47"/>
      <c r="AM32" s="56">
        <v>60</v>
      </c>
      <c r="AN32" s="56"/>
      <c r="AO32" s="57">
        <v>60</v>
      </c>
      <c r="AP32" s="56"/>
      <c r="AQ32" s="56">
        <f t="shared" si="6"/>
        <v>0</v>
      </c>
      <c r="AR32" s="47"/>
      <c r="AS32" s="56">
        <v>60</v>
      </c>
      <c r="AT32" s="56"/>
      <c r="AU32" s="57">
        <v>60</v>
      </c>
      <c r="AV32" s="56"/>
      <c r="AW32" s="56">
        <f t="shared" si="7"/>
        <v>0</v>
      </c>
      <c r="AX32" s="47"/>
      <c r="AY32" s="56">
        <v>60</v>
      </c>
      <c r="AZ32" s="56"/>
      <c r="BA32" s="57">
        <v>60</v>
      </c>
      <c r="BB32" s="56"/>
      <c r="BC32" s="56">
        <f t="shared" si="8"/>
        <v>0</v>
      </c>
      <c r="BD32" s="47"/>
      <c r="BE32" s="56">
        <v>60</v>
      </c>
      <c r="BF32" s="56"/>
      <c r="BG32" s="57">
        <v>60</v>
      </c>
      <c r="BH32" s="56"/>
      <c r="BI32" s="56">
        <f t="shared" si="9"/>
        <v>0</v>
      </c>
      <c r="BJ32" s="47"/>
      <c r="BK32" s="56">
        <v>60</v>
      </c>
      <c r="BL32" s="56"/>
      <c r="BM32" s="57">
        <v>60</v>
      </c>
      <c r="BN32" s="56"/>
      <c r="BO32" s="56">
        <f t="shared" si="10"/>
        <v>0</v>
      </c>
      <c r="BP32" s="47"/>
      <c r="BQ32" s="56">
        <v>60</v>
      </c>
      <c r="BR32" s="56"/>
      <c r="BS32" s="57">
        <v>60</v>
      </c>
      <c r="BT32" s="56"/>
      <c r="BU32" s="56">
        <f t="shared" si="11"/>
        <v>0</v>
      </c>
      <c r="BV32" s="47"/>
      <c r="BW32" s="56">
        <f t="shared" si="12"/>
        <v>180</v>
      </c>
      <c r="BX32" s="56"/>
      <c r="BY32" s="56">
        <f t="shared" si="13"/>
        <v>141.35</v>
      </c>
      <c r="BZ32" s="56"/>
      <c r="CA32" s="56">
        <f t="shared" si="14"/>
        <v>-38.650000000000006</v>
      </c>
      <c r="CB32" s="47"/>
      <c r="CC32" s="56">
        <f t="shared" si="15"/>
        <v>720</v>
      </c>
      <c r="CD32" s="56"/>
      <c r="CE32" s="56">
        <f t="shared" si="16"/>
        <v>681.35</v>
      </c>
      <c r="CF32" s="56"/>
      <c r="CG32" s="56">
        <f t="shared" si="17"/>
        <v>-38.649999999999977</v>
      </c>
    </row>
    <row r="33" spans="1:85" x14ac:dyDescent="0.25">
      <c r="B33" s="55" t="s">
        <v>333</v>
      </c>
      <c r="C33" s="56">
        <v>39.06</v>
      </c>
      <c r="D33" s="56"/>
      <c r="E33" s="56">
        <f t="array" ref="E33">SUM(IF(data_2019!$B$2:$B$261="Jan",IF(data_2019!$F$2:$F$261=$B33,data_2019!$E$2:$E$261)))</f>
        <v>39.06</v>
      </c>
      <c r="F33" s="56"/>
      <c r="G33" s="56">
        <f t="shared" si="0"/>
        <v>0</v>
      </c>
      <c r="H33" s="47"/>
      <c r="I33" s="56">
        <v>39.06</v>
      </c>
      <c r="J33" s="56"/>
      <c r="K33" s="56">
        <f t="array" ref="K33">SUM(IF(data_2019!$B$2:$B$148="Feb",IF(data_2019!$F$2:$F$148=$B33,data_2019!$E$2:$E$148)))</f>
        <v>78.12</v>
      </c>
      <c r="L33" s="56"/>
      <c r="M33" s="56">
        <f t="shared" si="1"/>
        <v>39.06</v>
      </c>
      <c r="N33" s="47"/>
      <c r="O33" s="56">
        <v>39.06</v>
      </c>
      <c r="P33" s="56"/>
      <c r="Q33" s="57">
        <v>39.06</v>
      </c>
      <c r="R33" s="56"/>
      <c r="S33" s="56">
        <f t="shared" si="2"/>
        <v>0</v>
      </c>
      <c r="T33" s="47"/>
      <c r="U33" s="56">
        <v>39.06</v>
      </c>
      <c r="V33" s="56"/>
      <c r="W33" s="57">
        <v>39.06</v>
      </c>
      <c r="X33" s="56"/>
      <c r="Y33" s="56">
        <f t="shared" si="3"/>
        <v>0</v>
      </c>
      <c r="Z33" s="47"/>
      <c r="AA33" s="56">
        <v>39.06</v>
      </c>
      <c r="AB33" s="47"/>
      <c r="AC33" s="57">
        <v>39.06</v>
      </c>
      <c r="AD33" s="56"/>
      <c r="AE33" s="56">
        <f t="shared" si="4"/>
        <v>0</v>
      </c>
      <c r="AF33" s="47"/>
      <c r="AG33" s="56">
        <v>39.06</v>
      </c>
      <c r="AH33" s="56"/>
      <c r="AI33" s="57">
        <v>39.06</v>
      </c>
      <c r="AJ33" s="56"/>
      <c r="AK33" s="56">
        <f t="shared" si="5"/>
        <v>0</v>
      </c>
      <c r="AL33" s="47"/>
      <c r="AM33" s="56">
        <v>39.06</v>
      </c>
      <c r="AN33" s="56"/>
      <c r="AO33" s="57">
        <v>39.06</v>
      </c>
      <c r="AP33" s="56"/>
      <c r="AQ33" s="56">
        <f t="shared" si="6"/>
        <v>0</v>
      </c>
      <c r="AR33" s="47"/>
      <c r="AS33" s="56">
        <v>39.06</v>
      </c>
      <c r="AT33" s="56"/>
      <c r="AU33" s="57">
        <v>39.06</v>
      </c>
      <c r="AV33" s="56"/>
      <c r="AW33" s="56">
        <f t="shared" si="7"/>
        <v>0</v>
      </c>
      <c r="AX33" s="47"/>
      <c r="AY33" s="56">
        <v>39.06</v>
      </c>
      <c r="AZ33" s="56"/>
      <c r="BA33" s="57">
        <v>39.06</v>
      </c>
      <c r="BB33" s="56"/>
      <c r="BC33" s="56">
        <f t="shared" si="8"/>
        <v>0</v>
      </c>
      <c r="BD33" s="47"/>
      <c r="BE33" s="56">
        <v>39.06</v>
      </c>
      <c r="BF33" s="56"/>
      <c r="BG33" s="57">
        <v>39.06</v>
      </c>
      <c r="BH33" s="56"/>
      <c r="BI33" s="56">
        <f t="shared" si="9"/>
        <v>0</v>
      </c>
      <c r="BJ33" s="47"/>
      <c r="BK33" s="56">
        <v>39.06</v>
      </c>
      <c r="BL33" s="56"/>
      <c r="BM33" s="57">
        <v>39.06</v>
      </c>
      <c r="BN33" s="56"/>
      <c r="BO33" s="56">
        <f t="shared" si="10"/>
        <v>0</v>
      </c>
      <c r="BP33" s="47"/>
      <c r="BQ33" s="56">
        <v>39.06</v>
      </c>
      <c r="BR33" s="56"/>
      <c r="BS33" s="57">
        <v>39.06</v>
      </c>
      <c r="BT33" s="56"/>
      <c r="BU33" s="56">
        <f t="shared" si="11"/>
        <v>0</v>
      </c>
      <c r="BV33" s="47"/>
      <c r="BW33" s="56">
        <f t="shared" si="12"/>
        <v>117.18</v>
      </c>
      <c r="BX33" s="56"/>
      <c r="BY33" s="56">
        <f t="shared" si="13"/>
        <v>156.24</v>
      </c>
      <c r="BZ33" s="56"/>
      <c r="CA33" s="56">
        <f t="shared" si="14"/>
        <v>39.06</v>
      </c>
      <c r="CB33" s="47"/>
      <c r="CC33" s="56">
        <f t="shared" si="15"/>
        <v>468.72</v>
      </c>
      <c r="CD33" s="56"/>
      <c r="CE33" s="56">
        <f t="shared" si="16"/>
        <v>507.78000000000003</v>
      </c>
      <c r="CF33" s="56"/>
      <c r="CG33" s="56">
        <f t="shared" si="17"/>
        <v>39.06</v>
      </c>
    </row>
    <row r="34" spans="1:85" x14ac:dyDescent="0.25">
      <c r="B34" s="55" t="s">
        <v>506</v>
      </c>
      <c r="C34" s="56">
        <v>65</v>
      </c>
      <c r="D34" s="56"/>
      <c r="E34" s="56">
        <f t="array" ref="E34">SUM(IF(data_2019!$B$2:$B$261="Jan",IF(data_2019!$F$2:$F$261=$B34,data_2019!$E$2:$E$261)))</f>
        <v>65</v>
      </c>
      <c r="F34" s="56"/>
      <c r="G34" s="56">
        <f t="shared" si="0"/>
        <v>0</v>
      </c>
      <c r="H34" s="47"/>
      <c r="I34" s="56">
        <v>65</v>
      </c>
      <c r="J34" s="56"/>
      <c r="K34" s="56">
        <f t="array" ref="K34">SUM(IF(data_2019!$B$2:$B$148="Feb",IF(data_2019!$F$2:$F$148=$B34,data_2019!$E$2:$E$148)))</f>
        <v>65</v>
      </c>
      <c r="L34" s="56"/>
      <c r="M34" s="56">
        <f t="shared" si="1"/>
        <v>0</v>
      </c>
      <c r="N34" s="47"/>
      <c r="O34" s="56">
        <v>65</v>
      </c>
      <c r="P34" s="56"/>
      <c r="Q34" s="57">
        <v>65</v>
      </c>
      <c r="R34" s="56"/>
      <c r="S34" s="56">
        <f t="shared" si="2"/>
        <v>0</v>
      </c>
      <c r="T34" s="47"/>
      <c r="U34" s="56">
        <v>65</v>
      </c>
      <c r="V34" s="56"/>
      <c r="W34" s="57">
        <v>65</v>
      </c>
      <c r="X34" s="56"/>
      <c r="Y34" s="56">
        <f t="shared" si="3"/>
        <v>0</v>
      </c>
      <c r="Z34" s="47"/>
      <c r="AA34" s="56">
        <v>65</v>
      </c>
      <c r="AB34" s="47"/>
      <c r="AC34" s="57">
        <v>65</v>
      </c>
      <c r="AD34" s="56"/>
      <c r="AE34" s="56">
        <f t="shared" si="4"/>
        <v>0</v>
      </c>
      <c r="AF34" s="47"/>
      <c r="AG34" s="56">
        <v>65</v>
      </c>
      <c r="AH34" s="56"/>
      <c r="AI34" s="57">
        <v>65</v>
      </c>
      <c r="AJ34" s="56"/>
      <c r="AK34" s="56">
        <f t="shared" si="5"/>
        <v>0</v>
      </c>
      <c r="AL34" s="47"/>
      <c r="AM34" s="56">
        <v>65</v>
      </c>
      <c r="AN34" s="56"/>
      <c r="AO34" s="57">
        <v>65</v>
      </c>
      <c r="AP34" s="56"/>
      <c r="AQ34" s="56">
        <f t="shared" si="6"/>
        <v>0</v>
      </c>
      <c r="AR34" s="47"/>
      <c r="AS34" s="56">
        <v>65</v>
      </c>
      <c r="AT34" s="56"/>
      <c r="AU34" s="57">
        <v>65</v>
      </c>
      <c r="AV34" s="56"/>
      <c r="AW34" s="56">
        <f t="shared" si="7"/>
        <v>0</v>
      </c>
      <c r="AX34" s="47"/>
      <c r="AY34" s="56">
        <v>0</v>
      </c>
      <c r="AZ34" s="56"/>
      <c r="BA34" s="56">
        <v>0</v>
      </c>
      <c r="BB34" s="56"/>
      <c r="BC34" s="56">
        <f t="shared" si="8"/>
        <v>0</v>
      </c>
      <c r="BD34" s="47"/>
      <c r="BE34" s="56">
        <v>0</v>
      </c>
      <c r="BF34" s="56"/>
      <c r="BG34" s="56">
        <v>0</v>
      </c>
      <c r="BH34" s="56"/>
      <c r="BI34" s="56">
        <f t="shared" si="9"/>
        <v>0</v>
      </c>
      <c r="BJ34" s="47"/>
      <c r="BK34" s="56">
        <v>0</v>
      </c>
      <c r="BL34" s="56"/>
      <c r="BM34" s="56">
        <v>0</v>
      </c>
      <c r="BN34" s="56"/>
      <c r="BO34" s="56">
        <f t="shared" si="10"/>
        <v>0</v>
      </c>
      <c r="BP34" s="47"/>
      <c r="BQ34" s="56">
        <v>0</v>
      </c>
      <c r="BR34" s="56"/>
      <c r="BS34" s="56">
        <v>0</v>
      </c>
      <c r="BT34" s="56"/>
      <c r="BU34" s="56">
        <f t="shared" si="11"/>
        <v>0</v>
      </c>
      <c r="BV34" s="47"/>
      <c r="BW34" s="56">
        <f t="shared" si="12"/>
        <v>195</v>
      </c>
      <c r="BX34" s="56"/>
      <c r="BY34" s="56">
        <f t="shared" si="13"/>
        <v>195</v>
      </c>
      <c r="BZ34" s="56"/>
      <c r="CA34" s="56">
        <f t="shared" si="14"/>
        <v>0</v>
      </c>
      <c r="CB34" s="47"/>
      <c r="CC34" s="56">
        <f t="shared" si="15"/>
        <v>520</v>
      </c>
      <c r="CD34" s="56"/>
      <c r="CE34" s="56">
        <f t="shared" si="16"/>
        <v>520</v>
      </c>
      <c r="CF34" s="56"/>
      <c r="CG34" s="56">
        <f t="shared" si="17"/>
        <v>0</v>
      </c>
    </row>
    <row r="35" spans="1:85" x14ac:dyDescent="0.25">
      <c r="B35" s="55" t="s">
        <v>507</v>
      </c>
      <c r="C35" s="56">
        <v>71.819999999999993</v>
      </c>
      <c r="D35" s="56"/>
      <c r="E35" s="56">
        <f t="array" ref="E35">SUM(IF(data_2019!$B$2:$B$261="Jan",IF(data_2019!$F$2:$F$261=$B35,data_2019!$E$2:$E$261)))</f>
        <v>71.819999999999993</v>
      </c>
      <c r="F35" s="56"/>
      <c r="G35" s="56">
        <f t="shared" si="0"/>
        <v>0</v>
      </c>
      <c r="H35" s="47"/>
      <c r="I35" s="56">
        <v>87.82</v>
      </c>
      <c r="J35" s="56"/>
      <c r="K35" s="56">
        <f t="array" ref="K35">SUM(IF(data_2019!$B$2:$B$148="Feb",IF(data_2019!$F$2:$F$148=$B35,data_2019!$E$2:$E$148)))</f>
        <v>87.82</v>
      </c>
      <c r="L35" s="56"/>
      <c r="M35" s="56">
        <f t="shared" si="1"/>
        <v>0</v>
      </c>
      <c r="N35" s="47"/>
      <c r="O35" s="56">
        <v>87.82</v>
      </c>
      <c r="P35" s="56"/>
      <c r="Q35" s="57">
        <v>87.82</v>
      </c>
      <c r="R35" s="56"/>
      <c r="S35" s="56">
        <f t="shared" si="2"/>
        <v>0</v>
      </c>
      <c r="T35" s="47"/>
      <c r="U35" s="56">
        <v>87.82</v>
      </c>
      <c r="V35" s="56"/>
      <c r="W35" s="57">
        <v>87.82</v>
      </c>
      <c r="X35" s="56"/>
      <c r="Y35" s="56">
        <f t="shared" si="3"/>
        <v>0</v>
      </c>
      <c r="Z35" s="47"/>
      <c r="AA35" s="56">
        <v>87.82</v>
      </c>
      <c r="AB35" s="56"/>
      <c r="AC35" s="57">
        <v>87.82</v>
      </c>
      <c r="AD35" s="56"/>
      <c r="AE35" s="56">
        <f t="shared" si="4"/>
        <v>0</v>
      </c>
      <c r="AF35" s="47"/>
      <c r="AG35" s="56">
        <v>87.82</v>
      </c>
      <c r="AH35" s="56"/>
      <c r="AI35" s="57">
        <v>87.82</v>
      </c>
      <c r="AJ35" s="56"/>
      <c r="AK35" s="56">
        <f t="shared" si="5"/>
        <v>0</v>
      </c>
      <c r="AL35" s="47"/>
      <c r="AM35" s="56">
        <v>87.82</v>
      </c>
      <c r="AN35" s="56"/>
      <c r="AO35" s="57">
        <v>87.82</v>
      </c>
      <c r="AP35" s="56"/>
      <c r="AQ35" s="56">
        <f t="shared" si="6"/>
        <v>0</v>
      </c>
      <c r="AR35" s="47"/>
      <c r="AS35" s="56">
        <v>87.82</v>
      </c>
      <c r="AT35" s="56"/>
      <c r="AU35" s="57">
        <v>87.82</v>
      </c>
      <c r="AV35" s="56"/>
      <c r="AW35" s="56">
        <f t="shared" si="7"/>
        <v>0</v>
      </c>
      <c r="AX35" s="47"/>
      <c r="AY35" s="56">
        <v>87.82</v>
      </c>
      <c r="AZ35" s="56"/>
      <c r="BA35" s="57">
        <v>87.82</v>
      </c>
      <c r="BB35" s="56"/>
      <c r="BC35" s="56">
        <f t="shared" si="8"/>
        <v>0</v>
      </c>
      <c r="BD35" s="47"/>
      <c r="BE35" s="56">
        <v>87.82</v>
      </c>
      <c r="BF35" s="56"/>
      <c r="BG35" s="57">
        <v>87.82</v>
      </c>
      <c r="BH35" s="56"/>
      <c r="BI35" s="56">
        <f t="shared" si="9"/>
        <v>0</v>
      </c>
      <c r="BJ35" s="47"/>
      <c r="BK35" s="56">
        <v>87.82</v>
      </c>
      <c r="BL35" s="56"/>
      <c r="BM35" s="57">
        <v>87.82</v>
      </c>
      <c r="BN35" s="56"/>
      <c r="BO35" s="56">
        <f t="shared" si="10"/>
        <v>0</v>
      </c>
      <c r="BP35" s="47"/>
      <c r="BQ35" s="56">
        <v>87.82</v>
      </c>
      <c r="BR35" s="56"/>
      <c r="BS35" s="57">
        <v>87.82</v>
      </c>
      <c r="BT35" s="56"/>
      <c r="BU35" s="56">
        <f t="shared" si="11"/>
        <v>0</v>
      </c>
      <c r="BV35" s="47"/>
      <c r="BW35" s="56">
        <f t="shared" si="12"/>
        <v>247.45999999999998</v>
      </c>
      <c r="BX35" s="56"/>
      <c r="BY35" s="56">
        <f t="shared" si="13"/>
        <v>247.45999999999998</v>
      </c>
      <c r="BZ35" s="56"/>
      <c r="CA35" s="56">
        <f t="shared" si="14"/>
        <v>0</v>
      </c>
      <c r="CB35" s="47"/>
      <c r="CC35" s="56">
        <f t="shared" si="15"/>
        <v>1037.8399999999997</v>
      </c>
      <c r="CD35" s="56"/>
      <c r="CE35" s="56">
        <f t="shared" si="16"/>
        <v>1037.8399999999997</v>
      </c>
      <c r="CF35" s="56"/>
      <c r="CG35" s="56">
        <f t="shared" si="17"/>
        <v>0</v>
      </c>
    </row>
    <row r="36" spans="1:85" x14ac:dyDescent="0.25">
      <c r="B36" s="55" t="s">
        <v>334</v>
      </c>
      <c r="C36" s="56">
        <v>11.95</v>
      </c>
      <c r="D36" s="56"/>
      <c r="E36" s="56">
        <f t="array" ref="E36">SUM(IF(data_2019!$B$2:$B$261="Jan",IF(data_2019!$F$2:$F$261=$B36,data_2019!$E$2:$E$261)))</f>
        <v>11.95</v>
      </c>
      <c r="F36" s="56"/>
      <c r="G36" s="56">
        <f t="shared" si="0"/>
        <v>0</v>
      </c>
      <c r="H36" s="47"/>
      <c r="I36" s="56">
        <v>11.95</v>
      </c>
      <c r="J36" s="56"/>
      <c r="K36" s="56">
        <f t="array" ref="K36">SUM(IF(data_2019!$B$2:$B$148="Feb",IF(data_2019!$F$2:$F$148=$B36,data_2019!$E$2:$E$148)))</f>
        <v>11.95</v>
      </c>
      <c r="L36" s="56"/>
      <c r="M36" s="56">
        <f t="shared" si="1"/>
        <v>0</v>
      </c>
      <c r="N36" s="47"/>
      <c r="O36" s="56">
        <v>11.95</v>
      </c>
      <c r="P36" s="56"/>
      <c r="Q36" s="57">
        <v>11.95</v>
      </c>
      <c r="R36" s="56"/>
      <c r="S36" s="56">
        <f t="shared" si="2"/>
        <v>0</v>
      </c>
      <c r="T36" s="47"/>
      <c r="U36" s="56">
        <v>11.95</v>
      </c>
      <c r="V36" s="56"/>
      <c r="W36" s="57">
        <v>11.95</v>
      </c>
      <c r="X36" s="56"/>
      <c r="Y36" s="56">
        <f t="shared" si="3"/>
        <v>0</v>
      </c>
      <c r="Z36" s="47"/>
      <c r="AA36" s="56">
        <v>11.95</v>
      </c>
      <c r="AB36" s="47"/>
      <c r="AC36" s="57">
        <v>11.95</v>
      </c>
      <c r="AD36" s="56"/>
      <c r="AE36" s="56">
        <f t="shared" si="4"/>
        <v>0</v>
      </c>
      <c r="AF36" s="47"/>
      <c r="AG36" s="56">
        <v>11.95</v>
      </c>
      <c r="AH36" s="56"/>
      <c r="AI36" s="57">
        <v>11.95</v>
      </c>
      <c r="AJ36" s="56"/>
      <c r="AK36" s="56">
        <f t="shared" si="5"/>
        <v>0</v>
      </c>
      <c r="AL36" s="47"/>
      <c r="AM36" s="56">
        <v>11.95</v>
      </c>
      <c r="AN36" s="56"/>
      <c r="AO36" s="57">
        <v>11.95</v>
      </c>
      <c r="AP36" s="56"/>
      <c r="AQ36" s="56">
        <f t="shared" si="6"/>
        <v>0</v>
      </c>
      <c r="AR36" s="47"/>
      <c r="AS36" s="56">
        <v>11.95</v>
      </c>
      <c r="AT36" s="56"/>
      <c r="AU36" s="57">
        <v>11.95</v>
      </c>
      <c r="AV36" s="56"/>
      <c r="AW36" s="56">
        <f t="shared" si="7"/>
        <v>0</v>
      </c>
      <c r="AX36" s="47"/>
      <c r="AY36" s="56">
        <v>11.95</v>
      </c>
      <c r="AZ36" s="56"/>
      <c r="BA36" s="57">
        <v>11.95</v>
      </c>
      <c r="BB36" s="56"/>
      <c r="BC36" s="56">
        <f t="shared" si="8"/>
        <v>0</v>
      </c>
      <c r="BD36" s="47"/>
      <c r="BE36" s="56">
        <v>11.95</v>
      </c>
      <c r="BF36" s="56"/>
      <c r="BG36" s="57">
        <v>11.95</v>
      </c>
      <c r="BH36" s="56"/>
      <c r="BI36" s="56">
        <f t="shared" si="9"/>
        <v>0</v>
      </c>
      <c r="BJ36" s="47"/>
      <c r="BK36" s="56">
        <v>11.95</v>
      </c>
      <c r="BL36" s="56"/>
      <c r="BM36" s="57">
        <v>11.95</v>
      </c>
      <c r="BN36" s="56"/>
      <c r="BO36" s="56">
        <f t="shared" si="10"/>
        <v>0</v>
      </c>
      <c r="BP36" s="47"/>
      <c r="BQ36" s="56">
        <v>11.95</v>
      </c>
      <c r="BR36" s="56"/>
      <c r="BS36" s="57">
        <v>11.95</v>
      </c>
      <c r="BT36" s="56"/>
      <c r="BU36" s="56">
        <f t="shared" si="11"/>
        <v>0</v>
      </c>
      <c r="BV36" s="47"/>
      <c r="BW36" s="56">
        <f t="shared" si="12"/>
        <v>35.849999999999994</v>
      </c>
      <c r="BX36" s="56"/>
      <c r="BY36" s="56">
        <f t="shared" si="13"/>
        <v>35.849999999999994</v>
      </c>
      <c r="BZ36" s="56"/>
      <c r="CA36" s="56">
        <f t="shared" si="14"/>
        <v>0</v>
      </c>
      <c r="CB36" s="47"/>
      <c r="CC36" s="56">
        <f t="shared" si="15"/>
        <v>143.4</v>
      </c>
      <c r="CD36" s="56"/>
      <c r="CE36" s="56">
        <f t="shared" si="16"/>
        <v>143.4</v>
      </c>
      <c r="CF36" s="56"/>
      <c r="CG36" s="56">
        <f t="shared" si="17"/>
        <v>0</v>
      </c>
    </row>
    <row r="37" spans="1:85" x14ac:dyDescent="0.25">
      <c r="B37" s="55" t="s">
        <v>677</v>
      </c>
      <c r="C37" s="56">
        <v>100</v>
      </c>
      <c r="D37" s="56"/>
      <c r="E37" s="79">
        <f t="array" ref="E37">SUM(IF(data_2019!$B$2:$B$261="Jan",IF(data_2019!$F$2:$F$261=$B37,data_2019!$E$2:$E$261)))</f>
        <v>309.34000000000003</v>
      </c>
      <c r="F37" s="56"/>
      <c r="G37" s="56">
        <f>E37-C37</f>
        <v>209.34000000000003</v>
      </c>
      <c r="H37" s="47"/>
      <c r="I37" s="56">
        <v>100</v>
      </c>
      <c r="J37" s="56"/>
      <c r="K37" s="79">
        <f t="array" ref="K37">SUM(IF(data_2019!$B$2:$B$148="Feb",IF(data_2019!$F$2:$F$148=$B37,data_2019!$E$2:$E$148)))</f>
        <v>702.49</v>
      </c>
      <c r="L37" s="56"/>
      <c r="M37" s="56">
        <f>K37-I37</f>
        <v>602.49</v>
      </c>
      <c r="N37" s="47"/>
      <c r="O37" s="56">
        <v>100</v>
      </c>
      <c r="P37" s="56"/>
      <c r="Q37" s="56">
        <v>100</v>
      </c>
      <c r="R37" s="56"/>
      <c r="S37" s="56">
        <f>Q37-O37</f>
        <v>0</v>
      </c>
      <c r="T37" s="47"/>
      <c r="U37" s="56">
        <v>100</v>
      </c>
      <c r="V37" s="56"/>
      <c r="W37" s="56">
        <v>100</v>
      </c>
      <c r="X37" s="56"/>
      <c r="Y37" s="56">
        <f>W37-U37</f>
        <v>0</v>
      </c>
      <c r="Z37" s="47"/>
      <c r="AA37" s="56">
        <v>100</v>
      </c>
      <c r="AB37" s="56"/>
      <c r="AC37" s="56">
        <v>100</v>
      </c>
      <c r="AD37" s="56"/>
      <c r="AE37" s="56">
        <f>AC37-AA37</f>
        <v>0</v>
      </c>
      <c r="AF37" s="47"/>
      <c r="AG37" s="56">
        <v>100</v>
      </c>
      <c r="AH37" s="56"/>
      <c r="AI37" s="56">
        <v>100</v>
      </c>
      <c r="AJ37" s="56"/>
      <c r="AK37" s="56">
        <f>AI37-AG37</f>
        <v>0</v>
      </c>
      <c r="AL37" s="47"/>
      <c r="AM37" s="56">
        <v>0</v>
      </c>
      <c r="AN37" s="56"/>
      <c r="AO37" s="56">
        <v>0</v>
      </c>
      <c r="AP37" s="56"/>
      <c r="AQ37" s="56">
        <f>AO37-AM37</f>
        <v>0</v>
      </c>
      <c r="AR37" s="47"/>
      <c r="AS37" s="56">
        <v>0</v>
      </c>
      <c r="AT37" s="56"/>
      <c r="AU37" s="56">
        <v>0</v>
      </c>
      <c r="AV37" s="56"/>
      <c r="AW37" s="56">
        <f>AU37-AS37</f>
        <v>0</v>
      </c>
      <c r="AX37" s="47"/>
      <c r="AY37" s="56">
        <v>0</v>
      </c>
      <c r="AZ37" s="56"/>
      <c r="BA37" s="56">
        <v>0</v>
      </c>
      <c r="BB37" s="56"/>
      <c r="BC37" s="56">
        <f>BA37-AY37</f>
        <v>0</v>
      </c>
      <c r="BD37" s="47"/>
      <c r="BE37" s="56">
        <v>0</v>
      </c>
      <c r="BF37" s="56"/>
      <c r="BG37" s="56">
        <v>0</v>
      </c>
      <c r="BH37" s="56"/>
      <c r="BI37" s="56">
        <f>BG37-BE37</f>
        <v>0</v>
      </c>
      <c r="BJ37" s="47"/>
      <c r="BK37" s="56">
        <v>0</v>
      </c>
      <c r="BL37" s="56"/>
      <c r="BM37" s="56">
        <v>0</v>
      </c>
      <c r="BN37" s="56"/>
      <c r="BO37" s="56">
        <f>BM37-BK37</f>
        <v>0</v>
      </c>
      <c r="BP37" s="47"/>
      <c r="BQ37" s="56">
        <v>0</v>
      </c>
      <c r="BR37" s="56"/>
      <c r="BS37" s="56">
        <v>0</v>
      </c>
      <c r="BT37" s="56"/>
      <c r="BU37" s="56">
        <f>BS37-BQ37</f>
        <v>0</v>
      </c>
      <c r="BV37" s="47"/>
      <c r="BW37" s="56">
        <f>CHOOSE($CK$7,C37,(C37+I37),(C37+I37+O37),(C37+I37+O37+U37),(C37+I37+O37+U37+AA37),(C37+I37+O37+U37++AG37),(C37+I37+O37+U37+AA37+AG37+AM37),(C37+I37+O37+U37+AA37+AG37+AM37+AS37),(C37+I37+O37+U37+AA37+AG37+AM37+AS37+AY37),(C37+I37+O37+U37+AA37+AG37+AM37+AS37+AY37+BE37),(C37+I37+O37+U37+AA37+AG37+AM37+AS37+AY37+BE37+BK37),(C37+I37+O37+U37+AA37+AG37+AM37+AS37+AY37+BE37+BK37+BQ37))</f>
        <v>300</v>
      </c>
      <c r="BX37" s="56"/>
      <c r="BY37" s="56">
        <f>CHOOSE($CK$7,E37,(E37+K37),(E37+K37+Q37),(E37+K37+Q37+W37),(E37+K37+Q37+W37+AC37),(E37+K37+Q37+W37++AI37),(E37+K37+Q37+W37+AC37+AI37+AO37),(E37+K37+Q37+W37+AC37+AI37+AO37+AU37),(E37+K37+Q37+W37+AC37+AI37+AO37+AU37+BA37),(E37+K37+Q37+W37+AC37+AI37+AO37+AU37+BA37+BG37),(E37+K37+Q37+W37+AC37+AI37+AO37+AU37+BA37+BG37+BM37),(E37+K37+Q37+W37+AC37+AI37+AO37+AU37+BA37+BG37+BM37+BS37))</f>
        <v>1111.83</v>
      </c>
      <c r="BZ37" s="56"/>
      <c r="CA37" s="56">
        <f>BY37-BW37</f>
        <v>811.82999999999993</v>
      </c>
      <c r="CB37" s="47"/>
      <c r="CC37" s="56">
        <f>C37+I37+O37+U37+AA37+AG37+AM37+AS37+AY37+BE37+BK37+BQ37</f>
        <v>600</v>
      </c>
      <c r="CD37" s="56"/>
      <c r="CE37" s="56">
        <f>E37+K37+Q37+W37+AC37+AI37+AO37+AU37+BA37+BG37+BM37+BS37</f>
        <v>1411.83</v>
      </c>
      <c r="CF37" s="56"/>
      <c r="CG37" s="56">
        <f>CE37-CC37</f>
        <v>811.82999999999993</v>
      </c>
    </row>
    <row r="38" spans="1:85" x14ac:dyDescent="0.25">
      <c r="B38" s="55" t="s">
        <v>202</v>
      </c>
      <c r="C38" s="56">
        <v>0</v>
      </c>
      <c r="D38" s="56"/>
      <c r="E38" s="79">
        <f t="array" ref="E38">SUM(IF(data_2019!$B$2:$B$261="Jan",IF(data_2019!$F$2:$F$261=$B38,data_2019!$E$2:$E$261)))</f>
        <v>183</v>
      </c>
      <c r="F38" s="56"/>
      <c r="G38" s="56">
        <f t="shared" si="0"/>
        <v>183</v>
      </c>
      <c r="H38" s="47"/>
      <c r="I38" s="56">
        <v>0</v>
      </c>
      <c r="J38" s="56"/>
      <c r="K38" s="56">
        <f t="array" ref="K38">SUM(IF(data_2019!$B$2:$B$148="Feb",IF(data_2019!$F$2:$F$148=$B38,data_2019!$E$2:$E$148)))</f>
        <v>140</v>
      </c>
      <c r="L38" s="56"/>
      <c r="M38" s="56">
        <f t="shared" si="1"/>
        <v>140</v>
      </c>
      <c r="N38" s="47"/>
      <c r="O38" s="56">
        <v>0</v>
      </c>
      <c r="P38" s="56"/>
      <c r="Q38" s="56">
        <v>0</v>
      </c>
      <c r="R38" s="56"/>
      <c r="S38" s="56">
        <f t="shared" si="2"/>
        <v>0</v>
      </c>
      <c r="T38" s="47"/>
      <c r="U38" s="56">
        <v>0</v>
      </c>
      <c r="V38" s="56"/>
      <c r="W38" s="56">
        <v>0</v>
      </c>
      <c r="X38" s="56"/>
      <c r="Y38" s="56">
        <f t="shared" si="3"/>
        <v>0</v>
      </c>
      <c r="Z38" s="47"/>
      <c r="AA38" s="56">
        <v>0</v>
      </c>
      <c r="AB38" s="56"/>
      <c r="AC38" s="56">
        <v>0</v>
      </c>
      <c r="AD38" s="56"/>
      <c r="AE38" s="56">
        <f t="shared" si="4"/>
        <v>0</v>
      </c>
      <c r="AF38" s="47"/>
      <c r="AG38" s="56">
        <v>0</v>
      </c>
      <c r="AH38" s="56"/>
      <c r="AI38" s="56">
        <v>0</v>
      </c>
      <c r="AJ38" s="56"/>
      <c r="AK38" s="56">
        <f t="shared" si="5"/>
        <v>0</v>
      </c>
      <c r="AL38" s="47"/>
      <c r="AM38" s="56">
        <v>0</v>
      </c>
      <c r="AN38" s="56"/>
      <c r="AO38" s="56">
        <v>0</v>
      </c>
      <c r="AP38" s="56"/>
      <c r="AQ38" s="56">
        <f t="shared" si="6"/>
        <v>0</v>
      </c>
      <c r="AR38" s="47"/>
      <c r="AS38" s="56">
        <v>0</v>
      </c>
      <c r="AT38" s="56"/>
      <c r="AU38" s="56">
        <v>0</v>
      </c>
      <c r="AV38" s="56"/>
      <c r="AW38" s="56">
        <f t="shared" si="7"/>
        <v>0</v>
      </c>
      <c r="AX38" s="47"/>
      <c r="AY38" s="56">
        <v>0</v>
      </c>
      <c r="AZ38" s="56"/>
      <c r="BA38" s="56">
        <v>0</v>
      </c>
      <c r="BB38" s="56"/>
      <c r="BC38" s="56">
        <f t="shared" si="8"/>
        <v>0</v>
      </c>
      <c r="BD38" s="47"/>
      <c r="BE38" s="56">
        <v>0</v>
      </c>
      <c r="BF38" s="56"/>
      <c r="BG38" s="56">
        <v>0</v>
      </c>
      <c r="BH38" s="56"/>
      <c r="BI38" s="56">
        <f t="shared" si="9"/>
        <v>0</v>
      </c>
      <c r="BJ38" s="47"/>
      <c r="BK38" s="56">
        <v>0</v>
      </c>
      <c r="BL38" s="56"/>
      <c r="BM38" s="56">
        <v>0</v>
      </c>
      <c r="BN38" s="56"/>
      <c r="BO38" s="56">
        <f t="shared" si="10"/>
        <v>0</v>
      </c>
      <c r="BP38" s="47"/>
      <c r="BQ38" s="56">
        <v>0</v>
      </c>
      <c r="BR38" s="56"/>
      <c r="BS38" s="56">
        <v>0</v>
      </c>
      <c r="BT38" s="56"/>
      <c r="BU38" s="56">
        <f t="shared" si="11"/>
        <v>0</v>
      </c>
      <c r="BV38" s="47"/>
      <c r="BW38" s="56">
        <f t="shared" si="12"/>
        <v>0</v>
      </c>
      <c r="BX38" s="56"/>
      <c r="BY38" s="56">
        <f t="shared" si="13"/>
        <v>323</v>
      </c>
      <c r="BZ38" s="56"/>
      <c r="CA38" s="56">
        <f t="shared" si="14"/>
        <v>323</v>
      </c>
      <c r="CB38" s="47"/>
      <c r="CC38" s="56">
        <f t="shared" si="15"/>
        <v>0</v>
      </c>
      <c r="CD38" s="56"/>
      <c r="CE38" s="56">
        <f t="shared" si="16"/>
        <v>323</v>
      </c>
      <c r="CF38" s="56"/>
      <c r="CG38" s="56">
        <f t="shared" si="17"/>
        <v>323</v>
      </c>
    </row>
    <row r="39" spans="1:85" x14ac:dyDescent="0.25">
      <c r="B39" s="55" t="s">
        <v>195</v>
      </c>
      <c r="C39" s="56">
        <v>20</v>
      </c>
      <c r="D39" s="56"/>
      <c r="E39" s="56">
        <f t="array" ref="E39">SUM(IF(data_2019!$B$2:$B$261="Jan",IF(data_2019!$F$2:$F$261=$B39,data_2019!$E$2:$E$261)))</f>
        <v>17.72</v>
      </c>
      <c r="F39" s="56"/>
      <c r="G39" s="56">
        <f t="shared" si="0"/>
        <v>-2.2800000000000011</v>
      </c>
      <c r="H39" s="47"/>
      <c r="I39" s="56">
        <v>20</v>
      </c>
      <c r="J39" s="56"/>
      <c r="K39" s="56">
        <f t="array" ref="K39">SUM(IF(data_2019!$B$2:$B$148="Feb",IF(data_2019!$F$2:$F$148=$B39,data_2019!$E$2:$E$148)))</f>
        <v>31.17</v>
      </c>
      <c r="L39" s="56"/>
      <c r="M39" s="56">
        <f t="shared" si="1"/>
        <v>11.170000000000002</v>
      </c>
      <c r="N39" s="47"/>
      <c r="O39" s="56">
        <v>20</v>
      </c>
      <c r="P39" s="56"/>
      <c r="Q39" s="56">
        <v>0</v>
      </c>
      <c r="R39" s="56"/>
      <c r="S39" s="56">
        <f t="shared" si="2"/>
        <v>-20</v>
      </c>
      <c r="T39" s="47"/>
      <c r="U39" s="56">
        <v>20</v>
      </c>
      <c r="V39" s="56"/>
      <c r="W39" s="56">
        <v>0</v>
      </c>
      <c r="X39" s="56"/>
      <c r="Y39" s="56">
        <f t="shared" si="3"/>
        <v>-20</v>
      </c>
      <c r="Z39" s="47"/>
      <c r="AA39" s="56">
        <v>20</v>
      </c>
      <c r="AB39" s="56"/>
      <c r="AC39" s="56">
        <v>0</v>
      </c>
      <c r="AD39" s="56"/>
      <c r="AE39" s="56">
        <f t="shared" si="4"/>
        <v>-20</v>
      </c>
      <c r="AF39" s="47"/>
      <c r="AG39" s="56">
        <v>20</v>
      </c>
      <c r="AH39" s="56"/>
      <c r="AI39" s="56">
        <v>0</v>
      </c>
      <c r="AJ39" s="56"/>
      <c r="AK39" s="56">
        <f t="shared" si="5"/>
        <v>-20</v>
      </c>
      <c r="AL39" s="47"/>
      <c r="AM39" s="56">
        <v>20</v>
      </c>
      <c r="AN39" s="56"/>
      <c r="AO39" s="56">
        <v>0</v>
      </c>
      <c r="AP39" s="56"/>
      <c r="AQ39" s="56">
        <f t="shared" si="6"/>
        <v>-20</v>
      </c>
      <c r="AR39" s="47"/>
      <c r="AS39" s="56">
        <v>20</v>
      </c>
      <c r="AT39" s="56"/>
      <c r="AU39" s="56">
        <v>0</v>
      </c>
      <c r="AV39" s="56"/>
      <c r="AW39" s="56">
        <f t="shared" si="7"/>
        <v>-20</v>
      </c>
      <c r="AX39" s="47"/>
      <c r="AY39" s="56">
        <v>20</v>
      </c>
      <c r="AZ39" s="56"/>
      <c r="BA39" s="56">
        <v>0</v>
      </c>
      <c r="BB39" s="56"/>
      <c r="BC39" s="56">
        <f t="shared" si="8"/>
        <v>-20</v>
      </c>
      <c r="BD39" s="47"/>
      <c r="BE39" s="56">
        <v>20</v>
      </c>
      <c r="BF39" s="56"/>
      <c r="BG39" s="56">
        <v>0</v>
      </c>
      <c r="BH39" s="56"/>
      <c r="BI39" s="56">
        <f t="shared" si="9"/>
        <v>-20</v>
      </c>
      <c r="BJ39" s="47"/>
      <c r="BK39" s="56">
        <v>20</v>
      </c>
      <c r="BL39" s="56"/>
      <c r="BM39" s="56">
        <v>0</v>
      </c>
      <c r="BN39" s="56"/>
      <c r="BO39" s="56">
        <f t="shared" si="10"/>
        <v>-20</v>
      </c>
      <c r="BP39" s="47"/>
      <c r="BQ39" s="56">
        <v>20</v>
      </c>
      <c r="BR39" s="56"/>
      <c r="BS39" s="56">
        <v>0</v>
      </c>
      <c r="BT39" s="56"/>
      <c r="BU39" s="56">
        <f t="shared" si="11"/>
        <v>-20</v>
      </c>
      <c r="BV39" s="47"/>
      <c r="BW39" s="56">
        <f t="shared" si="12"/>
        <v>60</v>
      </c>
      <c r="BX39" s="56"/>
      <c r="BY39" s="56">
        <f t="shared" si="13"/>
        <v>48.89</v>
      </c>
      <c r="BZ39" s="56"/>
      <c r="CA39" s="56">
        <f t="shared" si="14"/>
        <v>-11.11</v>
      </c>
      <c r="CB39" s="47"/>
      <c r="CC39" s="56">
        <f t="shared" si="15"/>
        <v>240</v>
      </c>
      <c r="CD39" s="56"/>
      <c r="CE39" s="56">
        <f t="shared" si="16"/>
        <v>48.89</v>
      </c>
      <c r="CF39" s="56"/>
      <c r="CG39" s="56">
        <f t="shared" si="17"/>
        <v>-191.11</v>
      </c>
    </row>
    <row r="40" spans="1:85" ht="17.25" x14ac:dyDescent="0.4">
      <c r="B40" t="s">
        <v>194</v>
      </c>
      <c r="C40" s="48">
        <v>0</v>
      </c>
      <c r="D40" s="47"/>
      <c r="E40" s="48">
        <f t="array" ref="E40">SUM(IF(data_2019!$B$2:$B$261="Jan",IF(data_2019!$F$2:$F$261=$B40,data_2019!$E$2:$E$261)))</f>
        <v>92.4</v>
      </c>
      <c r="F40" s="47"/>
      <c r="G40" s="48">
        <f t="shared" si="0"/>
        <v>92.4</v>
      </c>
      <c r="H40" s="47"/>
      <c r="I40" s="48">
        <v>0</v>
      </c>
      <c r="J40" s="47"/>
      <c r="K40" s="48">
        <f t="array" ref="K40">SUM(IF(data_2019!$B$2:$B$148="Feb",IF(data_2019!$F$2:$F$148=$B40,data_2019!$E$2:$E$148)))</f>
        <v>0</v>
      </c>
      <c r="L40" s="47"/>
      <c r="M40" s="48">
        <f t="shared" si="1"/>
        <v>0</v>
      </c>
      <c r="N40" s="47"/>
      <c r="O40" s="48">
        <v>0</v>
      </c>
      <c r="P40" s="47"/>
      <c r="Q40" s="48">
        <v>0</v>
      </c>
      <c r="R40" s="47"/>
      <c r="S40" s="48">
        <f t="shared" si="2"/>
        <v>0</v>
      </c>
      <c r="T40" s="47"/>
      <c r="U40" s="48">
        <v>0</v>
      </c>
      <c r="V40" s="47"/>
      <c r="W40" s="48">
        <v>0</v>
      </c>
      <c r="X40" s="47"/>
      <c r="Y40" s="48">
        <f t="shared" si="3"/>
        <v>0</v>
      </c>
      <c r="Z40" s="47"/>
      <c r="AA40" s="48">
        <v>0</v>
      </c>
      <c r="AB40" s="47"/>
      <c r="AC40" s="48">
        <v>0</v>
      </c>
      <c r="AD40" s="47"/>
      <c r="AE40" s="48">
        <f t="shared" si="4"/>
        <v>0</v>
      </c>
      <c r="AF40" s="47"/>
      <c r="AG40" s="48">
        <v>0</v>
      </c>
      <c r="AH40" s="47"/>
      <c r="AI40" s="48">
        <v>0</v>
      </c>
      <c r="AJ40" s="47"/>
      <c r="AK40" s="48">
        <f t="shared" si="5"/>
        <v>0</v>
      </c>
      <c r="AL40" s="47"/>
      <c r="AM40" s="48">
        <v>0</v>
      </c>
      <c r="AN40" s="47"/>
      <c r="AO40" s="48">
        <v>0</v>
      </c>
      <c r="AP40" s="47"/>
      <c r="AQ40" s="48">
        <f t="shared" si="6"/>
        <v>0</v>
      </c>
      <c r="AR40" s="47"/>
      <c r="AS40" s="48">
        <v>0</v>
      </c>
      <c r="AT40" s="47"/>
      <c r="AU40" s="48">
        <v>0</v>
      </c>
      <c r="AV40" s="47"/>
      <c r="AW40" s="48">
        <f t="shared" si="7"/>
        <v>0</v>
      </c>
      <c r="AX40" s="47"/>
      <c r="AY40" s="48">
        <v>0</v>
      </c>
      <c r="AZ40" s="47"/>
      <c r="BA40" s="48">
        <v>0</v>
      </c>
      <c r="BB40" s="47"/>
      <c r="BC40" s="48">
        <f t="shared" si="8"/>
        <v>0</v>
      </c>
      <c r="BD40" s="47"/>
      <c r="BE40" s="48">
        <v>0</v>
      </c>
      <c r="BF40" s="47"/>
      <c r="BG40" s="48">
        <v>0</v>
      </c>
      <c r="BH40" s="47"/>
      <c r="BI40" s="48">
        <f t="shared" si="9"/>
        <v>0</v>
      </c>
      <c r="BJ40" s="47"/>
      <c r="BK40" s="48">
        <v>0</v>
      </c>
      <c r="BL40" s="47"/>
      <c r="BM40" s="48">
        <v>0</v>
      </c>
      <c r="BN40" s="47"/>
      <c r="BO40" s="48">
        <f t="shared" si="10"/>
        <v>0</v>
      </c>
      <c r="BP40" s="47"/>
      <c r="BQ40" s="48">
        <v>0</v>
      </c>
      <c r="BR40" s="47"/>
      <c r="BS40" s="48">
        <v>0</v>
      </c>
      <c r="BT40" s="47"/>
      <c r="BU40" s="48">
        <f t="shared" si="11"/>
        <v>0</v>
      </c>
      <c r="BV40" s="47"/>
      <c r="BW40" s="48">
        <f t="shared" si="12"/>
        <v>0</v>
      </c>
      <c r="BX40" s="47"/>
      <c r="BY40" s="48">
        <f t="shared" si="13"/>
        <v>92.4</v>
      </c>
      <c r="BZ40" s="47"/>
      <c r="CA40" s="48">
        <f t="shared" si="14"/>
        <v>92.4</v>
      </c>
      <c r="CB40" s="47"/>
      <c r="CC40" s="48">
        <f t="shared" si="15"/>
        <v>0</v>
      </c>
      <c r="CD40" s="47"/>
      <c r="CE40" s="48">
        <f t="shared" si="16"/>
        <v>92.4</v>
      </c>
      <c r="CF40" s="47"/>
      <c r="CG40" s="48">
        <f t="shared" si="17"/>
        <v>92.4</v>
      </c>
    </row>
    <row r="41" spans="1:85" x14ac:dyDescent="0.25">
      <c r="B41" s="4" t="s">
        <v>9</v>
      </c>
      <c r="C41" s="49">
        <f>SUM(C14:C40)</f>
        <v>4688.9100000000008</v>
      </c>
      <c r="D41" s="49"/>
      <c r="E41" s="49">
        <f>SUM(E14:E40)</f>
        <v>5453.89</v>
      </c>
      <c r="F41" s="49"/>
      <c r="G41" s="49">
        <f>SUM(G14:G40)</f>
        <v>764.98000000000013</v>
      </c>
      <c r="H41" s="49"/>
      <c r="I41" s="49">
        <f>SUM(I14:I40)</f>
        <v>4654.9100000000008</v>
      </c>
      <c r="J41" s="49"/>
      <c r="K41" s="49">
        <f>SUM(K14:K40)</f>
        <v>8049.5899999999992</v>
      </c>
      <c r="L41" s="49"/>
      <c r="M41" s="49">
        <f>SUM(M14:M40)</f>
        <v>3394.6800000000003</v>
      </c>
      <c r="N41" s="49"/>
      <c r="O41" s="49">
        <f>SUM(O14:O40)</f>
        <v>5054.9100000000008</v>
      </c>
      <c r="P41" s="49"/>
      <c r="Q41" s="49">
        <f>SUM(Q14:Q40)</f>
        <v>3026.91</v>
      </c>
      <c r="R41" s="49"/>
      <c r="S41" s="49">
        <f>SUM(S14:S40)</f>
        <v>-2028</v>
      </c>
      <c r="T41" s="49"/>
      <c r="U41" s="49">
        <f>SUM(U14:U40)</f>
        <v>4804.9100000000008</v>
      </c>
      <c r="V41" s="49"/>
      <c r="W41" s="49">
        <f>SUM(W14:W40)</f>
        <v>3026.91</v>
      </c>
      <c r="X41" s="49"/>
      <c r="Y41" s="49">
        <f>SUM(Y14:Y40)</f>
        <v>-1778</v>
      </c>
      <c r="Z41" s="49"/>
      <c r="AA41" s="49">
        <f>SUM(AA14:AA40)</f>
        <v>5054.9100000000008</v>
      </c>
      <c r="AB41" s="49"/>
      <c r="AC41" s="49">
        <f>SUM(AC14:AC40)</f>
        <v>3576.91</v>
      </c>
      <c r="AD41" s="49"/>
      <c r="AE41" s="49">
        <f>SUM(AE14:AE40)</f>
        <v>-1478</v>
      </c>
      <c r="AF41" s="49"/>
      <c r="AG41" s="49">
        <f>SUM(AG14:AG40)</f>
        <v>4504.9100000000008</v>
      </c>
      <c r="AH41" s="49"/>
      <c r="AI41" s="49">
        <f>SUM(AI14:AI40)</f>
        <v>3026.91</v>
      </c>
      <c r="AJ41" s="49"/>
      <c r="AK41" s="49">
        <f>SUM(AK14:AK40)</f>
        <v>-1478</v>
      </c>
      <c r="AL41" s="49"/>
      <c r="AM41" s="49">
        <f>SUM(AM14:AM40)</f>
        <v>4404.9100000000008</v>
      </c>
      <c r="AN41" s="49"/>
      <c r="AO41" s="49">
        <f>SUM(AO14:AO40)</f>
        <v>2926.91</v>
      </c>
      <c r="AP41" s="49"/>
      <c r="AQ41" s="49">
        <f>SUM(AQ14:AQ40)</f>
        <v>-1478</v>
      </c>
      <c r="AR41" s="49"/>
      <c r="AS41" s="49">
        <f>SUM(AS14:AS40)</f>
        <v>4404.9100000000008</v>
      </c>
      <c r="AT41" s="49"/>
      <c r="AU41" s="49">
        <f>SUM(AU14:AU40)</f>
        <v>2926.91</v>
      </c>
      <c r="AV41" s="49"/>
      <c r="AW41" s="49">
        <f>SUM(AW14:AW40)</f>
        <v>-1478</v>
      </c>
      <c r="AX41" s="49"/>
      <c r="AY41" s="49">
        <f>SUM(AY14:AY40)</f>
        <v>4339.9100000000008</v>
      </c>
      <c r="AZ41" s="49"/>
      <c r="BA41" s="49">
        <f>SUM(BA14:BA40)</f>
        <v>2861.91</v>
      </c>
      <c r="BB41" s="49"/>
      <c r="BC41" s="49">
        <f>SUM(BC14:BC40)</f>
        <v>-1478</v>
      </c>
      <c r="BD41" s="49"/>
      <c r="BE41" s="49">
        <f>SUM(BE14:BE40)</f>
        <v>4339.9100000000008</v>
      </c>
      <c r="BF41" s="49"/>
      <c r="BG41" s="49">
        <f>SUM(BG14:BG40)</f>
        <v>2861.91</v>
      </c>
      <c r="BH41" s="49"/>
      <c r="BI41" s="49">
        <f>SUM(BI14:BI40)</f>
        <v>-1478</v>
      </c>
      <c r="BJ41" s="49"/>
      <c r="BK41" s="49">
        <f>SUM(BK14:BK40)</f>
        <v>4889.9100000000008</v>
      </c>
      <c r="BL41" s="49"/>
      <c r="BM41" s="49">
        <f>SUM(BM14:BM40)</f>
        <v>3411.91</v>
      </c>
      <c r="BN41" s="49"/>
      <c r="BO41" s="49">
        <f>SUM(BO14:BO40)</f>
        <v>-1478</v>
      </c>
      <c r="BP41" s="49"/>
      <c r="BQ41" s="49">
        <f>SUM(BQ14:BQ40)</f>
        <v>4339.9100000000008</v>
      </c>
      <c r="BR41" s="49"/>
      <c r="BS41" s="49">
        <f>SUM(BS14:BS40)</f>
        <v>2861.91</v>
      </c>
      <c r="BT41" s="49"/>
      <c r="BU41" s="49">
        <f>SUM(BU14:BU40)</f>
        <v>-1478</v>
      </c>
      <c r="BV41" s="49"/>
      <c r="BW41" s="49">
        <f>SUM(BW14:BW40)</f>
        <v>14398.73</v>
      </c>
      <c r="BX41" s="49"/>
      <c r="BY41" s="49">
        <f>SUM(BY14:BY40)</f>
        <v>16530.39</v>
      </c>
      <c r="BZ41" s="49"/>
      <c r="CA41" s="49">
        <f>SUM(CA14:CA40)</f>
        <v>2131.66</v>
      </c>
      <c r="CB41" s="49"/>
      <c r="CC41" s="49">
        <f>SUM(CC14:CC40)</f>
        <v>55482.92</v>
      </c>
      <c r="CD41" s="49"/>
      <c r="CE41" s="49">
        <f>SUM(CE14:CE40)</f>
        <v>44012.58</v>
      </c>
      <c r="CF41" s="49"/>
      <c r="CG41" s="49">
        <f>SUM(CG14:CG40)</f>
        <v>-11470.34</v>
      </c>
    </row>
    <row r="42" spans="1:85" x14ac:dyDescent="0.25"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</row>
    <row r="43" spans="1:85" ht="18" x14ac:dyDescent="0.4">
      <c r="A43" s="59" t="s">
        <v>211</v>
      </c>
      <c r="B43" s="4"/>
      <c r="C43" s="51">
        <f>C11-C41</f>
        <v>3232.2</v>
      </c>
      <c r="D43" s="49"/>
      <c r="E43" s="51">
        <f>E11-E41</f>
        <v>2467.2200000000003</v>
      </c>
      <c r="F43" s="49"/>
      <c r="G43" s="51">
        <f>G11-G41</f>
        <v>-764.98000000000013</v>
      </c>
      <c r="H43" s="49"/>
      <c r="I43" s="51">
        <f>I11-I41</f>
        <v>3266.2</v>
      </c>
      <c r="J43" s="49"/>
      <c r="K43" s="51">
        <f>K11-K41</f>
        <v>-128.47999999999865</v>
      </c>
      <c r="L43" s="49"/>
      <c r="M43" s="51">
        <f>M11-M41</f>
        <v>-3394.6800000000003</v>
      </c>
      <c r="N43" s="49"/>
      <c r="O43" s="51">
        <f>O11-O41</f>
        <v>2866.2</v>
      </c>
      <c r="P43" s="49"/>
      <c r="Q43" s="51">
        <f>Q11-Q41</f>
        <v>4894.2000000000007</v>
      </c>
      <c r="R43" s="49"/>
      <c r="S43" s="51">
        <f>S11-S41</f>
        <v>2028</v>
      </c>
      <c r="T43" s="49"/>
      <c r="U43" s="51">
        <f>U11-U41</f>
        <v>3116.2</v>
      </c>
      <c r="V43" s="49"/>
      <c r="W43" s="51">
        <f>W11-W41</f>
        <v>4894.2000000000007</v>
      </c>
      <c r="X43" s="49"/>
      <c r="Y43" s="51">
        <f>Y11-Y41</f>
        <v>1778</v>
      </c>
      <c r="Z43" s="49"/>
      <c r="AA43" s="51">
        <f>AA11-AA41</f>
        <v>6351.2699999999995</v>
      </c>
      <c r="AB43" s="49"/>
      <c r="AC43" s="51">
        <f>AC11-AC41</f>
        <v>7829.27</v>
      </c>
      <c r="AD43" s="49"/>
      <c r="AE43" s="51">
        <f>AE11-AE41</f>
        <v>1478</v>
      </c>
      <c r="AF43" s="49"/>
      <c r="AG43" s="51">
        <f>AG11-AG41</f>
        <v>3433.79</v>
      </c>
      <c r="AH43" s="49"/>
      <c r="AI43" s="51">
        <f>AI11-AI41</f>
        <v>4911.7900000000009</v>
      </c>
      <c r="AJ43" s="49"/>
      <c r="AK43" s="51">
        <f>AK11-AK41</f>
        <v>1478</v>
      </c>
      <c r="AL43" s="49"/>
      <c r="AM43" s="51">
        <f>AM11-AM41</f>
        <v>3533.79</v>
      </c>
      <c r="AN43" s="49"/>
      <c r="AO43" s="51">
        <f>AO11-AO41</f>
        <v>5011.7900000000009</v>
      </c>
      <c r="AP43" s="49"/>
      <c r="AQ43" s="51">
        <f>AQ11-AQ41</f>
        <v>1478</v>
      </c>
      <c r="AR43" s="49"/>
      <c r="AS43" s="51">
        <f>AS11-AS41</f>
        <v>3533.79</v>
      </c>
      <c r="AT43" s="49"/>
      <c r="AU43" s="51">
        <f>AU11-AU41</f>
        <v>5011.7900000000009</v>
      </c>
      <c r="AV43" s="49"/>
      <c r="AW43" s="51">
        <f>AW11-AW41</f>
        <v>1478</v>
      </c>
      <c r="AX43" s="49"/>
      <c r="AY43" s="51">
        <f>AY11-AY41</f>
        <v>3598.79</v>
      </c>
      <c r="AZ43" s="49"/>
      <c r="BA43" s="51">
        <f>BA11-BA41</f>
        <v>5076.7900000000009</v>
      </c>
      <c r="BB43" s="49"/>
      <c r="BC43" s="51">
        <f>BC11-BC41</f>
        <v>1478</v>
      </c>
      <c r="BD43" s="49"/>
      <c r="BE43" s="51">
        <f>BE11-BE41</f>
        <v>3598.79</v>
      </c>
      <c r="BF43" s="49"/>
      <c r="BG43" s="51">
        <f>BG11-BG41</f>
        <v>5076.7900000000009</v>
      </c>
      <c r="BH43" s="49"/>
      <c r="BI43" s="51">
        <f>BI11-BI41</f>
        <v>1478</v>
      </c>
      <c r="BJ43" s="49"/>
      <c r="BK43" s="51">
        <f>BK11-BK41</f>
        <v>6542.6399999999985</v>
      </c>
      <c r="BL43" s="49"/>
      <c r="BM43" s="51">
        <f>BM11-BM41</f>
        <v>8020.6399999999994</v>
      </c>
      <c r="BN43" s="49"/>
      <c r="BO43" s="51">
        <f>BO11-BO41</f>
        <v>1478</v>
      </c>
      <c r="BP43" s="49"/>
      <c r="BQ43" s="51">
        <f>BQ11-BQ41</f>
        <v>3598.79</v>
      </c>
      <c r="BR43" s="49"/>
      <c r="BS43" s="51">
        <f>BS11-BS41</f>
        <v>5076.7900000000009</v>
      </c>
      <c r="BT43" s="49"/>
      <c r="BU43" s="51">
        <f>BU11-BU41</f>
        <v>1478</v>
      </c>
      <c r="BV43" s="49"/>
      <c r="BW43" s="51">
        <f>BW11-BW41</f>
        <v>9364.6000000000022</v>
      </c>
      <c r="BX43" s="49"/>
      <c r="BY43" s="51">
        <f>BY11-BY41</f>
        <v>7232.9400000000023</v>
      </c>
      <c r="BZ43" s="49"/>
      <c r="CA43" s="51">
        <f>CA11-CA41</f>
        <v>-2131.66</v>
      </c>
      <c r="CB43" s="49"/>
      <c r="CC43" s="51">
        <f>CC11-CC41</f>
        <v>46672.45</v>
      </c>
      <c r="CD43" s="49"/>
      <c r="CE43" s="51">
        <f>CE11-CE41</f>
        <v>58142.789999999994</v>
      </c>
      <c r="CF43" s="49"/>
      <c r="CG43" s="51">
        <f>CG11-CG41</f>
        <v>11470.34</v>
      </c>
    </row>
    <row r="44" spans="1:85" x14ac:dyDescent="0.25"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</row>
    <row r="45" spans="1:85" x14ac:dyDescent="0.25">
      <c r="C45" s="60" t="s">
        <v>213</v>
      </c>
      <c r="D45" s="47"/>
      <c r="E45" s="60" t="s">
        <v>214</v>
      </c>
      <c r="F45" s="47"/>
      <c r="G45" s="60" t="s">
        <v>512</v>
      </c>
      <c r="H45" s="47"/>
      <c r="I45" s="60" t="s">
        <v>213</v>
      </c>
      <c r="J45" s="47"/>
      <c r="K45" s="60" t="s">
        <v>214</v>
      </c>
      <c r="L45" s="47"/>
      <c r="M45" s="60" t="s">
        <v>512</v>
      </c>
      <c r="N45" s="47"/>
      <c r="O45" s="60" t="s">
        <v>213</v>
      </c>
      <c r="P45" s="47"/>
      <c r="Q45" s="60" t="s">
        <v>214</v>
      </c>
      <c r="R45" s="47"/>
      <c r="S45" s="60" t="s">
        <v>512</v>
      </c>
      <c r="T45" s="47"/>
      <c r="U45" s="60" t="s">
        <v>213</v>
      </c>
      <c r="V45" s="47"/>
      <c r="W45" s="60" t="s">
        <v>214</v>
      </c>
      <c r="X45" s="47"/>
      <c r="Y45" s="60" t="s">
        <v>512</v>
      </c>
      <c r="Z45" s="47"/>
      <c r="AA45" s="47"/>
      <c r="AB45" s="47"/>
      <c r="AC45" s="47"/>
      <c r="AD45" s="47"/>
      <c r="AE45" s="60" t="s">
        <v>512</v>
      </c>
      <c r="AF45" s="47"/>
      <c r="AG45" s="60" t="s">
        <v>213</v>
      </c>
      <c r="AH45" s="47"/>
      <c r="AI45" s="60" t="s">
        <v>214</v>
      </c>
      <c r="AJ45" s="47"/>
      <c r="AK45" s="60" t="s">
        <v>512</v>
      </c>
      <c r="AL45" s="47"/>
      <c r="AM45" s="60" t="s">
        <v>213</v>
      </c>
      <c r="AN45" s="47"/>
      <c r="AO45" s="60" t="s">
        <v>214</v>
      </c>
      <c r="AP45" s="47"/>
      <c r="AQ45" s="60" t="s">
        <v>512</v>
      </c>
      <c r="AR45" s="47"/>
      <c r="AS45" s="60" t="s">
        <v>213</v>
      </c>
      <c r="AT45" s="47"/>
      <c r="AU45" s="60" t="s">
        <v>214</v>
      </c>
      <c r="AV45" s="47"/>
      <c r="AW45" s="60" t="s">
        <v>512</v>
      </c>
      <c r="AX45" s="47"/>
      <c r="AY45" s="60" t="s">
        <v>213</v>
      </c>
      <c r="AZ45" s="47"/>
      <c r="BA45" s="60" t="s">
        <v>214</v>
      </c>
      <c r="BB45" s="47"/>
      <c r="BC45" s="60" t="s">
        <v>512</v>
      </c>
      <c r="BD45" s="47"/>
      <c r="BE45" s="60" t="s">
        <v>213</v>
      </c>
      <c r="BF45" s="47"/>
      <c r="BG45" s="60" t="s">
        <v>214</v>
      </c>
      <c r="BH45" s="47"/>
      <c r="BI45" s="60" t="s">
        <v>512</v>
      </c>
      <c r="BJ45" s="47"/>
      <c r="BK45" s="60" t="s">
        <v>213</v>
      </c>
      <c r="BL45" s="47"/>
      <c r="BM45" s="60" t="s">
        <v>214</v>
      </c>
      <c r="BN45" s="47"/>
      <c r="BO45" s="60" t="s">
        <v>512</v>
      </c>
      <c r="BP45" s="47"/>
      <c r="BQ45" s="60" t="s">
        <v>213</v>
      </c>
      <c r="BR45" s="47"/>
      <c r="BS45" s="60" t="s">
        <v>214</v>
      </c>
      <c r="BT45" s="47"/>
      <c r="BU45" s="60" t="s">
        <v>512</v>
      </c>
      <c r="BV45" s="47"/>
      <c r="BW45" s="47"/>
      <c r="BX45" s="47"/>
      <c r="BY45" s="47"/>
      <c r="BZ45" s="47"/>
      <c r="CA45" s="60" t="s">
        <v>512</v>
      </c>
      <c r="CB45" s="47"/>
      <c r="CC45" s="47"/>
      <c r="CD45" s="47"/>
      <c r="CE45" s="47"/>
      <c r="CF45" s="47"/>
      <c r="CG45" s="60" t="s">
        <v>512</v>
      </c>
    </row>
    <row r="46" spans="1:85" x14ac:dyDescent="0.25">
      <c r="A46" s="12" t="s">
        <v>24</v>
      </c>
      <c r="B46" s="13"/>
      <c r="C46" s="123">
        <f>Cash!W58-500</f>
        <v>17514</v>
      </c>
      <c r="D46" s="52"/>
      <c r="E46" s="52">
        <f>C46</f>
        <v>17514</v>
      </c>
      <c r="F46" s="52"/>
      <c r="G46" s="52">
        <f>E46-C46</f>
        <v>0</v>
      </c>
      <c r="H46" s="58"/>
      <c r="I46" s="123">
        <f>C47</f>
        <v>20746.2</v>
      </c>
      <c r="J46" s="52"/>
      <c r="K46" s="52">
        <v>21114</v>
      </c>
      <c r="L46" s="52"/>
      <c r="M46" s="52">
        <f>K46-I46</f>
        <v>367.79999999999927</v>
      </c>
      <c r="N46" s="58"/>
      <c r="O46" s="123">
        <f>I47</f>
        <v>24449.940000000002</v>
      </c>
      <c r="P46" s="52"/>
      <c r="Q46" s="52">
        <f>K47</f>
        <v>21000</v>
      </c>
      <c r="R46" s="52"/>
      <c r="S46" s="52">
        <f>Q46-O46</f>
        <v>-3449.9400000000023</v>
      </c>
      <c r="T46" s="58"/>
      <c r="U46" s="123">
        <f>O47</f>
        <v>27753.680000000004</v>
      </c>
      <c r="V46" s="52"/>
      <c r="W46" s="52">
        <f>Q47</f>
        <v>26331.74</v>
      </c>
      <c r="X46" s="52"/>
      <c r="Y46" s="52">
        <f>W46-U46</f>
        <v>-1421.9400000000023</v>
      </c>
      <c r="Z46" s="58"/>
      <c r="AA46" s="123">
        <f>U47</f>
        <v>31307.420000000006</v>
      </c>
      <c r="AB46" s="52"/>
      <c r="AC46" s="52">
        <f>W47</f>
        <v>31663.480000000003</v>
      </c>
      <c r="AD46" s="52"/>
      <c r="AE46" s="52">
        <f>AC46-AA46</f>
        <v>356.05999999999767</v>
      </c>
      <c r="AF46" s="58"/>
      <c r="AG46" s="123">
        <f>AA47</f>
        <v>38096.230000000003</v>
      </c>
      <c r="AH46" s="52"/>
      <c r="AI46" s="52">
        <f>AC47</f>
        <v>39930.29</v>
      </c>
      <c r="AJ46" s="52"/>
      <c r="AK46" s="52">
        <f>AI46-AG46</f>
        <v>1834.0599999999977</v>
      </c>
      <c r="AL46" s="58"/>
      <c r="AM46" s="123">
        <f>AG47</f>
        <v>41967.560000000005</v>
      </c>
      <c r="AN46" s="52"/>
      <c r="AO46" s="52">
        <f>AI47</f>
        <v>45279.62</v>
      </c>
      <c r="AP46" s="52"/>
      <c r="AQ46" s="52">
        <f>AO46-AM46</f>
        <v>3312.0599999999977</v>
      </c>
      <c r="AR46" s="58"/>
      <c r="AS46" s="123">
        <f>AM47</f>
        <v>45938.890000000007</v>
      </c>
      <c r="AT46" s="52"/>
      <c r="AU46" s="52">
        <f>AO47</f>
        <v>50728.950000000004</v>
      </c>
      <c r="AV46" s="52"/>
      <c r="AW46" s="52">
        <f>AU46-AS46</f>
        <v>4790.0599999999977</v>
      </c>
      <c r="AX46" s="58"/>
      <c r="AY46" s="123">
        <f>AS47</f>
        <v>49910.220000000008</v>
      </c>
      <c r="AZ46" s="52"/>
      <c r="BA46" s="52">
        <f>AU47</f>
        <v>56178.280000000006</v>
      </c>
      <c r="BB46" s="52"/>
      <c r="BC46" s="52">
        <f>BA46-AY46</f>
        <v>6268.0599999999977</v>
      </c>
      <c r="BD46" s="58"/>
      <c r="BE46" s="123">
        <f>AY47</f>
        <v>53946.55000000001</v>
      </c>
      <c r="BF46" s="52"/>
      <c r="BG46" s="52">
        <f>BA47</f>
        <v>61692.610000000008</v>
      </c>
      <c r="BH46" s="52"/>
      <c r="BI46" s="52">
        <f>BG46-BE46</f>
        <v>7746.0599999999977</v>
      </c>
      <c r="BJ46" s="58"/>
      <c r="BK46" s="123">
        <f>BE47</f>
        <v>57982.880000000012</v>
      </c>
      <c r="BL46" s="52"/>
      <c r="BM46" s="52">
        <f>BG47</f>
        <v>67206.94</v>
      </c>
      <c r="BN46" s="52"/>
      <c r="BO46" s="52">
        <f>BM46-BK46</f>
        <v>9224.0599999999904</v>
      </c>
      <c r="BP46" s="58"/>
      <c r="BQ46" s="123">
        <f>BK47</f>
        <v>64963.060000000012</v>
      </c>
      <c r="BR46" s="52"/>
      <c r="BS46" s="52">
        <f>BM47</f>
        <v>75665.119999999995</v>
      </c>
      <c r="BT46" s="52"/>
      <c r="BU46" s="52">
        <f>BS46-BQ46</f>
        <v>10702.059999999983</v>
      </c>
      <c r="BV46" s="58"/>
      <c r="BW46" s="123">
        <f>CHOOSE($CK$7,C46,I46,O46,U46,AA46,AG46,AM46,AS46,AY46,BE46,BK46,BQ46)</f>
        <v>24449.940000000002</v>
      </c>
      <c r="BX46" s="52"/>
      <c r="BY46" s="52">
        <f>CHOOSE($CK$7,E46,K46,Q46,W46,AC46,AI46,AO46,AU46,BA46,BG46,BM46,BS46)</f>
        <v>21000</v>
      </c>
      <c r="BZ46" s="52"/>
      <c r="CA46" s="52">
        <f>BY46-BW46</f>
        <v>-3449.9400000000023</v>
      </c>
      <c r="CB46" s="58"/>
      <c r="CC46" s="123">
        <f>BQ46</f>
        <v>64963.060000000012</v>
      </c>
      <c r="CD46" s="52"/>
      <c r="CE46" s="52">
        <f>BS46</f>
        <v>75665.119999999995</v>
      </c>
      <c r="CF46" s="52"/>
      <c r="CG46" s="52">
        <f>CE46-CC46</f>
        <v>10702.059999999983</v>
      </c>
    </row>
    <row r="47" spans="1:85" x14ac:dyDescent="0.25">
      <c r="A47" s="12" t="s">
        <v>25</v>
      </c>
      <c r="B47" s="13"/>
      <c r="C47" s="53">
        <f>C46+C43</f>
        <v>20746.2</v>
      </c>
      <c r="D47" s="52"/>
      <c r="E47" s="52">
        <f>E46+E43</f>
        <v>19981.22</v>
      </c>
      <c r="F47" s="52"/>
      <c r="G47" s="52">
        <f>E47-C47</f>
        <v>-764.97999999999956</v>
      </c>
      <c r="H47" s="58"/>
      <c r="I47" s="53">
        <f>I46+I43+I15</f>
        <v>24449.940000000002</v>
      </c>
      <c r="J47" s="52"/>
      <c r="K47" s="52">
        <v>21000</v>
      </c>
      <c r="L47" s="52"/>
      <c r="M47" s="52">
        <f>K47-I47</f>
        <v>-3449.9400000000023</v>
      </c>
      <c r="N47" s="58"/>
      <c r="O47" s="53">
        <f>O46+O43+O15</f>
        <v>27753.680000000004</v>
      </c>
      <c r="P47" s="52"/>
      <c r="Q47" s="52">
        <f>Q46+Q43+Q15</f>
        <v>26331.74</v>
      </c>
      <c r="R47" s="52"/>
      <c r="S47" s="52">
        <f>Q47-O47</f>
        <v>-1421.9400000000023</v>
      </c>
      <c r="T47" s="58"/>
      <c r="U47" s="53">
        <f>U46+U43+U15</f>
        <v>31307.420000000006</v>
      </c>
      <c r="V47" s="52"/>
      <c r="W47" s="52">
        <f>W46+W43+W15</f>
        <v>31663.480000000003</v>
      </c>
      <c r="X47" s="52"/>
      <c r="Y47" s="52">
        <f>W47-U47</f>
        <v>356.05999999999767</v>
      </c>
      <c r="Z47" s="58"/>
      <c r="AA47" s="53">
        <f>AA46+AA43+AA15</f>
        <v>38096.230000000003</v>
      </c>
      <c r="AB47" s="52"/>
      <c r="AC47" s="52">
        <f>AC46+AC43+AC15</f>
        <v>39930.29</v>
      </c>
      <c r="AD47" s="52"/>
      <c r="AE47" s="52">
        <f>AC47-AA47</f>
        <v>1834.0599999999977</v>
      </c>
      <c r="AF47" s="58"/>
      <c r="AG47" s="53">
        <f>AG46+AG43+AG15</f>
        <v>41967.560000000005</v>
      </c>
      <c r="AH47" s="52"/>
      <c r="AI47" s="52">
        <f>AI46+AI43+AI15</f>
        <v>45279.62</v>
      </c>
      <c r="AJ47" s="52"/>
      <c r="AK47" s="52">
        <f>AI47-AG47</f>
        <v>3312.0599999999977</v>
      </c>
      <c r="AL47" s="58"/>
      <c r="AM47" s="53">
        <f>AM46+AM43+AM15</f>
        <v>45938.890000000007</v>
      </c>
      <c r="AN47" s="52"/>
      <c r="AO47" s="52">
        <f>AO46+AO43+AO15</f>
        <v>50728.950000000004</v>
      </c>
      <c r="AP47" s="52"/>
      <c r="AQ47" s="52">
        <f>AO47-AM47</f>
        <v>4790.0599999999977</v>
      </c>
      <c r="AR47" s="58"/>
      <c r="AS47" s="53">
        <f>AS46+AS43+AS15</f>
        <v>49910.220000000008</v>
      </c>
      <c r="AT47" s="52"/>
      <c r="AU47" s="52">
        <f>AU46+AU43+AU15</f>
        <v>56178.280000000006</v>
      </c>
      <c r="AV47" s="52"/>
      <c r="AW47" s="52">
        <f>AU47-AS47</f>
        <v>6268.0599999999977</v>
      </c>
      <c r="AX47" s="58"/>
      <c r="AY47" s="53">
        <f>AY46+AY43+AY15</f>
        <v>53946.55000000001</v>
      </c>
      <c r="AZ47" s="52"/>
      <c r="BA47" s="52">
        <f>BA46+BA43+BA15</f>
        <v>61692.610000000008</v>
      </c>
      <c r="BB47" s="52"/>
      <c r="BC47" s="52">
        <f>BA47-AY47</f>
        <v>7746.0599999999977</v>
      </c>
      <c r="BD47" s="58"/>
      <c r="BE47" s="53">
        <f>BE46+BE43+BE15</f>
        <v>57982.880000000012</v>
      </c>
      <c r="BF47" s="52"/>
      <c r="BG47" s="52">
        <f>BG46+BG43+BG15</f>
        <v>67206.94</v>
      </c>
      <c r="BH47" s="52"/>
      <c r="BI47" s="52">
        <f>BG47-BE47</f>
        <v>9224.0599999999904</v>
      </c>
      <c r="BJ47" s="58"/>
      <c r="BK47" s="53">
        <f>BK46+BK43+BK15</f>
        <v>64963.060000000012</v>
      </c>
      <c r="BL47" s="52"/>
      <c r="BM47" s="52">
        <f>BM46+BM43+BM15</f>
        <v>75665.119999999995</v>
      </c>
      <c r="BN47" s="52"/>
      <c r="BO47" s="52">
        <f>BM47-BK47</f>
        <v>10702.059999999983</v>
      </c>
      <c r="BP47" s="58"/>
      <c r="BQ47" s="53">
        <f>BQ46+BQ43+BQ15</f>
        <v>68999.39</v>
      </c>
      <c r="BR47" s="52"/>
      <c r="BS47" s="52">
        <f>BS46+BS43+BS15</f>
        <v>81179.45</v>
      </c>
      <c r="BT47" s="52"/>
      <c r="BU47" s="52">
        <f>BS47-BQ47</f>
        <v>12180.059999999998</v>
      </c>
      <c r="BV47" s="58"/>
      <c r="BW47" s="53">
        <f>CHOOSE($CK$7,C47,I47,O47,U47,AA47,AG47,AM47,AS47,AY47,BE47,BK47,BQ47)</f>
        <v>27753.680000000004</v>
      </c>
      <c r="BX47" s="52"/>
      <c r="BY47" s="52">
        <f>CHOOSE($CK$7,E47,K47,Q47,W47,AC47,AI47,AO47,AU47,BA47,BG47,BM47,BS47)</f>
        <v>26331.74</v>
      </c>
      <c r="BZ47" s="52"/>
      <c r="CA47" s="52">
        <f>BY47-BW47</f>
        <v>-1421.9400000000023</v>
      </c>
      <c r="CB47" s="58"/>
      <c r="CC47" s="53">
        <f>BQ47</f>
        <v>68999.39</v>
      </c>
      <c r="CD47" s="52"/>
      <c r="CE47" s="52">
        <f>BS47</f>
        <v>81179.45</v>
      </c>
      <c r="CF47" s="52"/>
      <c r="CG47" s="52">
        <f>CE47-CC47</f>
        <v>12180.059999999998</v>
      </c>
    </row>
    <row r="49" spans="1:69" x14ac:dyDescent="0.25">
      <c r="A49" s="14"/>
      <c r="B49" s="15" t="s">
        <v>139</v>
      </c>
    </row>
    <row r="52" spans="1:69" ht="17.25" x14ac:dyDescent="0.4">
      <c r="A52" t="s">
        <v>231</v>
      </c>
      <c r="C52" s="73" t="str">
        <f>C3</f>
        <v>Jan, 19</v>
      </c>
      <c r="I52" s="73" t="str">
        <f>I3</f>
        <v>Feb</v>
      </c>
      <c r="O52" s="73" t="str">
        <f>O3</f>
        <v>Mar</v>
      </c>
      <c r="U52" s="73" t="str">
        <f>U3</f>
        <v>Apr</v>
      </c>
      <c r="AA52" s="73" t="str">
        <f>AA3</f>
        <v>May</v>
      </c>
      <c r="AG52" s="73" t="str">
        <f>AG3</f>
        <v>Jun</v>
      </c>
      <c r="AM52" s="73" t="str">
        <f>AM3</f>
        <v>Jul</v>
      </c>
      <c r="AS52" s="73" t="str">
        <f>AS3</f>
        <v>Aug</v>
      </c>
      <c r="AY52" s="73" t="str">
        <f>AY3</f>
        <v>Sep</v>
      </c>
      <c r="BE52" s="73" t="str">
        <f>BE3</f>
        <v>Oct</v>
      </c>
      <c r="BK52" s="73" t="str">
        <f>BK3</f>
        <v>Nov</v>
      </c>
      <c r="BQ52" s="73" t="str">
        <f>BQ3</f>
        <v>Dec</v>
      </c>
    </row>
    <row r="56" spans="1:69" ht="17.25" x14ac:dyDescent="0.4">
      <c r="C56" s="73" t="s">
        <v>650</v>
      </c>
      <c r="G56" s="73" t="s">
        <v>651</v>
      </c>
    </row>
    <row r="57" spans="1:69" x14ac:dyDescent="0.25">
      <c r="A57" t="s">
        <v>636</v>
      </c>
      <c r="C57" s="40">
        <v>21114</v>
      </c>
      <c r="G57" s="40">
        <v>3171</v>
      </c>
      <c r="H57" t="s">
        <v>757</v>
      </c>
    </row>
    <row r="58" spans="1:69" x14ac:dyDescent="0.25">
      <c r="B58" t="s">
        <v>645</v>
      </c>
      <c r="C58" s="132">
        <v>-2000</v>
      </c>
      <c r="G58" s="132">
        <v>-1225</v>
      </c>
      <c r="H58" t="s">
        <v>12</v>
      </c>
    </row>
    <row r="59" spans="1:69" x14ac:dyDescent="0.25">
      <c r="B59" t="s">
        <v>645</v>
      </c>
      <c r="C59" s="132">
        <v>0</v>
      </c>
      <c r="G59" s="132">
        <v>-438</v>
      </c>
      <c r="H59" t="s">
        <v>756</v>
      </c>
    </row>
    <row r="60" spans="1:69" x14ac:dyDescent="0.25">
      <c r="B60" t="s">
        <v>645</v>
      </c>
      <c r="C60" s="132">
        <v>0</v>
      </c>
      <c r="G60" s="132">
        <v>-299</v>
      </c>
      <c r="H60" t="s">
        <v>8</v>
      </c>
    </row>
    <row r="61" spans="1:69" x14ac:dyDescent="0.25">
      <c r="B61" t="s">
        <v>645</v>
      </c>
      <c r="C61" s="132">
        <v>0</v>
      </c>
      <c r="G61" s="132">
        <v>-828</v>
      </c>
      <c r="H61" t="s">
        <v>11</v>
      </c>
    </row>
    <row r="62" spans="1:69" x14ac:dyDescent="0.25">
      <c r="B62" t="s">
        <v>645</v>
      </c>
      <c r="C62" s="132">
        <v>0</v>
      </c>
      <c r="G62" s="132">
        <v>-21</v>
      </c>
      <c r="H62" s="74" t="s">
        <v>779</v>
      </c>
      <c r="I62" s="74"/>
      <c r="J62" s="74"/>
      <c r="K62" s="74"/>
    </row>
    <row r="63" spans="1:69" x14ac:dyDescent="0.25">
      <c r="C63" s="132"/>
      <c r="G63" s="132">
        <v>0</v>
      </c>
    </row>
    <row r="64" spans="1:69" x14ac:dyDescent="0.25">
      <c r="C64" s="132"/>
      <c r="G64" s="132">
        <v>0</v>
      </c>
    </row>
    <row r="65" spans="1:7" x14ac:dyDescent="0.25">
      <c r="C65" s="132"/>
      <c r="G65" s="132">
        <v>0</v>
      </c>
    </row>
    <row r="66" spans="1:7" ht="17.25" x14ac:dyDescent="0.4">
      <c r="B66" t="s">
        <v>645</v>
      </c>
      <c r="C66" s="135">
        <v>0</v>
      </c>
      <c r="G66" s="135">
        <v>0</v>
      </c>
    </row>
    <row r="67" spans="1:7" x14ac:dyDescent="0.25">
      <c r="A67" t="s">
        <v>646</v>
      </c>
      <c r="C67" s="40">
        <f>SUM(C57:C66)</f>
        <v>19114</v>
      </c>
      <c r="G67" s="40">
        <f>SUM(G57:G66)</f>
        <v>360</v>
      </c>
    </row>
  </sheetData>
  <mergeCells count="14">
    <mergeCell ref="BK3:BO3"/>
    <mergeCell ref="BQ3:BU3"/>
    <mergeCell ref="CC3:CG3"/>
    <mergeCell ref="C3:G3"/>
    <mergeCell ref="I3:M3"/>
    <mergeCell ref="O3:S3"/>
    <mergeCell ref="U3:Y3"/>
    <mergeCell ref="AA3:AE3"/>
    <mergeCell ref="AG3:AK3"/>
    <mergeCell ref="AM3:AQ3"/>
    <mergeCell ref="AS3:AW3"/>
    <mergeCell ref="AY3:BC3"/>
    <mergeCell ref="BE3:BI3"/>
    <mergeCell ref="BW3:CA3"/>
  </mergeCells>
  <pageMargins left="0.5" right="0.5" top="0.75" bottom="0.5" header="0.3" footer="0.3"/>
  <pageSetup paperSize="5" scale="61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61" r:id="rId4" name="List Box 17">
              <controlPr defaultSize="0" autoLine="0" autoPict="0">
                <anchor moveWithCells="1">
                  <from>
                    <xdr:col>77</xdr:col>
                    <xdr:colOff>114300</xdr:colOff>
                    <xdr:row>0</xdr:row>
                    <xdr:rowOff>19050</xdr:rowOff>
                  </from>
                  <to>
                    <xdr:col>79</xdr:col>
                    <xdr:colOff>9525</xdr:colOff>
                    <xdr:row>1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A9BD-44E0-489F-AB18-DB330EFDE9D0}">
  <sheetPr>
    <tabColor rgb="FFFFC000"/>
  </sheetPr>
  <dimension ref="A1:D26"/>
  <sheetViews>
    <sheetView showGridLines="0" zoomScale="90" zoomScaleNormal="90" workbookViewId="0">
      <selection activeCell="G12" sqref="G12"/>
    </sheetView>
  </sheetViews>
  <sheetFormatPr defaultRowHeight="15" x14ac:dyDescent="0.25"/>
  <cols>
    <col min="1" max="1" width="79.85546875" bestFit="1" customWidth="1"/>
    <col min="2" max="3" width="10.5703125" customWidth="1"/>
    <col min="4" max="4" width="11.28515625" bestFit="1" customWidth="1"/>
  </cols>
  <sheetData>
    <row r="1" spans="1:4" x14ac:dyDescent="0.25">
      <c r="A1" s="39" t="s">
        <v>613</v>
      </c>
      <c r="B1" t="s">
        <v>17</v>
      </c>
    </row>
    <row r="3" spans="1:4" x14ac:dyDescent="0.25">
      <c r="A3" s="39" t="s">
        <v>205</v>
      </c>
      <c r="B3" s="39" t="s">
        <v>199</v>
      </c>
    </row>
    <row r="4" spans="1:4" x14ac:dyDescent="0.25">
      <c r="A4" s="39" t="s">
        <v>28</v>
      </c>
      <c r="B4" s="1" t="s">
        <v>607</v>
      </c>
      <c r="C4" s="1" t="s">
        <v>509</v>
      </c>
      <c r="D4" s="1" t="s">
        <v>204</v>
      </c>
    </row>
    <row r="5" spans="1:4" x14ac:dyDescent="0.25">
      <c r="A5" t="s">
        <v>749</v>
      </c>
      <c r="B5" s="40"/>
      <c r="C5" s="40">
        <v>16.38</v>
      </c>
      <c r="D5" s="40">
        <v>16.38</v>
      </c>
    </row>
    <row r="6" spans="1:4" x14ac:dyDescent="0.25">
      <c r="A6" t="s">
        <v>623</v>
      </c>
      <c r="B6" s="40">
        <v>89.670000000000016</v>
      </c>
      <c r="C6" s="40"/>
      <c r="D6" s="40">
        <v>89.670000000000016</v>
      </c>
    </row>
    <row r="7" spans="1:4" x14ac:dyDescent="0.25">
      <c r="A7" t="s">
        <v>615</v>
      </c>
      <c r="B7" s="40">
        <v>102.95</v>
      </c>
      <c r="C7" s="40">
        <v>17.98</v>
      </c>
      <c r="D7" s="40">
        <v>120.93</v>
      </c>
    </row>
    <row r="8" spans="1:4" x14ac:dyDescent="0.25">
      <c r="A8" t="s">
        <v>694</v>
      </c>
      <c r="B8" s="40">
        <v>46.59</v>
      </c>
      <c r="C8" s="40"/>
      <c r="D8" s="40">
        <v>46.59</v>
      </c>
    </row>
    <row r="9" spans="1:4" x14ac:dyDescent="0.25">
      <c r="A9" t="s">
        <v>742</v>
      </c>
      <c r="B9" s="40"/>
      <c r="C9" s="40">
        <v>18.52</v>
      </c>
      <c r="D9" s="40">
        <v>18.52</v>
      </c>
    </row>
    <row r="10" spans="1:4" x14ac:dyDescent="0.25">
      <c r="A10" t="s">
        <v>718</v>
      </c>
      <c r="B10" s="40"/>
      <c r="C10" s="40">
        <v>42.06</v>
      </c>
      <c r="D10" s="40">
        <v>42.06</v>
      </c>
    </row>
    <row r="11" spans="1:4" x14ac:dyDescent="0.25">
      <c r="A11" t="s">
        <v>706</v>
      </c>
      <c r="B11" s="40"/>
      <c r="C11" s="40">
        <v>85.19</v>
      </c>
      <c r="D11" s="40">
        <v>85.19</v>
      </c>
    </row>
    <row r="12" spans="1:4" x14ac:dyDescent="0.25">
      <c r="A12" t="s">
        <v>720</v>
      </c>
      <c r="B12" s="40"/>
      <c r="C12" s="40">
        <v>29.61</v>
      </c>
      <c r="D12" s="40">
        <v>29.61</v>
      </c>
    </row>
    <row r="13" spans="1:4" x14ac:dyDescent="0.25">
      <c r="A13" t="s">
        <v>257</v>
      </c>
      <c r="B13" s="40">
        <v>14.56</v>
      </c>
      <c r="C13" s="40"/>
      <c r="D13" s="40">
        <v>14.56</v>
      </c>
    </row>
    <row r="14" spans="1:4" x14ac:dyDescent="0.25">
      <c r="A14" t="s">
        <v>684</v>
      </c>
      <c r="B14" s="40">
        <v>9.24</v>
      </c>
      <c r="C14" s="40"/>
      <c r="D14" s="40">
        <v>9.24</v>
      </c>
    </row>
    <row r="15" spans="1:4" x14ac:dyDescent="0.25">
      <c r="A15" t="s">
        <v>686</v>
      </c>
      <c r="B15" s="40">
        <v>9.24</v>
      </c>
      <c r="C15" s="40"/>
      <c r="D15" s="40">
        <v>9.24</v>
      </c>
    </row>
    <row r="16" spans="1:4" x14ac:dyDescent="0.25">
      <c r="A16" t="s">
        <v>690</v>
      </c>
      <c r="B16" s="40">
        <v>8.56</v>
      </c>
      <c r="C16" s="40"/>
      <c r="D16" s="40">
        <v>8.56</v>
      </c>
    </row>
    <row r="17" spans="1:4" x14ac:dyDescent="0.25">
      <c r="A17" t="s">
        <v>638</v>
      </c>
      <c r="B17" s="40">
        <v>25.19</v>
      </c>
      <c r="C17" s="40"/>
      <c r="D17" s="40">
        <v>25.19</v>
      </c>
    </row>
    <row r="18" spans="1:4" x14ac:dyDescent="0.25">
      <c r="A18" t="s">
        <v>147</v>
      </c>
      <c r="B18" s="40">
        <v>12.84</v>
      </c>
      <c r="C18" s="40"/>
      <c r="D18" s="40">
        <v>12.84</v>
      </c>
    </row>
    <row r="19" spans="1:4" x14ac:dyDescent="0.25">
      <c r="A19" t="s">
        <v>664</v>
      </c>
      <c r="B19" s="40">
        <v>7.49</v>
      </c>
      <c r="C19" s="40"/>
      <c r="D19" s="40">
        <v>7.49</v>
      </c>
    </row>
    <row r="20" spans="1:4" x14ac:dyDescent="0.25">
      <c r="A20" t="s">
        <v>689</v>
      </c>
      <c r="B20" s="40">
        <v>24.91</v>
      </c>
      <c r="C20" s="40"/>
      <c r="D20" s="40">
        <v>24.91</v>
      </c>
    </row>
    <row r="21" spans="1:4" x14ac:dyDescent="0.25">
      <c r="A21" t="s">
        <v>716</v>
      </c>
      <c r="B21" s="40"/>
      <c r="C21" s="40">
        <v>71.06</v>
      </c>
      <c r="D21" s="40">
        <v>71.06</v>
      </c>
    </row>
    <row r="22" spans="1:4" x14ac:dyDescent="0.25">
      <c r="A22" t="s">
        <v>717</v>
      </c>
      <c r="B22" s="40"/>
      <c r="C22" s="40">
        <v>19.54</v>
      </c>
      <c r="D22" s="40">
        <v>19.54</v>
      </c>
    </row>
    <row r="23" spans="1:4" x14ac:dyDescent="0.25">
      <c r="A23" t="s">
        <v>732</v>
      </c>
      <c r="B23" s="40"/>
      <c r="C23" s="40">
        <v>20.12</v>
      </c>
      <c r="D23" s="40">
        <v>20.12</v>
      </c>
    </row>
    <row r="24" spans="1:4" x14ac:dyDescent="0.25">
      <c r="A24" t="s">
        <v>703</v>
      </c>
      <c r="B24" s="40"/>
      <c r="C24" s="40">
        <v>124.33</v>
      </c>
      <c r="D24" s="40">
        <v>124.33</v>
      </c>
    </row>
    <row r="25" spans="1:4" x14ac:dyDescent="0.25">
      <c r="A25" t="s">
        <v>144</v>
      </c>
      <c r="B25" s="40"/>
      <c r="C25" s="40">
        <v>28.61</v>
      </c>
      <c r="D25" s="40">
        <v>28.61</v>
      </c>
    </row>
    <row r="26" spans="1:4" x14ac:dyDescent="0.25">
      <c r="A26" t="s">
        <v>204</v>
      </c>
      <c r="B26" s="40">
        <v>351.24</v>
      </c>
      <c r="C26" s="40">
        <v>473.40000000000003</v>
      </c>
      <c r="D26" s="40">
        <v>824.64000000000021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D63A-AB7F-49EA-BE94-9A6CBA7633B0}">
  <sheetPr>
    <tabColor rgb="FFFFC000"/>
  </sheetPr>
  <dimension ref="A1:K261"/>
  <sheetViews>
    <sheetView zoomScale="90" zoomScaleNormal="90"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7.140625" bestFit="1" customWidth="1"/>
    <col min="2" max="2" width="11.28515625" customWidth="1"/>
    <col min="3" max="3" width="12.140625" bestFit="1" customWidth="1"/>
    <col min="4" max="4" width="68.42578125" customWidth="1"/>
    <col min="5" max="5" width="10.7109375" bestFit="1" customWidth="1"/>
    <col min="6" max="6" width="14.5703125" bestFit="1" customWidth="1"/>
    <col min="7" max="7" width="12.28515625" customWidth="1"/>
    <col min="9" max="9" width="16.85546875" bestFit="1" customWidth="1"/>
    <col min="10" max="10" width="10.42578125" bestFit="1" customWidth="1"/>
  </cols>
  <sheetData>
    <row r="1" spans="1:11" x14ac:dyDescent="0.25">
      <c r="A1" s="4" t="s">
        <v>26</v>
      </c>
      <c r="B1" s="4" t="s">
        <v>199</v>
      </c>
      <c r="C1" s="4" t="s">
        <v>27</v>
      </c>
      <c r="D1" s="4" t="s">
        <v>28</v>
      </c>
      <c r="E1" s="4" t="s">
        <v>29</v>
      </c>
      <c r="F1" s="4" t="s">
        <v>613</v>
      </c>
    </row>
    <row r="2" spans="1:11" x14ac:dyDescent="0.25">
      <c r="B2" t="s">
        <v>509</v>
      </c>
      <c r="C2" s="127"/>
      <c r="D2" s="130" t="s">
        <v>628</v>
      </c>
      <c r="E2" s="131">
        <v>0</v>
      </c>
      <c r="F2" s="130" t="s">
        <v>20</v>
      </c>
      <c r="G2" s="130" t="s">
        <v>631</v>
      </c>
    </row>
    <row r="3" spans="1:11" x14ac:dyDescent="0.25">
      <c r="B3" t="s">
        <v>509</v>
      </c>
      <c r="C3" s="127"/>
      <c r="D3" s="128" t="s">
        <v>628</v>
      </c>
      <c r="E3" s="129">
        <v>0</v>
      </c>
      <c r="F3" s="128" t="s">
        <v>138</v>
      </c>
    </row>
    <row r="4" spans="1:11" x14ac:dyDescent="0.25">
      <c r="B4" t="s">
        <v>509</v>
      </c>
      <c r="C4" s="127"/>
      <c r="D4" s="128" t="s">
        <v>628</v>
      </c>
      <c r="E4" s="129">
        <v>0</v>
      </c>
      <c r="F4" s="128" t="s">
        <v>333</v>
      </c>
    </row>
    <row r="5" spans="1:11" x14ac:dyDescent="0.25">
      <c r="B5" t="s">
        <v>509</v>
      </c>
      <c r="C5" s="127"/>
      <c r="D5" s="128" t="s">
        <v>628</v>
      </c>
      <c r="E5" s="129">
        <v>0</v>
      </c>
      <c r="F5" s="128" t="s">
        <v>20</v>
      </c>
      <c r="K5">
        <v>3171</v>
      </c>
    </row>
    <row r="6" spans="1:11" x14ac:dyDescent="0.25">
      <c r="B6" t="s">
        <v>509</v>
      </c>
      <c r="C6" s="127"/>
      <c r="D6" s="128"/>
      <c r="E6" s="129"/>
      <c r="F6" s="128"/>
    </row>
    <row r="7" spans="1:11" x14ac:dyDescent="0.25">
      <c r="B7" t="s">
        <v>509</v>
      </c>
      <c r="C7" s="127"/>
      <c r="D7" s="128"/>
      <c r="E7" s="129"/>
      <c r="F7" s="128"/>
    </row>
    <row r="8" spans="1:11" x14ac:dyDescent="0.25">
      <c r="B8" t="s">
        <v>509</v>
      </c>
      <c r="C8" s="127"/>
      <c r="D8" s="128"/>
      <c r="E8" s="129"/>
      <c r="F8" s="128"/>
    </row>
    <row r="9" spans="1:11" x14ac:dyDescent="0.25">
      <c r="B9" t="s">
        <v>509</v>
      </c>
      <c r="C9" s="127"/>
      <c r="D9" s="128"/>
      <c r="E9" s="129"/>
      <c r="F9" s="128"/>
    </row>
    <row r="10" spans="1:11" x14ac:dyDescent="0.25">
      <c r="B10" t="s">
        <v>509</v>
      </c>
      <c r="C10" s="3">
        <v>43524</v>
      </c>
      <c r="D10" t="s">
        <v>768</v>
      </c>
      <c r="E10" s="5">
        <v>21.39</v>
      </c>
      <c r="F10" t="s">
        <v>138</v>
      </c>
    </row>
    <row r="11" spans="1:11" x14ac:dyDescent="0.25">
      <c r="B11" t="s">
        <v>509</v>
      </c>
      <c r="C11" s="3">
        <v>43524</v>
      </c>
      <c r="D11" t="s">
        <v>258</v>
      </c>
      <c r="E11" s="5">
        <v>31.17</v>
      </c>
      <c r="F11" t="s">
        <v>195</v>
      </c>
      <c r="I11" s="126" t="s">
        <v>11</v>
      </c>
      <c r="J11" s="134">
        <v>43476</v>
      </c>
    </row>
    <row r="12" spans="1:11" x14ac:dyDescent="0.25">
      <c r="B12" t="s">
        <v>509</v>
      </c>
      <c r="C12" s="3">
        <v>43524</v>
      </c>
      <c r="D12" t="s">
        <v>718</v>
      </c>
      <c r="E12" s="5">
        <f>15.52+25</f>
        <v>40.519999999999996</v>
      </c>
      <c r="F12" t="s">
        <v>17</v>
      </c>
      <c r="G12" t="s">
        <v>788</v>
      </c>
      <c r="I12" s="126" t="s">
        <v>192</v>
      </c>
      <c r="J12" s="134">
        <f>J11+14</f>
        <v>43490</v>
      </c>
      <c r="K12" t="s">
        <v>652</v>
      </c>
    </row>
    <row r="13" spans="1:11" x14ac:dyDescent="0.25">
      <c r="B13" t="s">
        <v>509</v>
      </c>
      <c r="C13" s="3">
        <v>43524</v>
      </c>
      <c r="D13" t="s">
        <v>633</v>
      </c>
      <c r="E13" s="5">
        <v>8.01</v>
      </c>
      <c r="F13" t="s">
        <v>17</v>
      </c>
      <c r="I13" s="126" t="s">
        <v>12</v>
      </c>
      <c r="J13" s="134">
        <f t="shared" ref="J13:J28" si="0">J12+14</f>
        <v>43504</v>
      </c>
    </row>
    <row r="14" spans="1:11" x14ac:dyDescent="0.25">
      <c r="B14" t="s">
        <v>509</v>
      </c>
      <c r="C14" s="3">
        <v>43524</v>
      </c>
      <c r="D14" t="s">
        <v>670</v>
      </c>
      <c r="E14" s="5">
        <v>5.73</v>
      </c>
      <c r="F14" t="s">
        <v>19</v>
      </c>
      <c r="I14" s="126" t="s">
        <v>13</v>
      </c>
      <c r="J14" s="133">
        <f t="shared" si="0"/>
        <v>43518</v>
      </c>
      <c r="K14" t="s">
        <v>652</v>
      </c>
    </row>
    <row r="15" spans="1:11" x14ac:dyDescent="0.25">
      <c r="B15" t="s">
        <v>509</v>
      </c>
      <c r="C15" s="3">
        <v>43524</v>
      </c>
      <c r="D15" t="s">
        <v>633</v>
      </c>
      <c r="E15" s="5">
        <v>5.55</v>
      </c>
      <c r="F15" t="s">
        <v>21</v>
      </c>
      <c r="I15" s="126" t="s">
        <v>14</v>
      </c>
      <c r="J15" s="133">
        <f t="shared" si="0"/>
        <v>43532</v>
      </c>
    </row>
    <row r="16" spans="1:11" x14ac:dyDescent="0.25">
      <c r="B16" t="s">
        <v>509</v>
      </c>
      <c r="C16" s="3">
        <v>43524</v>
      </c>
      <c r="D16" t="s">
        <v>782</v>
      </c>
      <c r="E16" s="5">
        <v>29.95</v>
      </c>
      <c r="F16" t="s">
        <v>20</v>
      </c>
      <c r="I16" s="126" t="s">
        <v>15</v>
      </c>
      <c r="J16" s="133">
        <f t="shared" si="0"/>
        <v>43546</v>
      </c>
    </row>
    <row r="17" spans="2:10" x14ac:dyDescent="0.25">
      <c r="B17" t="s">
        <v>509</v>
      </c>
      <c r="C17" s="3">
        <v>43523</v>
      </c>
      <c r="D17" t="s">
        <v>783</v>
      </c>
      <c r="E17" s="5">
        <v>22.26</v>
      </c>
      <c r="F17" t="s">
        <v>17</v>
      </c>
      <c r="I17" s="126" t="s">
        <v>16</v>
      </c>
      <c r="J17" s="133">
        <f t="shared" si="0"/>
        <v>43560</v>
      </c>
    </row>
    <row r="18" spans="2:10" x14ac:dyDescent="0.25">
      <c r="B18" t="s">
        <v>509</v>
      </c>
      <c r="C18" s="3">
        <v>43522</v>
      </c>
      <c r="D18" t="s">
        <v>784</v>
      </c>
      <c r="E18" s="5">
        <v>42.79</v>
      </c>
      <c r="F18" t="s">
        <v>138</v>
      </c>
      <c r="G18" t="s">
        <v>789</v>
      </c>
      <c r="I18" s="126" t="s">
        <v>198</v>
      </c>
      <c r="J18" s="133">
        <f t="shared" si="0"/>
        <v>43574</v>
      </c>
    </row>
    <row r="19" spans="2:10" x14ac:dyDescent="0.25">
      <c r="B19" t="s">
        <v>509</v>
      </c>
      <c r="C19" s="3">
        <v>43522</v>
      </c>
      <c r="D19" t="s">
        <v>785</v>
      </c>
      <c r="E19" s="5">
        <v>15.78</v>
      </c>
      <c r="F19" t="s">
        <v>15</v>
      </c>
      <c r="I19" s="126" t="s">
        <v>17</v>
      </c>
      <c r="J19" s="133">
        <f t="shared" si="0"/>
        <v>43588</v>
      </c>
    </row>
    <row r="20" spans="2:10" x14ac:dyDescent="0.25">
      <c r="B20" t="s">
        <v>509</v>
      </c>
      <c r="C20" s="3">
        <v>43522</v>
      </c>
      <c r="D20" t="s">
        <v>786</v>
      </c>
      <c r="E20" s="5">
        <v>9.9499999999999993</v>
      </c>
      <c r="F20" t="s">
        <v>20</v>
      </c>
      <c r="I20" s="126" t="s">
        <v>18</v>
      </c>
      <c r="J20" s="133">
        <f t="shared" si="0"/>
        <v>43602</v>
      </c>
    </row>
    <row r="21" spans="2:10" x14ac:dyDescent="0.25">
      <c r="B21" t="s">
        <v>509</v>
      </c>
      <c r="C21" s="3">
        <v>43522</v>
      </c>
      <c r="D21" t="s">
        <v>787</v>
      </c>
      <c r="E21" s="5">
        <v>22.66</v>
      </c>
      <c r="F21" t="s">
        <v>17</v>
      </c>
      <c r="I21" s="126" t="s">
        <v>19</v>
      </c>
      <c r="J21" s="133">
        <f t="shared" si="0"/>
        <v>43616</v>
      </c>
    </row>
    <row r="22" spans="2:10" x14ac:dyDescent="0.25">
      <c r="B22" t="s">
        <v>509</v>
      </c>
      <c r="C22" s="3">
        <v>43521</v>
      </c>
      <c r="D22" t="s">
        <v>780</v>
      </c>
      <c r="E22" s="5">
        <v>39.06</v>
      </c>
      <c r="F22" t="s">
        <v>333</v>
      </c>
      <c r="I22" s="126" t="s">
        <v>20</v>
      </c>
      <c r="J22" s="133">
        <f t="shared" si="0"/>
        <v>43630</v>
      </c>
    </row>
    <row r="23" spans="2:10" x14ac:dyDescent="0.25">
      <c r="B23" t="s">
        <v>509</v>
      </c>
      <c r="C23" s="3">
        <v>43521</v>
      </c>
      <c r="D23" t="s">
        <v>781</v>
      </c>
      <c r="E23" s="5">
        <v>6.25</v>
      </c>
      <c r="F23" t="s">
        <v>15</v>
      </c>
      <c r="I23" s="126" t="s">
        <v>21</v>
      </c>
      <c r="J23" s="133">
        <f t="shared" si="0"/>
        <v>43644</v>
      </c>
    </row>
    <row r="24" spans="2:10" x14ac:dyDescent="0.25">
      <c r="B24" t="s">
        <v>509</v>
      </c>
      <c r="C24" s="3">
        <v>43521</v>
      </c>
      <c r="D24" t="s">
        <v>767</v>
      </c>
      <c r="E24" s="5">
        <v>80</v>
      </c>
      <c r="F24" t="s">
        <v>677</v>
      </c>
      <c r="I24" s="126" t="s">
        <v>22</v>
      </c>
      <c r="J24" s="133">
        <f t="shared" si="0"/>
        <v>43658</v>
      </c>
    </row>
    <row r="25" spans="2:10" x14ac:dyDescent="0.25">
      <c r="B25" t="s">
        <v>509</v>
      </c>
      <c r="C25" s="3">
        <v>43521</v>
      </c>
      <c r="D25" t="s">
        <v>768</v>
      </c>
      <c r="E25" s="5">
        <v>42.79</v>
      </c>
      <c r="F25" t="s">
        <v>138</v>
      </c>
      <c r="I25" s="126" t="s">
        <v>23</v>
      </c>
      <c r="J25" s="133">
        <f t="shared" si="0"/>
        <v>43672</v>
      </c>
    </row>
    <row r="26" spans="2:10" x14ac:dyDescent="0.25">
      <c r="B26" t="s">
        <v>509</v>
      </c>
      <c r="C26" s="3">
        <v>43521</v>
      </c>
      <c r="D26" t="s">
        <v>706</v>
      </c>
      <c r="E26" s="5">
        <v>17.66</v>
      </c>
      <c r="F26" t="s">
        <v>17</v>
      </c>
      <c r="I26" s="126" t="s">
        <v>138</v>
      </c>
      <c r="J26" s="133">
        <f t="shared" si="0"/>
        <v>43686</v>
      </c>
    </row>
    <row r="27" spans="2:10" x14ac:dyDescent="0.25">
      <c r="B27" t="s">
        <v>509</v>
      </c>
      <c r="C27" s="3">
        <v>43521</v>
      </c>
      <c r="D27" t="s">
        <v>621</v>
      </c>
      <c r="E27" s="5">
        <v>9.2899999999999991</v>
      </c>
      <c r="F27" t="s">
        <v>15</v>
      </c>
      <c r="I27" s="126" t="s">
        <v>329</v>
      </c>
      <c r="J27" s="133">
        <f t="shared" si="0"/>
        <v>43700</v>
      </c>
    </row>
    <row r="28" spans="2:10" x14ac:dyDescent="0.25">
      <c r="B28" t="s">
        <v>509</v>
      </c>
      <c r="C28" s="3">
        <v>43521</v>
      </c>
      <c r="D28" t="s">
        <v>769</v>
      </c>
      <c r="E28" s="5">
        <v>8.23</v>
      </c>
      <c r="F28" t="s">
        <v>19</v>
      </c>
      <c r="I28" s="126" t="s">
        <v>333</v>
      </c>
      <c r="J28" s="133">
        <f t="shared" si="0"/>
        <v>43714</v>
      </c>
    </row>
    <row r="29" spans="2:10" x14ac:dyDescent="0.25">
      <c r="B29" t="s">
        <v>509</v>
      </c>
      <c r="C29" s="3">
        <v>43521</v>
      </c>
      <c r="D29" t="s">
        <v>257</v>
      </c>
      <c r="E29" s="5">
        <f>32.33-12.33</f>
        <v>20</v>
      </c>
      <c r="F29" t="s">
        <v>202</v>
      </c>
      <c r="I29" s="126" t="s">
        <v>506</v>
      </c>
    </row>
    <row r="30" spans="2:10" x14ac:dyDescent="0.25">
      <c r="B30" t="s">
        <v>509</v>
      </c>
      <c r="C30" s="3">
        <v>43521</v>
      </c>
      <c r="D30" t="s">
        <v>257</v>
      </c>
      <c r="E30" s="5">
        <f>32.33-20</f>
        <v>12.329999999999998</v>
      </c>
      <c r="F30" t="s">
        <v>15</v>
      </c>
      <c r="I30" s="126" t="s">
        <v>507</v>
      </c>
    </row>
    <row r="31" spans="2:10" x14ac:dyDescent="0.25">
      <c r="B31" t="s">
        <v>509</v>
      </c>
      <c r="C31" s="3">
        <v>43521</v>
      </c>
      <c r="D31" t="s">
        <v>770</v>
      </c>
      <c r="E31" s="5">
        <v>-18.75</v>
      </c>
      <c r="F31" t="s">
        <v>737</v>
      </c>
      <c r="G31" t="s">
        <v>737</v>
      </c>
      <c r="I31" s="126" t="s">
        <v>334</v>
      </c>
    </row>
    <row r="32" spans="2:10" x14ac:dyDescent="0.25">
      <c r="B32" t="s">
        <v>509</v>
      </c>
      <c r="C32" s="3">
        <v>43521</v>
      </c>
      <c r="D32" t="s">
        <v>771</v>
      </c>
      <c r="E32" s="5">
        <v>160.37</v>
      </c>
      <c r="F32" t="s">
        <v>20</v>
      </c>
      <c r="G32" t="s">
        <v>778</v>
      </c>
      <c r="I32" s="126" t="s">
        <v>202</v>
      </c>
    </row>
    <row r="33" spans="2:9" x14ac:dyDescent="0.25">
      <c r="B33" t="s">
        <v>509</v>
      </c>
      <c r="C33" s="3">
        <v>43521</v>
      </c>
      <c r="D33" t="s">
        <v>257</v>
      </c>
      <c r="E33" s="5">
        <v>7.22</v>
      </c>
      <c r="F33" t="s">
        <v>17</v>
      </c>
      <c r="I33" s="126" t="s">
        <v>195</v>
      </c>
    </row>
    <row r="34" spans="2:9" x14ac:dyDescent="0.25">
      <c r="B34" t="s">
        <v>509</v>
      </c>
      <c r="C34" s="3">
        <v>43521</v>
      </c>
      <c r="D34" t="s">
        <v>739</v>
      </c>
      <c r="E34" s="5">
        <v>90</v>
      </c>
      <c r="F34" t="s">
        <v>677</v>
      </c>
      <c r="I34" s="126" t="s">
        <v>194</v>
      </c>
    </row>
    <row r="35" spans="2:9" x14ac:dyDescent="0.25">
      <c r="B35" t="s">
        <v>509</v>
      </c>
      <c r="C35" s="3">
        <v>43521</v>
      </c>
      <c r="D35" t="s">
        <v>772</v>
      </c>
      <c r="E35" s="5">
        <v>39.06</v>
      </c>
      <c r="F35" t="s">
        <v>333</v>
      </c>
    </row>
    <row r="36" spans="2:9" x14ac:dyDescent="0.25">
      <c r="B36" t="s">
        <v>509</v>
      </c>
      <c r="C36" s="3">
        <v>43521</v>
      </c>
      <c r="D36" t="s">
        <v>706</v>
      </c>
      <c r="E36" s="5">
        <v>20.05</v>
      </c>
      <c r="F36" t="s">
        <v>17</v>
      </c>
    </row>
    <row r="37" spans="2:9" x14ac:dyDescent="0.25">
      <c r="B37" t="s">
        <v>509</v>
      </c>
      <c r="C37" s="3">
        <v>43521</v>
      </c>
      <c r="D37" t="s">
        <v>43</v>
      </c>
      <c r="E37" s="5">
        <v>2.2999999999999998</v>
      </c>
      <c r="F37" t="s">
        <v>19</v>
      </c>
    </row>
    <row r="38" spans="2:9" x14ac:dyDescent="0.25">
      <c r="B38" t="s">
        <v>509</v>
      </c>
      <c r="C38" s="3">
        <v>43521</v>
      </c>
      <c r="D38" t="s">
        <v>257</v>
      </c>
      <c r="E38" s="5">
        <v>11.26</v>
      </c>
      <c r="F38" t="s">
        <v>15</v>
      </c>
    </row>
    <row r="39" spans="2:9" x14ac:dyDescent="0.25">
      <c r="B39" t="s">
        <v>509</v>
      </c>
      <c r="C39" s="3">
        <v>43521</v>
      </c>
      <c r="D39" t="s">
        <v>773</v>
      </c>
      <c r="E39" s="5">
        <v>31.82</v>
      </c>
      <c r="F39" t="s">
        <v>737</v>
      </c>
      <c r="G39" t="s">
        <v>737</v>
      </c>
    </row>
    <row r="40" spans="2:9" x14ac:dyDescent="0.25">
      <c r="B40" t="s">
        <v>509</v>
      </c>
      <c r="C40" s="3">
        <v>43521</v>
      </c>
      <c r="D40" t="s">
        <v>774</v>
      </c>
      <c r="E40" s="5">
        <v>3.51</v>
      </c>
      <c r="F40" t="s">
        <v>20</v>
      </c>
    </row>
    <row r="41" spans="2:9" x14ac:dyDescent="0.25">
      <c r="B41" t="s">
        <v>509</v>
      </c>
      <c r="C41" s="3">
        <v>43521</v>
      </c>
      <c r="D41" t="s">
        <v>774</v>
      </c>
      <c r="E41" s="5">
        <v>15.33</v>
      </c>
      <c r="F41" t="s">
        <v>16</v>
      </c>
    </row>
    <row r="42" spans="2:9" x14ac:dyDescent="0.25">
      <c r="B42" t="s">
        <v>509</v>
      </c>
      <c r="C42" s="3">
        <v>43521</v>
      </c>
      <c r="D42" t="s">
        <v>775</v>
      </c>
      <c r="E42" s="5">
        <v>81.64</v>
      </c>
      <c r="F42" t="s">
        <v>737</v>
      </c>
      <c r="G42" t="s">
        <v>737</v>
      </c>
    </row>
    <row r="43" spans="2:9" x14ac:dyDescent="0.25">
      <c r="B43" t="s">
        <v>509</v>
      </c>
      <c r="C43" s="3">
        <v>43521</v>
      </c>
      <c r="D43" t="s">
        <v>715</v>
      </c>
      <c r="E43" s="5">
        <v>24</v>
      </c>
      <c r="F43" t="s">
        <v>198</v>
      </c>
    </row>
    <row r="44" spans="2:9" x14ac:dyDescent="0.25">
      <c r="B44" t="s">
        <v>509</v>
      </c>
      <c r="C44" s="3">
        <v>43521</v>
      </c>
      <c r="D44" t="s">
        <v>43</v>
      </c>
      <c r="E44" s="5">
        <v>17.11</v>
      </c>
      <c r="F44" t="s">
        <v>20</v>
      </c>
    </row>
    <row r="45" spans="2:9" x14ac:dyDescent="0.25">
      <c r="B45" t="s">
        <v>509</v>
      </c>
      <c r="C45" s="3">
        <v>43521</v>
      </c>
      <c r="D45" t="s">
        <v>43</v>
      </c>
      <c r="E45" s="5">
        <v>4.2300000000000004</v>
      </c>
      <c r="F45" t="s">
        <v>19</v>
      </c>
    </row>
    <row r="46" spans="2:9" x14ac:dyDescent="0.25">
      <c r="B46" t="s">
        <v>509</v>
      </c>
      <c r="C46" s="3">
        <v>43521</v>
      </c>
      <c r="D46" t="s">
        <v>776</v>
      </c>
      <c r="E46" s="5">
        <v>0.99</v>
      </c>
      <c r="F46" t="s">
        <v>755</v>
      </c>
    </row>
    <row r="47" spans="2:9" x14ac:dyDescent="0.25">
      <c r="B47" t="s">
        <v>509</v>
      </c>
      <c r="C47" s="3">
        <v>43521</v>
      </c>
      <c r="D47" t="s">
        <v>776</v>
      </c>
      <c r="E47" s="5">
        <v>2.99</v>
      </c>
      <c r="F47" t="s">
        <v>755</v>
      </c>
    </row>
    <row r="48" spans="2:9" x14ac:dyDescent="0.25">
      <c r="B48" t="s">
        <v>509</v>
      </c>
      <c r="C48" s="3">
        <v>43519</v>
      </c>
      <c r="D48" t="s">
        <v>670</v>
      </c>
      <c r="E48" s="5">
        <v>5.73</v>
      </c>
      <c r="F48" t="s">
        <v>19</v>
      </c>
    </row>
    <row r="49" spans="2:7" x14ac:dyDescent="0.25">
      <c r="B49" t="s">
        <v>509</v>
      </c>
      <c r="C49" s="3">
        <v>43518</v>
      </c>
      <c r="D49" t="s">
        <v>663</v>
      </c>
      <c r="E49" s="5">
        <v>150</v>
      </c>
      <c r="F49" t="s">
        <v>20</v>
      </c>
      <c r="G49" t="s">
        <v>631</v>
      </c>
    </row>
    <row r="50" spans="2:7" x14ac:dyDescent="0.25">
      <c r="B50" t="s">
        <v>509</v>
      </c>
      <c r="C50" s="3">
        <v>43518</v>
      </c>
      <c r="D50" t="s">
        <v>777</v>
      </c>
      <c r="E50" s="5">
        <v>39.549999999999997</v>
      </c>
      <c r="F50" t="s">
        <v>15</v>
      </c>
    </row>
    <row r="51" spans="2:7" x14ac:dyDescent="0.25">
      <c r="B51" t="s">
        <v>509</v>
      </c>
      <c r="C51" s="3">
        <v>43517</v>
      </c>
      <c r="D51" t="s">
        <v>758</v>
      </c>
      <c r="E51" s="5">
        <v>8.56</v>
      </c>
      <c r="F51" t="s">
        <v>15</v>
      </c>
    </row>
    <row r="52" spans="2:7" x14ac:dyDescent="0.25">
      <c r="B52" t="s">
        <v>509</v>
      </c>
      <c r="C52" s="3">
        <v>43517</v>
      </c>
      <c r="D52" t="s">
        <v>759</v>
      </c>
      <c r="E52" s="5">
        <v>33</v>
      </c>
      <c r="F52" t="s">
        <v>16</v>
      </c>
    </row>
    <row r="53" spans="2:7" x14ac:dyDescent="0.25">
      <c r="B53" t="s">
        <v>509</v>
      </c>
      <c r="C53" s="3">
        <v>43517</v>
      </c>
      <c r="D53" t="s">
        <v>760</v>
      </c>
      <c r="E53" s="5">
        <v>6.61</v>
      </c>
      <c r="F53" t="s">
        <v>15</v>
      </c>
    </row>
    <row r="54" spans="2:7" x14ac:dyDescent="0.25">
      <c r="B54" t="s">
        <v>509</v>
      </c>
      <c r="C54" s="3">
        <v>43517</v>
      </c>
      <c r="D54" t="s">
        <v>761</v>
      </c>
      <c r="E54" s="5">
        <v>10.95</v>
      </c>
      <c r="F54" t="s">
        <v>21</v>
      </c>
    </row>
    <row r="55" spans="2:7" x14ac:dyDescent="0.25">
      <c r="B55" t="s">
        <v>509</v>
      </c>
      <c r="C55" s="3">
        <v>43517</v>
      </c>
      <c r="D55" t="s">
        <v>761</v>
      </c>
      <c r="E55" s="5">
        <v>16.03</v>
      </c>
      <c r="F55" t="s">
        <v>21</v>
      </c>
    </row>
    <row r="56" spans="2:7" x14ac:dyDescent="0.25">
      <c r="B56" t="s">
        <v>509</v>
      </c>
      <c r="C56" s="3">
        <v>43517</v>
      </c>
      <c r="D56" t="s">
        <v>762</v>
      </c>
      <c r="E56" s="5">
        <v>5.09</v>
      </c>
      <c r="F56" t="s">
        <v>19</v>
      </c>
    </row>
    <row r="57" spans="2:7" x14ac:dyDescent="0.25">
      <c r="B57" t="s">
        <v>509</v>
      </c>
      <c r="C57" s="3">
        <v>43516</v>
      </c>
      <c r="D57" t="s">
        <v>763</v>
      </c>
      <c r="E57" s="5">
        <v>23</v>
      </c>
      <c r="F57" t="s">
        <v>198</v>
      </c>
    </row>
    <row r="58" spans="2:7" x14ac:dyDescent="0.25">
      <c r="B58" t="s">
        <v>509</v>
      </c>
      <c r="C58" s="3">
        <v>43516</v>
      </c>
      <c r="D58" t="s">
        <v>764</v>
      </c>
      <c r="E58" s="5">
        <v>15.51</v>
      </c>
      <c r="F58" t="s">
        <v>15</v>
      </c>
    </row>
    <row r="59" spans="2:7" x14ac:dyDescent="0.25">
      <c r="B59" t="s">
        <v>509</v>
      </c>
      <c r="C59" s="3">
        <v>43516</v>
      </c>
      <c r="D59" t="s">
        <v>765</v>
      </c>
      <c r="E59" s="5">
        <v>5.09</v>
      </c>
      <c r="F59" t="s">
        <v>19</v>
      </c>
    </row>
    <row r="60" spans="2:7" x14ac:dyDescent="0.25">
      <c r="B60" t="s">
        <v>509</v>
      </c>
      <c r="C60" s="3">
        <v>43515</v>
      </c>
      <c r="D60" t="s">
        <v>766</v>
      </c>
      <c r="E60" s="5">
        <v>151</v>
      </c>
      <c r="F60" t="s">
        <v>14</v>
      </c>
    </row>
    <row r="61" spans="2:7" x14ac:dyDescent="0.25">
      <c r="B61" t="s">
        <v>509</v>
      </c>
      <c r="C61" s="3">
        <v>43515</v>
      </c>
      <c r="D61" t="s">
        <v>656</v>
      </c>
      <c r="E61" s="5">
        <v>25.66</v>
      </c>
      <c r="F61" t="s">
        <v>755</v>
      </c>
    </row>
    <row r="62" spans="2:7" x14ac:dyDescent="0.25">
      <c r="B62" t="s">
        <v>509</v>
      </c>
      <c r="C62" s="3">
        <v>43515</v>
      </c>
      <c r="D62" t="s">
        <v>665</v>
      </c>
      <c r="E62" s="5">
        <v>19.649999999999999</v>
      </c>
      <c r="F62" t="s">
        <v>737</v>
      </c>
      <c r="G62" t="s">
        <v>737</v>
      </c>
    </row>
    <row r="63" spans="2:7" x14ac:dyDescent="0.25">
      <c r="B63" t="s">
        <v>509</v>
      </c>
      <c r="C63" s="3">
        <v>43515</v>
      </c>
      <c r="D63" t="s">
        <v>746</v>
      </c>
      <c r="E63" s="5">
        <v>5.09</v>
      </c>
      <c r="F63" t="s">
        <v>19</v>
      </c>
    </row>
    <row r="64" spans="2:7" x14ac:dyDescent="0.25">
      <c r="B64" t="s">
        <v>509</v>
      </c>
      <c r="C64" s="3">
        <v>43515</v>
      </c>
      <c r="D64" t="s">
        <v>747</v>
      </c>
      <c r="E64" s="5">
        <v>31.84</v>
      </c>
      <c r="F64" t="s">
        <v>15</v>
      </c>
    </row>
    <row r="65" spans="2:7" x14ac:dyDescent="0.25">
      <c r="B65" t="s">
        <v>509</v>
      </c>
      <c r="C65" s="3">
        <v>43515</v>
      </c>
      <c r="D65" t="s">
        <v>621</v>
      </c>
      <c r="E65" s="5">
        <v>2.99</v>
      </c>
      <c r="F65" t="s">
        <v>15</v>
      </c>
    </row>
    <row r="66" spans="2:7" x14ac:dyDescent="0.25">
      <c r="B66" t="s">
        <v>509</v>
      </c>
      <c r="C66" s="3">
        <v>43515</v>
      </c>
      <c r="D66" t="s">
        <v>622</v>
      </c>
      <c r="E66" s="5">
        <v>2.58</v>
      </c>
      <c r="F66" t="s">
        <v>755</v>
      </c>
    </row>
    <row r="67" spans="2:7" x14ac:dyDescent="0.25">
      <c r="B67" t="s">
        <v>509</v>
      </c>
      <c r="C67" s="3">
        <v>43515</v>
      </c>
      <c r="D67" t="s">
        <v>609</v>
      </c>
      <c r="E67" s="5">
        <v>45.27</v>
      </c>
      <c r="F67" t="s">
        <v>15</v>
      </c>
    </row>
    <row r="68" spans="2:7" x14ac:dyDescent="0.25">
      <c r="B68" t="s">
        <v>509</v>
      </c>
      <c r="C68" s="3">
        <v>43515</v>
      </c>
      <c r="D68" t="s">
        <v>43</v>
      </c>
      <c r="E68" s="5">
        <v>5.94</v>
      </c>
      <c r="F68" t="s">
        <v>19</v>
      </c>
    </row>
    <row r="69" spans="2:7" x14ac:dyDescent="0.25">
      <c r="B69" t="s">
        <v>509</v>
      </c>
      <c r="C69" s="3">
        <v>43515</v>
      </c>
      <c r="D69" t="s">
        <v>748</v>
      </c>
      <c r="E69" s="5">
        <v>25.02</v>
      </c>
      <c r="F69" t="s">
        <v>16</v>
      </c>
    </row>
    <row r="70" spans="2:7" x14ac:dyDescent="0.25">
      <c r="B70" t="s">
        <v>509</v>
      </c>
      <c r="C70" s="3">
        <v>43515</v>
      </c>
      <c r="D70" t="s">
        <v>665</v>
      </c>
      <c r="E70" s="5">
        <v>22.81</v>
      </c>
      <c r="F70" t="s">
        <v>737</v>
      </c>
      <c r="G70" t="s">
        <v>737</v>
      </c>
    </row>
    <row r="71" spans="2:7" x14ac:dyDescent="0.25">
      <c r="B71" t="s">
        <v>509</v>
      </c>
      <c r="C71" s="3">
        <v>43515</v>
      </c>
      <c r="D71" t="s">
        <v>665</v>
      </c>
      <c r="E71" s="5">
        <v>52.8</v>
      </c>
      <c r="F71" t="s">
        <v>737</v>
      </c>
      <c r="G71" t="s">
        <v>737</v>
      </c>
    </row>
    <row r="72" spans="2:7" x14ac:dyDescent="0.25">
      <c r="B72" t="s">
        <v>509</v>
      </c>
      <c r="C72" s="3">
        <v>43515</v>
      </c>
      <c r="D72" t="s">
        <v>706</v>
      </c>
      <c r="E72" s="5">
        <v>40.659999999999997</v>
      </c>
      <c r="F72" t="s">
        <v>17</v>
      </c>
    </row>
    <row r="73" spans="2:7" x14ac:dyDescent="0.25">
      <c r="B73" t="s">
        <v>509</v>
      </c>
      <c r="C73" s="3">
        <v>43515</v>
      </c>
      <c r="D73" t="s">
        <v>43</v>
      </c>
      <c r="E73" s="5">
        <v>42.8</v>
      </c>
      <c r="F73" t="s">
        <v>20</v>
      </c>
      <c r="G73" t="s">
        <v>754</v>
      </c>
    </row>
    <row r="74" spans="2:7" x14ac:dyDescent="0.25">
      <c r="B74" t="s">
        <v>509</v>
      </c>
      <c r="C74" s="3">
        <v>43515</v>
      </c>
      <c r="D74" t="s">
        <v>43</v>
      </c>
      <c r="E74" s="5">
        <v>4.2300000000000004</v>
      </c>
      <c r="F74" t="s">
        <v>19</v>
      </c>
    </row>
    <row r="75" spans="2:7" x14ac:dyDescent="0.25">
      <c r="B75" t="s">
        <v>509</v>
      </c>
      <c r="C75" s="3">
        <v>43515</v>
      </c>
      <c r="D75" t="s">
        <v>257</v>
      </c>
      <c r="E75" s="5">
        <v>12.84</v>
      </c>
      <c r="F75" t="s">
        <v>15</v>
      </c>
    </row>
    <row r="76" spans="2:7" x14ac:dyDescent="0.25">
      <c r="B76" t="s">
        <v>509</v>
      </c>
      <c r="C76" s="3">
        <v>43512</v>
      </c>
      <c r="D76" t="s">
        <v>718</v>
      </c>
      <c r="E76" s="5">
        <v>24.08</v>
      </c>
      <c r="F76" t="s">
        <v>17</v>
      </c>
    </row>
    <row r="77" spans="2:7" x14ac:dyDescent="0.25">
      <c r="B77" t="s">
        <v>509</v>
      </c>
      <c r="C77" s="3">
        <v>43511</v>
      </c>
      <c r="D77" t="s">
        <v>749</v>
      </c>
      <c r="E77" s="5">
        <v>16.38</v>
      </c>
      <c r="F77" t="s">
        <v>17</v>
      </c>
    </row>
    <row r="78" spans="2:7" x14ac:dyDescent="0.25">
      <c r="B78" t="s">
        <v>509</v>
      </c>
      <c r="C78" s="3">
        <v>43510</v>
      </c>
      <c r="D78" t="s">
        <v>750</v>
      </c>
      <c r="E78" s="5">
        <v>5.55</v>
      </c>
      <c r="F78" t="s">
        <v>21</v>
      </c>
    </row>
    <row r="79" spans="2:7" x14ac:dyDescent="0.25">
      <c r="B79" t="s">
        <v>509</v>
      </c>
      <c r="C79" s="3">
        <v>43510</v>
      </c>
      <c r="D79" t="s">
        <v>751</v>
      </c>
      <c r="E79" s="5">
        <v>17.11</v>
      </c>
      <c r="F79" t="s">
        <v>755</v>
      </c>
    </row>
    <row r="80" spans="2:7" x14ac:dyDescent="0.25">
      <c r="B80" t="s">
        <v>509</v>
      </c>
      <c r="C80" s="3">
        <v>43510</v>
      </c>
      <c r="D80" t="s">
        <v>752</v>
      </c>
      <c r="E80" s="5">
        <v>25.67</v>
      </c>
      <c r="F80" t="s">
        <v>21</v>
      </c>
    </row>
    <row r="81" spans="2:7" x14ac:dyDescent="0.25">
      <c r="B81" t="s">
        <v>509</v>
      </c>
      <c r="C81" s="3">
        <v>43509</v>
      </c>
      <c r="D81" t="s">
        <v>753</v>
      </c>
      <c r="E81" s="5">
        <v>12.79</v>
      </c>
      <c r="F81" t="s">
        <v>737</v>
      </c>
      <c r="G81" t="s">
        <v>737</v>
      </c>
    </row>
    <row r="82" spans="2:7" x14ac:dyDescent="0.25">
      <c r="B82" t="s">
        <v>509</v>
      </c>
      <c r="C82" s="3">
        <v>43509</v>
      </c>
      <c r="D82" t="s">
        <v>621</v>
      </c>
      <c r="E82" s="5">
        <v>12.22</v>
      </c>
      <c r="F82" t="s">
        <v>15</v>
      </c>
    </row>
    <row r="83" spans="2:7" x14ac:dyDescent="0.25">
      <c r="B83" t="s">
        <v>509</v>
      </c>
      <c r="C83" s="3">
        <v>43509</v>
      </c>
      <c r="D83" t="s">
        <v>739</v>
      </c>
      <c r="E83" s="5">
        <v>90</v>
      </c>
      <c r="F83" t="s">
        <v>677</v>
      </c>
    </row>
    <row r="84" spans="2:7" x14ac:dyDescent="0.25">
      <c r="B84" t="s">
        <v>509</v>
      </c>
      <c r="C84" s="3">
        <v>43509</v>
      </c>
      <c r="D84" t="s">
        <v>740</v>
      </c>
      <c r="E84" s="5">
        <v>16.920000000000002</v>
      </c>
      <c r="F84" t="s">
        <v>18</v>
      </c>
    </row>
    <row r="85" spans="2:7" x14ac:dyDescent="0.25">
      <c r="B85" t="s">
        <v>509</v>
      </c>
      <c r="C85" s="3">
        <v>43509</v>
      </c>
      <c r="D85" t="s">
        <v>670</v>
      </c>
      <c r="E85" s="5">
        <v>5.09</v>
      </c>
      <c r="F85" t="s">
        <v>19</v>
      </c>
    </row>
    <row r="86" spans="2:7" x14ac:dyDescent="0.25">
      <c r="B86" t="s">
        <v>509</v>
      </c>
      <c r="C86" s="3">
        <v>43508</v>
      </c>
      <c r="D86" t="s">
        <v>741</v>
      </c>
      <c r="E86" s="5">
        <v>60</v>
      </c>
      <c r="F86" t="s">
        <v>202</v>
      </c>
    </row>
    <row r="87" spans="2:7" x14ac:dyDescent="0.25">
      <c r="B87" t="s">
        <v>509</v>
      </c>
      <c r="C87" s="3">
        <v>43508</v>
      </c>
      <c r="D87" t="s">
        <v>742</v>
      </c>
      <c r="E87" s="5">
        <v>18.52</v>
      </c>
      <c r="F87" t="s">
        <v>17</v>
      </c>
    </row>
    <row r="88" spans="2:7" x14ac:dyDescent="0.25">
      <c r="B88" t="s">
        <v>509</v>
      </c>
      <c r="C88" s="3">
        <v>43507</v>
      </c>
      <c r="D88" t="s">
        <v>743</v>
      </c>
      <c r="E88" s="5">
        <v>9</v>
      </c>
      <c r="F88" t="s">
        <v>15</v>
      </c>
    </row>
    <row r="89" spans="2:7" x14ac:dyDescent="0.25">
      <c r="B89" t="s">
        <v>509</v>
      </c>
      <c r="C89" s="3">
        <v>43507</v>
      </c>
      <c r="D89" t="s">
        <v>744</v>
      </c>
      <c r="E89" s="5">
        <v>80.7</v>
      </c>
      <c r="F89" t="s">
        <v>737</v>
      </c>
      <c r="G89" t="s">
        <v>737</v>
      </c>
    </row>
    <row r="90" spans="2:7" x14ac:dyDescent="0.25">
      <c r="B90" t="s">
        <v>509</v>
      </c>
      <c r="C90" s="3">
        <v>43507</v>
      </c>
      <c r="D90" t="s">
        <v>745</v>
      </c>
      <c r="E90" s="5">
        <v>9.94</v>
      </c>
      <c r="F90" t="s">
        <v>15</v>
      </c>
    </row>
    <row r="91" spans="2:7" x14ac:dyDescent="0.25">
      <c r="B91" t="s">
        <v>509</v>
      </c>
      <c r="C91" s="3">
        <v>43507</v>
      </c>
      <c r="D91" t="s">
        <v>712</v>
      </c>
      <c r="E91" s="5">
        <v>250</v>
      </c>
      <c r="F91" t="s">
        <v>677</v>
      </c>
    </row>
    <row r="92" spans="2:7" x14ac:dyDescent="0.25">
      <c r="B92" t="s">
        <v>509</v>
      </c>
      <c r="C92" s="3">
        <v>43507</v>
      </c>
      <c r="D92" t="s">
        <v>621</v>
      </c>
      <c r="E92" s="5">
        <v>10</v>
      </c>
      <c r="F92" t="s">
        <v>15</v>
      </c>
    </row>
    <row r="93" spans="2:7" x14ac:dyDescent="0.25">
      <c r="B93" t="s">
        <v>509</v>
      </c>
      <c r="C93" s="3">
        <v>43507</v>
      </c>
      <c r="D93" t="s">
        <v>706</v>
      </c>
      <c r="E93" s="5">
        <v>15.52</v>
      </c>
      <c r="F93" t="s">
        <v>17</v>
      </c>
    </row>
    <row r="94" spans="2:7" x14ac:dyDescent="0.25">
      <c r="B94" t="s">
        <v>509</v>
      </c>
      <c r="C94" s="3">
        <v>43507</v>
      </c>
      <c r="D94" t="s">
        <v>621</v>
      </c>
      <c r="E94" s="5">
        <v>11.41</v>
      </c>
      <c r="F94" t="s">
        <v>15</v>
      </c>
    </row>
    <row r="95" spans="2:7" x14ac:dyDescent="0.25">
      <c r="B95" t="s">
        <v>509</v>
      </c>
      <c r="C95" s="3">
        <v>43507</v>
      </c>
      <c r="D95" t="s">
        <v>713</v>
      </c>
      <c r="E95" s="5">
        <v>15.51</v>
      </c>
      <c r="F95" t="s">
        <v>15</v>
      </c>
    </row>
    <row r="96" spans="2:7" x14ac:dyDescent="0.25">
      <c r="B96" t="s">
        <v>509</v>
      </c>
      <c r="C96" s="3">
        <v>43507</v>
      </c>
      <c r="D96" t="s">
        <v>257</v>
      </c>
      <c r="E96" s="5">
        <v>6.42</v>
      </c>
      <c r="F96" t="s">
        <v>15</v>
      </c>
    </row>
    <row r="97" spans="2:7" x14ac:dyDescent="0.25">
      <c r="B97" t="s">
        <v>509</v>
      </c>
      <c r="C97" s="3">
        <v>43507</v>
      </c>
      <c r="D97" t="s">
        <v>43</v>
      </c>
      <c r="E97" s="5">
        <v>4.2300000000000004</v>
      </c>
      <c r="F97" t="s">
        <v>19</v>
      </c>
    </row>
    <row r="98" spans="2:7" x14ac:dyDescent="0.25">
      <c r="B98" t="s">
        <v>509</v>
      </c>
      <c r="C98" s="3">
        <v>43507</v>
      </c>
      <c r="D98" t="s">
        <v>714</v>
      </c>
      <c r="E98" s="5">
        <v>199.71</v>
      </c>
      <c r="F98" t="s">
        <v>737</v>
      </c>
      <c r="G98" t="s">
        <v>737</v>
      </c>
    </row>
    <row r="99" spans="2:7" x14ac:dyDescent="0.25">
      <c r="B99" t="s">
        <v>509</v>
      </c>
      <c r="C99" s="3">
        <v>43507</v>
      </c>
      <c r="D99" t="s">
        <v>355</v>
      </c>
      <c r="E99" s="5">
        <v>557.80999999999995</v>
      </c>
      <c r="F99" t="s">
        <v>737</v>
      </c>
      <c r="G99" t="s">
        <v>737</v>
      </c>
    </row>
    <row r="100" spans="2:7" x14ac:dyDescent="0.25">
      <c r="B100" t="s">
        <v>509</v>
      </c>
      <c r="C100" s="3">
        <v>43507</v>
      </c>
      <c r="D100" t="s">
        <v>95</v>
      </c>
      <c r="E100" s="5">
        <v>-1250</v>
      </c>
      <c r="F100" t="s">
        <v>738</v>
      </c>
      <c r="G100" t="s">
        <v>738</v>
      </c>
    </row>
    <row r="101" spans="2:7" x14ac:dyDescent="0.25">
      <c r="B101" t="s">
        <v>509</v>
      </c>
      <c r="C101" s="3">
        <v>43507</v>
      </c>
      <c r="D101" t="s">
        <v>715</v>
      </c>
      <c r="E101" s="5">
        <v>24</v>
      </c>
      <c r="F101" t="s">
        <v>198</v>
      </c>
    </row>
    <row r="102" spans="2:7" x14ac:dyDescent="0.25">
      <c r="B102" t="s">
        <v>509</v>
      </c>
      <c r="C102" s="3">
        <v>43505</v>
      </c>
      <c r="D102" t="s">
        <v>716</v>
      </c>
      <c r="E102" s="5">
        <v>71.06</v>
      </c>
      <c r="F102" t="s">
        <v>17</v>
      </c>
    </row>
    <row r="103" spans="2:7" x14ac:dyDescent="0.25">
      <c r="B103" t="s">
        <v>509</v>
      </c>
      <c r="C103" s="3">
        <v>43505</v>
      </c>
      <c r="D103" t="s">
        <v>717</v>
      </c>
      <c r="E103" s="5">
        <v>19.54</v>
      </c>
      <c r="F103" t="s">
        <v>17</v>
      </c>
    </row>
    <row r="104" spans="2:7" x14ac:dyDescent="0.25">
      <c r="B104" t="s">
        <v>509</v>
      </c>
      <c r="C104" s="3">
        <v>43505</v>
      </c>
      <c r="D104" t="s">
        <v>718</v>
      </c>
      <c r="E104" s="5">
        <v>17.98</v>
      </c>
      <c r="F104" t="s">
        <v>17</v>
      </c>
    </row>
    <row r="105" spans="2:7" x14ac:dyDescent="0.25">
      <c r="B105" t="s">
        <v>509</v>
      </c>
      <c r="C105" s="3">
        <v>43507</v>
      </c>
      <c r="D105" t="s">
        <v>719</v>
      </c>
      <c r="E105" s="5">
        <v>45.08</v>
      </c>
      <c r="F105" t="s">
        <v>20</v>
      </c>
    </row>
    <row r="106" spans="2:7" x14ac:dyDescent="0.25">
      <c r="B106" t="s">
        <v>509</v>
      </c>
      <c r="C106" s="3">
        <v>43504</v>
      </c>
      <c r="D106" t="s">
        <v>720</v>
      </c>
      <c r="E106" s="5">
        <v>29.61</v>
      </c>
      <c r="F106" t="s">
        <v>17</v>
      </c>
    </row>
    <row r="107" spans="2:7" x14ac:dyDescent="0.25">
      <c r="B107" t="s">
        <v>509</v>
      </c>
      <c r="C107" s="3">
        <v>43504</v>
      </c>
      <c r="D107" t="s">
        <v>50</v>
      </c>
      <c r="E107" s="5">
        <v>-3485.05</v>
      </c>
      <c r="F107" t="s">
        <v>196</v>
      </c>
    </row>
    <row r="108" spans="2:7" x14ac:dyDescent="0.25">
      <c r="B108" t="s">
        <v>509</v>
      </c>
      <c r="C108" s="3">
        <v>43503</v>
      </c>
      <c r="D108" t="s">
        <v>721</v>
      </c>
      <c r="E108" s="5">
        <v>12.49</v>
      </c>
      <c r="F108" t="s">
        <v>677</v>
      </c>
    </row>
    <row r="109" spans="2:7" x14ac:dyDescent="0.25">
      <c r="B109" t="s">
        <v>509</v>
      </c>
      <c r="C109" s="3">
        <v>43503</v>
      </c>
      <c r="D109" t="s">
        <v>722</v>
      </c>
      <c r="E109" s="5">
        <v>27.81</v>
      </c>
      <c r="F109" t="s">
        <v>15</v>
      </c>
    </row>
    <row r="110" spans="2:7" x14ac:dyDescent="0.25">
      <c r="B110" t="s">
        <v>509</v>
      </c>
      <c r="C110" s="3">
        <v>43503</v>
      </c>
      <c r="D110" t="s">
        <v>723</v>
      </c>
      <c r="E110" s="5">
        <v>8.01</v>
      </c>
      <c r="F110" t="s">
        <v>21</v>
      </c>
    </row>
    <row r="111" spans="2:7" x14ac:dyDescent="0.25">
      <c r="B111" t="s">
        <v>509</v>
      </c>
      <c r="C111" s="3">
        <v>43503</v>
      </c>
      <c r="D111" t="s">
        <v>724</v>
      </c>
      <c r="E111" s="5">
        <v>-115</v>
      </c>
    </row>
    <row r="112" spans="2:7" x14ac:dyDescent="0.25">
      <c r="B112" t="s">
        <v>509</v>
      </c>
      <c r="C112" s="3">
        <v>43502</v>
      </c>
      <c r="D112" t="s">
        <v>725</v>
      </c>
      <c r="E112" s="5">
        <v>40.950000000000003</v>
      </c>
      <c r="F112" t="s">
        <v>329</v>
      </c>
    </row>
    <row r="113" spans="2:7" x14ac:dyDescent="0.25">
      <c r="B113" t="s">
        <v>509</v>
      </c>
      <c r="C113" s="3">
        <v>43502</v>
      </c>
      <c r="D113" t="s">
        <v>726</v>
      </c>
      <c r="E113" s="5">
        <v>7.18</v>
      </c>
      <c r="F113" t="s">
        <v>15</v>
      </c>
    </row>
    <row r="114" spans="2:7" x14ac:dyDescent="0.25">
      <c r="B114" t="s">
        <v>509</v>
      </c>
      <c r="C114" s="3">
        <v>43502</v>
      </c>
      <c r="D114" t="s">
        <v>727</v>
      </c>
      <c r="E114" s="5">
        <v>13.9</v>
      </c>
      <c r="F114" t="s">
        <v>21</v>
      </c>
    </row>
    <row r="115" spans="2:7" x14ac:dyDescent="0.25">
      <c r="B115" t="s">
        <v>509</v>
      </c>
      <c r="C115" s="3">
        <v>43502</v>
      </c>
      <c r="D115" t="s">
        <v>728</v>
      </c>
      <c r="E115" s="5">
        <v>6.02</v>
      </c>
      <c r="F115" t="s">
        <v>15</v>
      </c>
    </row>
    <row r="116" spans="2:7" x14ac:dyDescent="0.25">
      <c r="B116" t="s">
        <v>509</v>
      </c>
      <c r="C116" s="3">
        <v>43502</v>
      </c>
      <c r="D116" t="s">
        <v>729</v>
      </c>
      <c r="E116" s="5">
        <v>17.170000000000002</v>
      </c>
      <c r="F116" t="s">
        <v>21</v>
      </c>
    </row>
    <row r="117" spans="2:7" x14ac:dyDescent="0.25">
      <c r="B117" t="s">
        <v>509</v>
      </c>
      <c r="C117" s="3">
        <v>43502</v>
      </c>
      <c r="D117" t="s">
        <v>730</v>
      </c>
      <c r="E117" s="5">
        <v>5.55</v>
      </c>
      <c r="F117" t="s">
        <v>21</v>
      </c>
    </row>
    <row r="118" spans="2:7" x14ac:dyDescent="0.25">
      <c r="B118" t="s">
        <v>509</v>
      </c>
      <c r="C118" s="3">
        <v>43502</v>
      </c>
      <c r="D118" t="s">
        <v>731</v>
      </c>
      <c r="E118" s="5">
        <v>90</v>
      </c>
      <c r="F118" t="s">
        <v>677</v>
      </c>
    </row>
    <row r="119" spans="2:7" x14ac:dyDescent="0.25">
      <c r="B119" t="s">
        <v>509</v>
      </c>
      <c r="C119" s="3">
        <v>43502</v>
      </c>
      <c r="D119" t="s">
        <v>732</v>
      </c>
      <c r="E119" s="5">
        <v>20.12</v>
      </c>
      <c r="F119" t="s">
        <v>17</v>
      </c>
    </row>
    <row r="120" spans="2:7" x14ac:dyDescent="0.25">
      <c r="B120" t="s">
        <v>509</v>
      </c>
      <c r="C120" s="3">
        <v>43501</v>
      </c>
      <c r="D120" t="s">
        <v>364</v>
      </c>
      <c r="E120" s="5">
        <v>299</v>
      </c>
      <c r="F120" t="s">
        <v>8</v>
      </c>
    </row>
    <row r="121" spans="2:7" x14ac:dyDescent="0.25">
      <c r="B121" t="s">
        <v>509</v>
      </c>
      <c r="C121" s="3">
        <v>43501</v>
      </c>
      <c r="D121" t="s">
        <v>733</v>
      </c>
      <c r="E121" s="5">
        <v>20</v>
      </c>
      <c r="F121" t="s">
        <v>16</v>
      </c>
    </row>
    <row r="122" spans="2:7" x14ac:dyDescent="0.25">
      <c r="B122" t="s">
        <v>509</v>
      </c>
      <c r="C122" s="3">
        <v>43501</v>
      </c>
      <c r="D122" t="s">
        <v>734</v>
      </c>
      <c r="E122" s="5">
        <v>1225</v>
      </c>
      <c r="F122" t="s">
        <v>12</v>
      </c>
    </row>
    <row r="123" spans="2:7" x14ac:dyDescent="0.25">
      <c r="B123" t="s">
        <v>509</v>
      </c>
      <c r="C123" s="3">
        <v>43501</v>
      </c>
      <c r="D123" t="s">
        <v>735</v>
      </c>
      <c r="E123" s="5">
        <v>2.54</v>
      </c>
      <c r="F123" t="s">
        <v>15</v>
      </c>
    </row>
    <row r="124" spans="2:7" x14ac:dyDescent="0.25">
      <c r="B124" t="s">
        <v>509</v>
      </c>
      <c r="C124" s="3">
        <v>43501</v>
      </c>
      <c r="D124" t="s">
        <v>736</v>
      </c>
      <c r="E124" s="5">
        <v>1145.3800000000001</v>
      </c>
      <c r="F124" t="s">
        <v>737</v>
      </c>
      <c r="G124" t="s">
        <v>737</v>
      </c>
    </row>
    <row r="125" spans="2:7" x14ac:dyDescent="0.25">
      <c r="B125" t="s">
        <v>509</v>
      </c>
      <c r="C125" s="3">
        <v>43500</v>
      </c>
      <c r="D125" t="s">
        <v>621</v>
      </c>
      <c r="E125" s="5">
        <v>34.97</v>
      </c>
      <c r="F125" t="s">
        <v>15</v>
      </c>
    </row>
    <row r="126" spans="2:7" x14ac:dyDescent="0.25">
      <c r="B126" t="s">
        <v>509</v>
      </c>
      <c r="C126" s="3">
        <v>43500</v>
      </c>
      <c r="D126" t="s">
        <v>703</v>
      </c>
      <c r="E126" s="5">
        <v>124.33</v>
      </c>
      <c r="F126" t="s">
        <v>17</v>
      </c>
    </row>
    <row r="127" spans="2:7" x14ac:dyDescent="0.25">
      <c r="B127" t="s">
        <v>509</v>
      </c>
      <c r="C127" s="3">
        <v>43500</v>
      </c>
      <c r="D127" t="s">
        <v>704</v>
      </c>
      <c r="E127" s="5">
        <v>20</v>
      </c>
      <c r="F127" t="s">
        <v>18</v>
      </c>
    </row>
    <row r="128" spans="2:7" x14ac:dyDescent="0.25">
      <c r="B128" t="s">
        <v>509</v>
      </c>
      <c r="C128" s="3">
        <v>43500</v>
      </c>
      <c r="D128" t="s">
        <v>705</v>
      </c>
      <c r="E128" s="5">
        <v>32</v>
      </c>
      <c r="F128" t="s">
        <v>18</v>
      </c>
    </row>
    <row r="129" spans="2:8" x14ac:dyDescent="0.25">
      <c r="B129" t="s">
        <v>509</v>
      </c>
      <c r="C129" s="3">
        <v>43500</v>
      </c>
      <c r="D129" t="s">
        <v>257</v>
      </c>
      <c r="E129" s="5">
        <v>8.56</v>
      </c>
      <c r="F129" t="s">
        <v>15</v>
      </c>
    </row>
    <row r="130" spans="2:8" x14ac:dyDescent="0.25">
      <c r="B130" t="s">
        <v>509</v>
      </c>
      <c r="C130" s="3">
        <v>43500</v>
      </c>
      <c r="D130" t="s">
        <v>706</v>
      </c>
      <c r="E130" s="5">
        <v>21.66</v>
      </c>
      <c r="F130" t="s">
        <v>17</v>
      </c>
    </row>
    <row r="131" spans="2:8" x14ac:dyDescent="0.25">
      <c r="B131" t="s">
        <v>509</v>
      </c>
      <c r="C131" s="3">
        <v>43500</v>
      </c>
      <c r="D131" t="s">
        <v>707</v>
      </c>
      <c r="E131" s="5">
        <v>25.7</v>
      </c>
      <c r="F131" t="s">
        <v>16</v>
      </c>
    </row>
    <row r="132" spans="2:8" x14ac:dyDescent="0.25">
      <c r="B132" t="s">
        <v>509</v>
      </c>
      <c r="C132" s="3">
        <v>43500</v>
      </c>
      <c r="D132" t="s">
        <v>144</v>
      </c>
      <c r="E132" s="5">
        <v>28.61</v>
      </c>
      <c r="F132" t="s">
        <v>17</v>
      </c>
    </row>
    <row r="133" spans="2:8" x14ac:dyDescent="0.25">
      <c r="B133" t="s">
        <v>509</v>
      </c>
      <c r="C133" s="3">
        <v>43500</v>
      </c>
      <c r="D133" t="s">
        <v>708</v>
      </c>
      <c r="E133" s="5">
        <v>87.82</v>
      </c>
      <c r="F133" t="s">
        <v>507</v>
      </c>
      <c r="G133">
        <v>71.819999999999993</v>
      </c>
      <c r="H133" s="18">
        <f>E133-G133</f>
        <v>16</v>
      </c>
    </row>
    <row r="134" spans="2:8" x14ac:dyDescent="0.25">
      <c r="B134" t="s">
        <v>509</v>
      </c>
      <c r="C134" s="3">
        <v>43500</v>
      </c>
      <c r="D134" t="s">
        <v>40</v>
      </c>
      <c r="E134" s="5">
        <v>2.25</v>
      </c>
      <c r="F134" t="s">
        <v>20</v>
      </c>
    </row>
    <row r="135" spans="2:8" x14ac:dyDescent="0.25">
      <c r="B135" t="s">
        <v>509</v>
      </c>
      <c r="C135" s="3">
        <v>43500</v>
      </c>
      <c r="D135" t="s">
        <v>43</v>
      </c>
      <c r="E135" s="5">
        <v>21.39</v>
      </c>
      <c r="F135" t="s">
        <v>20</v>
      </c>
    </row>
    <row r="136" spans="2:8" x14ac:dyDescent="0.25">
      <c r="B136" t="s">
        <v>509</v>
      </c>
      <c r="C136" s="3">
        <v>43500</v>
      </c>
      <c r="D136" t="s">
        <v>43</v>
      </c>
      <c r="E136" s="5">
        <v>5.56</v>
      </c>
      <c r="F136" t="s">
        <v>19</v>
      </c>
    </row>
    <row r="137" spans="2:8" x14ac:dyDescent="0.25">
      <c r="B137" t="s">
        <v>509</v>
      </c>
      <c r="C137" s="3">
        <v>43500</v>
      </c>
      <c r="D137" t="s">
        <v>709</v>
      </c>
      <c r="E137" s="5">
        <v>11.95</v>
      </c>
      <c r="F137" t="s">
        <v>334</v>
      </c>
    </row>
    <row r="138" spans="2:8" x14ac:dyDescent="0.25">
      <c r="B138" t="s">
        <v>509</v>
      </c>
      <c r="C138" s="3">
        <v>43498</v>
      </c>
      <c r="D138" t="s">
        <v>615</v>
      </c>
      <c r="E138" s="5">
        <v>17.98</v>
      </c>
      <c r="F138" t="s">
        <v>17</v>
      </c>
    </row>
    <row r="139" spans="2:8" x14ac:dyDescent="0.25">
      <c r="B139" t="s">
        <v>509</v>
      </c>
      <c r="C139" s="3">
        <v>43500</v>
      </c>
      <c r="D139" t="s">
        <v>608</v>
      </c>
      <c r="E139" s="5">
        <v>65</v>
      </c>
      <c r="F139" t="s">
        <v>506</v>
      </c>
    </row>
    <row r="140" spans="2:8" x14ac:dyDescent="0.25">
      <c r="B140" t="s">
        <v>509</v>
      </c>
      <c r="C140" s="3">
        <v>43500</v>
      </c>
      <c r="D140" t="s">
        <v>251</v>
      </c>
      <c r="E140" s="5">
        <v>828.15</v>
      </c>
      <c r="F140" t="s">
        <v>11</v>
      </c>
    </row>
    <row r="141" spans="2:8" x14ac:dyDescent="0.25">
      <c r="B141" t="s">
        <v>509</v>
      </c>
      <c r="C141" s="3">
        <v>43500</v>
      </c>
      <c r="D141" t="s">
        <v>706</v>
      </c>
      <c r="E141" s="5">
        <v>7.35</v>
      </c>
      <c r="F141" t="s">
        <v>17</v>
      </c>
    </row>
    <row r="142" spans="2:8" x14ac:dyDescent="0.25">
      <c r="B142" t="s">
        <v>509</v>
      </c>
      <c r="C142" s="3">
        <v>43497</v>
      </c>
      <c r="D142" t="s">
        <v>710</v>
      </c>
      <c r="E142" s="5">
        <v>60</v>
      </c>
      <c r="F142" t="s">
        <v>202</v>
      </c>
    </row>
    <row r="143" spans="2:8" x14ac:dyDescent="0.25">
      <c r="B143" t="s">
        <v>509</v>
      </c>
      <c r="C143" s="3">
        <v>43497</v>
      </c>
      <c r="D143" t="s">
        <v>711</v>
      </c>
      <c r="E143" s="5">
        <v>90</v>
      </c>
      <c r="F143" t="s">
        <v>677</v>
      </c>
    </row>
    <row r="144" spans="2:8" x14ac:dyDescent="0.25">
      <c r="B144" t="s">
        <v>607</v>
      </c>
      <c r="C144" s="3">
        <v>43496</v>
      </c>
      <c r="D144" t="s">
        <v>104</v>
      </c>
      <c r="E144" s="5">
        <v>-0.01</v>
      </c>
      <c r="F144" t="s">
        <v>20</v>
      </c>
    </row>
    <row r="145" spans="2:6" x14ac:dyDescent="0.25">
      <c r="B145" t="s">
        <v>607</v>
      </c>
      <c r="C145" s="3">
        <v>43496</v>
      </c>
      <c r="D145" t="s">
        <v>697</v>
      </c>
      <c r="E145" s="5">
        <v>17.64</v>
      </c>
      <c r="F145" t="s">
        <v>677</v>
      </c>
    </row>
    <row r="146" spans="2:6" x14ac:dyDescent="0.25">
      <c r="B146" t="s">
        <v>607</v>
      </c>
      <c r="C146" s="3">
        <v>43496</v>
      </c>
      <c r="D146" t="s">
        <v>698</v>
      </c>
      <c r="E146" s="5">
        <v>16.03</v>
      </c>
      <c r="F146" t="s">
        <v>21</v>
      </c>
    </row>
    <row r="147" spans="2:6" x14ac:dyDescent="0.25">
      <c r="B147" t="s">
        <v>607</v>
      </c>
      <c r="C147" s="3">
        <v>43496</v>
      </c>
      <c r="D147" t="s">
        <v>699</v>
      </c>
      <c r="E147" s="5">
        <v>17.72</v>
      </c>
      <c r="F147" t="s">
        <v>195</v>
      </c>
    </row>
    <row r="148" spans="2:6" x14ac:dyDescent="0.25">
      <c r="B148" t="s">
        <v>607</v>
      </c>
      <c r="C148" s="3">
        <v>43495</v>
      </c>
      <c r="D148" t="s">
        <v>700</v>
      </c>
      <c r="E148" s="5">
        <v>20.04</v>
      </c>
      <c r="F148" t="s">
        <v>16</v>
      </c>
    </row>
    <row r="149" spans="2:6" x14ac:dyDescent="0.25">
      <c r="B149" t="s">
        <v>607</v>
      </c>
      <c r="C149" s="3">
        <v>43495</v>
      </c>
      <c r="D149" t="s">
        <v>701</v>
      </c>
      <c r="E149" s="5">
        <v>5.67</v>
      </c>
      <c r="F149" t="s">
        <v>15</v>
      </c>
    </row>
    <row r="150" spans="2:6" x14ac:dyDescent="0.25">
      <c r="B150" t="s">
        <v>607</v>
      </c>
      <c r="C150" s="3">
        <v>43495</v>
      </c>
      <c r="D150" t="s">
        <v>702</v>
      </c>
      <c r="E150" s="5">
        <v>27.8</v>
      </c>
      <c r="F150" t="s">
        <v>755</v>
      </c>
    </row>
    <row r="151" spans="2:6" x14ac:dyDescent="0.25">
      <c r="B151" t="s">
        <v>607</v>
      </c>
      <c r="C151" s="3">
        <v>43494</v>
      </c>
      <c r="D151" t="s">
        <v>696</v>
      </c>
      <c r="E151" s="5">
        <v>6.5</v>
      </c>
      <c r="F151" t="s">
        <v>15</v>
      </c>
    </row>
    <row r="152" spans="2:6" x14ac:dyDescent="0.25">
      <c r="B152" t="s">
        <v>607</v>
      </c>
      <c r="C152" s="3">
        <v>43494</v>
      </c>
      <c r="D152" t="s">
        <v>679</v>
      </c>
      <c r="E152" s="5">
        <v>64.73</v>
      </c>
      <c r="F152" t="s">
        <v>677</v>
      </c>
    </row>
    <row r="153" spans="2:6" x14ac:dyDescent="0.25">
      <c r="B153" t="s">
        <v>607</v>
      </c>
      <c r="C153" s="3">
        <v>43494</v>
      </c>
      <c r="D153" t="s">
        <v>680</v>
      </c>
      <c r="E153" s="5">
        <v>21.39</v>
      </c>
      <c r="F153" t="s">
        <v>138</v>
      </c>
    </row>
    <row r="154" spans="2:6" x14ac:dyDescent="0.25">
      <c r="B154" t="s">
        <v>607</v>
      </c>
      <c r="C154" s="3">
        <v>43494</v>
      </c>
      <c r="D154" t="s">
        <v>44</v>
      </c>
      <c r="E154" s="5">
        <v>10</v>
      </c>
      <c r="F154" t="s">
        <v>20</v>
      </c>
    </row>
    <row r="155" spans="2:6" x14ac:dyDescent="0.25">
      <c r="B155" t="s">
        <v>607</v>
      </c>
      <c r="C155" s="3">
        <v>43494</v>
      </c>
      <c r="D155" t="s">
        <v>140</v>
      </c>
      <c r="E155" s="5">
        <v>437.54</v>
      </c>
      <c r="F155" t="s">
        <v>192</v>
      </c>
    </row>
    <row r="156" spans="2:6" x14ac:dyDescent="0.25">
      <c r="B156" t="s">
        <v>607</v>
      </c>
      <c r="C156" s="3">
        <v>43493</v>
      </c>
      <c r="D156" t="s">
        <v>681</v>
      </c>
      <c r="E156" s="5">
        <v>14.93</v>
      </c>
      <c r="F156" t="s">
        <v>15</v>
      </c>
    </row>
    <row r="157" spans="2:6" x14ac:dyDescent="0.25">
      <c r="B157" t="s">
        <v>607</v>
      </c>
      <c r="C157" s="3">
        <v>43493</v>
      </c>
      <c r="D157" t="s">
        <v>682</v>
      </c>
      <c r="E157" s="5">
        <v>13.73</v>
      </c>
      <c r="F157" t="s">
        <v>15</v>
      </c>
    </row>
    <row r="158" spans="2:6" x14ac:dyDescent="0.25">
      <c r="B158" t="s">
        <v>607</v>
      </c>
      <c r="C158" s="3">
        <v>43493</v>
      </c>
      <c r="D158" t="s">
        <v>683</v>
      </c>
      <c r="E158" s="5">
        <v>22.75</v>
      </c>
      <c r="F158" t="s">
        <v>15</v>
      </c>
    </row>
    <row r="159" spans="2:6" x14ac:dyDescent="0.25">
      <c r="B159" t="s">
        <v>607</v>
      </c>
      <c r="C159" s="3">
        <v>43493</v>
      </c>
      <c r="D159" t="s">
        <v>684</v>
      </c>
      <c r="E159" s="5">
        <v>9.24</v>
      </c>
      <c r="F159" t="s">
        <v>17</v>
      </c>
    </row>
    <row r="160" spans="2:6" x14ac:dyDescent="0.25">
      <c r="B160" t="s">
        <v>607</v>
      </c>
      <c r="C160" s="3">
        <v>43493</v>
      </c>
      <c r="D160" t="s">
        <v>685</v>
      </c>
      <c r="E160" s="5">
        <v>2.73</v>
      </c>
      <c r="F160" t="s">
        <v>19</v>
      </c>
    </row>
    <row r="161" spans="2:6" x14ac:dyDescent="0.25">
      <c r="B161" t="s">
        <v>607</v>
      </c>
      <c r="C161" s="3">
        <v>43493</v>
      </c>
      <c r="D161" t="s">
        <v>686</v>
      </c>
      <c r="E161" s="5">
        <v>9.24</v>
      </c>
      <c r="F161" t="s">
        <v>17</v>
      </c>
    </row>
    <row r="162" spans="2:6" x14ac:dyDescent="0.25">
      <c r="B162" t="s">
        <v>607</v>
      </c>
      <c r="C162" s="3">
        <v>43493</v>
      </c>
      <c r="D162" t="s">
        <v>687</v>
      </c>
      <c r="E162" s="5">
        <v>10</v>
      </c>
      <c r="F162" t="s">
        <v>20</v>
      </c>
    </row>
    <row r="163" spans="2:6" x14ac:dyDescent="0.25">
      <c r="B163" t="s">
        <v>607</v>
      </c>
      <c r="C163" s="3">
        <v>43493</v>
      </c>
      <c r="D163" t="s">
        <v>688</v>
      </c>
      <c r="E163" s="5">
        <v>25.13</v>
      </c>
      <c r="F163" t="s">
        <v>16</v>
      </c>
    </row>
    <row r="164" spans="2:6" x14ac:dyDescent="0.25">
      <c r="B164" t="s">
        <v>607</v>
      </c>
      <c r="C164" s="3">
        <v>43493</v>
      </c>
      <c r="D164" t="s">
        <v>689</v>
      </c>
      <c r="E164" s="5">
        <v>24.91</v>
      </c>
      <c r="F164" t="s">
        <v>17</v>
      </c>
    </row>
    <row r="165" spans="2:6" x14ac:dyDescent="0.25">
      <c r="B165" t="s">
        <v>607</v>
      </c>
      <c r="C165" s="3">
        <v>43493</v>
      </c>
      <c r="D165" t="s">
        <v>690</v>
      </c>
      <c r="E165" s="5">
        <v>8.56</v>
      </c>
      <c r="F165" t="s">
        <v>17</v>
      </c>
    </row>
    <row r="166" spans="2:6" x14ac:dyDescent="0.25">
      <c r="B166" t="s">
        <v>607</v>
      </c>
      <c r="C166" s="3">
        <v>43493</v>
      </c>
      <c r="D166" t="s">
        <v>691</v>
      </c>
      <c r="E166" s="5">
        <v>5.09</v>
      </c>
      <c r="F166" t="s">
        <v>19</v>
      </c>
    </row>
    <row r="167" spans="2:6" x14ac:dyDescent="0.25">
      <c r="B167" t="s">
        <v>607</v>
      </c>
      <c r="C167" s="3">
        <v>43493</v>
      </c>
      <c r="D167" t="s">
        <v>692</v>
      </c>
      <c r="E167" s="5">
        <v>80</v>
      </c>
      <c r="F167" t="s">
        <v>202</v>
      </c>
    </row>
    <row r="168" spans="2:6" x14ac:dyDescent="0.25">
      <c r="B168" t="s">
        <v>607</v>
      </c>
      <c r="C168" s="3">
        <v>43493</v>
      </c>
      <c r="D168" t="s">
        <v>693</v>
      </c>
      <c r="E168" s="5">
        <v>10</v>
      </c>
      <c r="F168" t="s">
        <v>20</v>
      </c>
    </row>
    <row r="169" spans="2:6" x14ac:dyDescent="0.25">
      <c r="B169" t="s">
        <v>607</v>
      </c>
      <c r="C169" s="3">
        <v>43493</v>
      </c>
      <c r="D169" t="s">
        <v>694</v>
      </c>
      <c r="E169" s="5">
        <v>46.59</v>
      </c>
      <c r="F169" t="s">
        <v>17</v>
      </c>
    </row>
    <row r="170" spans="2:6" x14ac:dyDescent="0.25">
      <c r="B170" t="s">
        <v>607</v>
      </c>
      <c r="C170" s="3">
        <v>43493</v>
      </c>
      <c r="D170" t="s">
        <v>695</v>
      </c>
      <c r="E170" s="5">
        <v>40</v>
      </c>
      <c r="F170" t="s">
        <v>677</v>
      </c>
    </row>
    <row r="171" spans="2:6" x14ac:dyDescent="0.25">
      <c r="B171" t="s">
        <v>607</v>
      </c>
      <c r="C171" s="3">
        <v>43490</v>
      </c>
      <c r="D171" t="s">
        <v>678</v>
      </c>
      <c r="E171" s="5">
        <v>24</v>
      </c>
      <c r="F171" t="s">
        <v>198</v>
      </c>
    </row>
    <row r="172" spans="2:6" x14ac:dyDescent="0.25">
      <c r="B172" t="s">
        <v>607</v>
      </c>
      <c r="C172" s="3">
        <v>43490</v>
      </c>
      <c r="D172" t="s">
        <v>671</v>
      </c>
      <c r="E172" s="5">
        <v>90</v>
      </c>
      <c r="F172" t="s">
        <v>677</v>
      </c>
    </row>
    <row r="173" spans="2:6" x14ac:dyDescent="0.25">
      <c r="B173" t="s">
        <v>607</v>
      </c>
      <c r="C173" s="3">
        <v>43490</v>
      </c>
      <c r="D173" t="s">
        <v>672</v>
      </c>
      <c r="E173" s="5">
        <v>39.06</v>
      </c>
      <c r="F173" t="s">
        <v>333</v>
      </c>
    </row>
    <row r="174" spans="2:6" x14ac:dyDescent="0.25">
      <c r="B174" t="s">
        <v>607</v>
      </c>
      <c r="C174" s="3">
        <v>43490</v>
      </c>
      <c r="D174" t="s">
        <v>615</v>
      </c>
      <c r="E174" s="5">
        <v>18.98</v>
      </c>
      <c r="F174" t="s">
        <v>17</v>
      </c>
    </row>
    <row r="175" spans="2:6" x14ac:dyDescent="0.25">
      <c r="B175" t="s">
        <v>607</v>
      </c>
      <c r="C175" s="3">
        <v>43490</v>
      </c>
      <c r="D175" t="s">
        <v>44</v>
      </c>
      <c r="E175" s="5">
        <v>12.63</v>
      </c>
      <c r="F175" t="s">
        <v>20</v>
      </c>
    </row>
    <row r="176" spans="2:6" x14ac:dyDescent="0.25">
      <c r="B176" t="s">
        <v>607</v>
      </c>
      <c r="C176" s="3">
        <v>43490</v>
      </c>
      <c r="D176" t="s">
        <v>673</v>
      </c>
      <c r="E176" s="5">
        <v>69.98</v>
      </c>
      <c r="F176" t="s">
        <v>20</v>
      </c>
    </row>
    <row r="177" spans="2:6" x14ac:dyDescent="0.25">
      <c r="B177" t="s">
        <v>607</v>
      </c>
      <c r="C177" s="136">
        <v>43489</v>
      </c>
      <c r="D177" s="137" t="s">
        <v>674</v>
      </c>
      <c r="E177" s="138">
        <f>32.75-E178</f>
        <v>12.75</v>
      </c>
      <c r="F177" s="137" t="s">
        <v>15</v>
      </c>
    </row>
    <row r="178" spans="2:6" x14ac:dyDescent="0.25">
      <c r="B178" t="s">
        <v>607</v>
      </c>
      <c r="C178" s="136">
        <v>43489</v>
      </c>
      <c r="D178" s="137" t="s">
        <v>674</v>
      </c>
      <c r="E178" s="138">
        <v>20</v>
      </c>
      <c r="F178" s="137" t="s">
        <v>677</v>
      </c>
    </row>
    <row r="179" spans="2:6" x14ac:dyDescent="0.25">
      <c r="B179" t="s">
        <v>607</v>
      </c>
      <c r="C179" s="3">
        <v>43489</v>
      </c>
      <c r="D179" t="s">
        <v>675</v>
      </c>
      <c r="E179" s="5">
        <v>15.6</v>
      </c>
      <c r="F179" t="s">
        <v>21</v>
      </c>
    </row>
    <row r="180" spans="2:6" x14ac:dyDescent="0.25">
      <c r="B180" t="s">
        <v>607</v>
      </c>
      <c r="C180" s="3">
        <v>43488</v>
      </c>
      <c r="D180" t="s">
        <v>676</v>
      </c>
      <c r="E180" s="5">
        <v>34.729999999999997</v>
      </c>
      <c r="F180" t="s">
        <v>21</v>
      </c>
    </row>
    <row r="181" spans="2:6" x14ac:dyDescent="0.25">
      <c r="B181" t="s">
        <v>607</v>
      </c>
      <c r="C181" s="3">
        <v>43488</v>
      </c>
      <c r="D181" t="s">
        <v>668</v>
      </c>
      <c r="E181" s="5">
        <v>25</v>
      </c>
      <c r="F181" t="s">
        <v>16</v>
      </c>
    </row>
    <row r="182" spans="2:6" x14ac:dyDescent="0.25">
      <c r="B182" t="s">
        <v>607</v>
      </c>
      <c r="C182" s="3">
        <v>43488</v>
      </c>
      <c r="D182" t="s">
        <v>669</v>
      </c>
      <c r="E182" s="5">
        <v>6.86</v>
      </c>
      <c r="F182" t="s">
        <v>755</v>
      </c>
    </row>
    <row r="183" spans="2:6" x14ac:dyDescent="0.25">
      <c r="B183" t="s">
        <v>607</v>
      </c>
      <c r="C183" s="3">
        <v>43488</v>
      </c>
      <c r="D183" t="s">
        <v>654</v>
      </c>
      <c r="E183" s="5">
        <v>13.57</v>
      </c>
      <c r="F183" t="s">
        <v>21</v>
      </c>
    </row>
    <row r="184" spans="2:6" x14ac:dyDescent="0.25">
      <c r="B184" t="s">
        <v>607</v>
      </c>
      <c r="C184" s="3">
        <v>43488</v>
      </c>
      <c r="D184" t="s">
        <v>670</v>
      </c>
      <c r="E184" s="5">
        <v>5.09</v>
      </c>
      <c r="F184" t="s">
        <v>19</v>
      </c>
    </row>
    <row r="185" spans="2:6" x14ac:dyDescent="0.25">
      <c r="B185" t="s">
        <v>607</v>
      </c>
      <c r="C185" s="3">
        <v>43487</v>
      </c>
      <c r="D185" t="s">
        <v>666</v>
      </c>
      <c r="E185" s="5">
        <v>151</v>
      </c>
      <c r="F185" t="s">
        <v>14</v>
      </c>
    </row>
    <row r="186" spans="2:6" x14ac:dyDescent="0.25">
      <c r="B186" t="s">
        <v>607</v>
      </c>
      <c r="C186" s="3">
        <v>43487</v>
      </c>
      <c r="D186" t="s">
        <v>257</v>
      </c>
      <c r="E186" s="5">
        <v>8.56</v>
      </c>
      <c r="F186" t="s">
        <v>17</v>
      </c>
    </row>
    <row r="187" spans="2:6" x14ac:dyDescent="0.25">
      <c r="B187" t="s">
        <v>607</v>
      </c>
      <c r="C187" s="3">
        <v>43487</v>
      </c>
      <c r="D187" t="s">
        <v>667</v>
      </c>
      <c r="E187" s="5">
        <v>15</v>
      </c>
      <c r="F187" t="s">
        <v>16</v>
      </c>
    </row>
    <row r="188" spans="2:6" x14ac:dyDescent="0.25">
      <c r="B188" t="s">
        <v>607</v>
      </c>
      <c r="C188" s="136">
        <v>43487</v>
      </c>
      <c r="D188" s="137" t="s">
        <v>257</v>
      </c>
      <c r="E188" s="138">
        <f>45.4-E189</f>
        <v>25.41</v>
      </c>
      <c r="F188" s="137" t="s">
        <v>15</v>
      </c>
    </row>
    <row r="189" spans="2:6" x14ac:dyDescent="0.25">
      <c r="B189" t="s">
        <v>607</v>
      </c>
      <c r="C189" s="136">
        <v>43487</v>
      </c>
      <c r="D189" s="137" t="s">
        <v>257</v>
      </c>
      <c r="E189" s="138">
        <v>19.989999999999998</v>
      </c>
      <c r="F189" s="137" t="s">
        <v>677</v>
      </c>
    </row>
    <row r="190" spans="2:6" x14ac:dyDescent="0.25">
      <c r="B190" t="s">
        <v>607</v>
      </c>
      <c r="C190" s="3">
        <v>43487</v>
      </c>
      <c r="D190" t="s">
        <v>664</v>
      </c>
      <c r="E190" s="5">
        <v>7.49</v>
      </c>
      <c r="F190" t="s">
        <v>17</v>
      </c>
    </row>
    <row r="191" spans="2:6" x14ac:dyDescent="0.25">
      <c r="B191" t="s">
        <v>607</v>
      </c>
      <c r="C191" s="3">
        <v>43487</v>
      </c>
      <c r="D191" t="s">
        <v>665</v>
      </c>
      <c r="E191" s="5">
        <v>29.94</v>
      </c>
      <c r="F191" t="s">
        <v>20</v>
      </c>
    </row>
    <row r="192" spans="2:6" x14ac:dyDescent="0.25">
      <c r="B192" t="s">
        <v>607</v>
      </c>
      <c r="C192" s="3">
        <v>43487</v>
      </c>
      <c r="D192" t="s">
        <v>43</v>
      </c>
      <c r="E192" s="5">
        <v>4.2300000000000004</v>
      </c>
      <c r="F192" t="s">
        <v>19</v>
      </c>
    </row>
    <row r="193" spans="2:6" x14ac:dyDescent="0.25">
      <c r="B193" t="s">
        <v>607</v>
      </c>
      <c r="C193" s="3">
        <v>43487</v>
      </c>
      <c r="D193" t="s">
        <v>623</v>
      </c>
      <c r="E193" s="5">
        <v>32.1</v>
      </c>
      <c r="F193" t="s">
        <v>17</v>
      </c>
    </row>
    <row r="194" spans="2:6" x14ac:dyDescent="0.25">
      <c r="B194" t="s">
        <v>607</v>
      </c>
      <c r="C194" s="3">
        <v>43487</v>
      </c>
      <c r="D194" t="s">
        <v>620</v>
      </c>
      <c r="E194" s="5">
        <v>60</v>
      </c>
      <c r="F194" t="s">
        <v>202</v>
      </c>
    </row>
    <row r="195" spans="2:6" x14ac:dyDescent="0.25">
      <c r="B195" t="s">
        <v>607</v>
      </c>
      <c r="C195" s="3">
        <v>43487</v>
      </c>
      <c r="D195" t="s">
        <v>43</v>
      </c>
      <c r="E195" s="5">
        <v>5.94</v>
      </c>
      <c r="F195" t="s">
        <v>19</v>
      </c>
    </row>
    <row r="196" spans="2:6" x14ac:dyDescent="0.25">
      <c r="B196" t="s">
        <v>607</v>
      </c>
      <c r="C196" s="3">
        <v>43484</v>
      </c>
      <c r="D196" t="s">
        <v>662</v>
      </c>
      <c r="E196" s="5">
        <v>23.66</v>
      </c>
      <c r="F196" t="s">
        <v>18</v>
      </c>
    </row>
    <row r="197" spans="2:6" x14ac:dyDescent="0.25">
      <c r="B197" t="s">
        <v>607</v>
      </c>
      <c r="C197" s="3">
        <v>43483</v>
      </c>
      <c r="D197" t="s">
        <v>663</v>
      </c>
      <c r="E197" s="5">
        <v>300</v>
      </c>
      <c r="F197" t="s">
        <v>20</v>
      </c>
    </row>
    <row r="198" spans="2:6" x14ac:dyDescent="0.25">
      <c r="B198" t="s">
        <v>607</v>
      </c>
      <c r="C198" s="3">
        <v>43483</v>
      </c>
      <c r="D198" t="s">
        <v>658</v>
      </c>
      <c r="E198" s="5">
        <v>40</v>
      </c>
      <c r="F198" t="s">
        <v>677</v>
      </c>
    </row>
    <row r="199" spans="2:6" x14ac:dyDescent="0.25">
      <c r="B199" t="s">
        <v>607</v>
      </c>
      <c r="C199" s="3">
        <v>43483</v>
      </c>
      <c r="D199" t="s">
        <v>659</v>
      </c>
      <c r="E199" s="5">
        <v>22</v>
      </c>
      <c r="F199" t="s">
        <v>16</v>
      </c>
    </row>
    <row r="200" spans="2:6" x14ac:dyDescent="0.25">
      <c r="B200" t="s">
        <v>607</v>
      </c>
      <c r="C200" s="3">
        <v>43482</v>
      </c>
      <c r="D200" t="s">
        <v>660</v>
      </c>
      <c r="E200" s="5">
        <v>29.99</v>
      </c>
      <c r="F200" t="s">
        <v>20</v>
      </c>
    </row>
    <row r="201" spans="2:6" x14ac:dyDescent="0.25">
      <c r="B201" t="s">
        <v>607</v>
      </c>
      <c r="C201" s="3">
        <v>43482</v>
      </c>
      <c r="D201" t="s">
        <v>661</v>
      </c>
      <c r="E201" s="5">
        <v>16.7</v>
      </c>
      <c r="F201" t="s">
        <v>15</v>
      </c>
    </row>
    <row r="202" spans="2:6" x14ac:dyDescent="0.25">
      <c r="B202" t="s">
        <v>607</v>
      </c>
      <c r="C202" s="3">
        <v>43482</v>
      </c>
      <c r="D202" t="s">
        <v>655</v>
      </c>
      <c r="E202" s="5">
        <v>5.73</v>
      </c>
      <c r="F202" t="s">
        <v>19</v>
      </c>
    </row>
    <row r="203" spans="2:6" x14ac:dyDescent="0.25">
      <c r="B203" t="s">
        <v>607</v>
      </c>
      <c r="C203" s="3">
        <v>43482</v>
      </c>
      <c r="D203" t="s">
        <v>656</v>
      </c>
      <c r="E203" s="5">
        <v>42.79</v>
      </c>
      <c r="F203" t="s">
        <v>755</v>
      </c>
    </row>
    <row r="204" spans="2:6" x14ac:dyDescent="0.25">
      <c r="B204" t="s">
        <v>607</v>
      </c>
      <c r="C204" s="3">
        <v>43482</v>
      </c>
      <c r="D204" t="s">
        <v>657</v>
      </c>
      <c r="E204" s="5">
        <v>18.170000000000002</v>
      </c>
      <c r="F204" t="s">
        <v>755</v>
      </c>
    </row>
    <row r="205" spans="2:6" x14ac:dyDescent="0.25">
      <c r="B205" t="s">
        <v>607</v>
      </c>
      <c r="C205" s="3">
        <v>43482</v>
      </c>
      <c r="D205" t="s">
        <v>336</v>
      </c>
      <c r="E205" s="5">
        <v>25.67</v>
      </c>
      <c r="F205" t="s">
        <v>21</v>
      </c>
    </row>
    <row r="206" spans="2:6" x14ac:dyDescent="0.25">
      <c r="B206" t="s">
        <v>607</v>
      </c>
      <c r="C206" s="3">
        <v>43482</v>
      </c>
      <c r="D206" t="s">
        <v>654</v>
      </c>
      <c r="E206" s="5">
        <v>5.55</v>
      </c>
      <c r="F206" t="s">
        <v>21</v>
      </c>
    </row>
    <row r="207" spans="2:6" x14ac:dyDescent="0.25">
      <c r="B207" t="s">
        <v>607</v>
      </c>
      <c r="C207" s="3">
        <v>43481</v>
      </c>
      <c r="D207" t="s">
        <v>653</v>
      </c>
      <c r="E207" s="5">
        <v>14.97</v>
      </c>
      <c r="F207" t="s">
        <v>755</v>
      </c>
    </row>
    <row r="208" spans="2:6" x14ac:dyDescent="0.25">
      <c r="B208" t="s">
        <v>607</v>
      </c>
      <c r="C208" s="3">
        <v>43481</v>
      </c>
      <c r="D208" t="s">
        <v>615</v>
      </c>
      <c r="E208" s="5">
        <v>34.96</v>
      </c>
      <c r="F208" t="s">
        <v>17</v>
      </c>
    </row>
    <row r="209" spans="2:6" x14ac:dyDescent="0.25">
      <c r="B209" t="s">
        <v>607</v>
      </c>
      <c r="C209" s="3">
        <v>43481</v>
      </c>
      <c r="D209" t="s">
        <v>647</v>
      </c>
      <c r="E209" s="5">
        <v>3.57</v>
      </c>
      <c r="F209" t="s">
        <v>755</v>
      </c>
    </row>
    <row r="210" spans="2:6" x14ac:dyDescent="0.25">
      <c r="B210" t="s">
        <v>607</v>
      </c>
      <c r="C210" s="3">
        <v>43480</v>
      </c>
      <c r="D210" t="s">
        <v>648</v>
      </c>
      <c r="E210" s="5">
        <v>-13.16</v>
      </c>
      <c r="F210" t="s">
        <v>20</v>
      </c>
    </row>
    <row r="211" spans="2:6" x14ac:dyDescent="0.25">
      <c r="B211" t="s">
        <v>607</v>
      </c>
      <c r="C211" s="3">
        <v>43479</v>
      </c>
      <c r="D211" t="s">
        <v>649</v>
      </c>
      <c r="E211" s="5">
        <v>19.760000000000002</v>
      </c>
      <c r="F211" t="s">
        <v>15</v>
      </c>
    </row>
    <row r="212" spans="2:6" x14ac:dyDescent="0.25">
      <c r="B212" t="s">
        <v>607</v>
      </c>
      <c r="C212" s="3">
        <v>43479</v>
      </c>
      <c r="D212" t="s">
        <v>637</v>
      </c>
      <c r="E212" s="5">
        <v>20</v>
      </c>
      <c r="F212" t="s">
        <v>16</v>
      </c>
    </row>
    <row r="213" spans="2:6" x14ac:dyDescent="0.25">
      <c r="B213" t="s">
        <v>607</v>
      </c>
      <c r="C213" s="3">
        <v>43479</v>
      </c>
      <c r="D213" t="s">
        <v>43</v>
      </c>
      <c r="E213" s="5">
        <v>2.41</v>
      </c>
      <c r="F213" t="s">
        <v>19</v>
      </c>
    </row>
    <row r="214" spans="2:6" x14ac:dyDescent="0.25">
      <c r="B214" t="s">
        <v>607</v>
      </c>
      <c r="C214" s="3">
        <v>43479</v>
      </c>
      <c r="D214" t="s">
        <v>638</v>
      </c>
      <c r="E214" s="5">
        <v>25.19</v>
      </c>
      <c r="F214" t="s">
        <v>17</v>
      </c>
    </row>
    <row r="215" spans="2:6" x14ac:dyDescent="0.25">
      <c r="B215" t="s">
        <v>607</v>
      </c>
      <c r="C215" s="3">
        <v>43479</v>
      </c>
      <c r="D215" t="s">
        <v>43</v>
      </c>
      <c r="E215" s="5">
        <v>2.41</v>
      </c>
      <c r="F215" t="s">
        <v>19</v>
      </c>
    </row>
    <row r="216" spans="2:6" x14ac:dyDescent="0.25">
      <c r="B216" t="s">
        <v>607</v>
      </c>
      <c r="C216" s="3">
        <v>43479</v>
      </c>
      <c r="D216" t="s">
        <v>621</v>
      </c>
      <c r="E216" s="5">
        <v>20.149999999999999</v>
      </c>
      <c r="F216" t="s">
        <v>15</v>
      </c>
    </row>
    <row r="217" spans="2:6" x14ac:dyDescent="0.25">
      <c r="B217" t="s">
        <v>607</v>
      </c>
      <c r="C217" s="3">
        <v>43479</v>
      </c>
      <c r="D217" t="s">
        <v>43</v>
      </c>
      <c r="E217" s="5">
        <v>3.58</v>
      </c>
      <c r="F217" t="s">
        <v>19</v>
      </c>
    </row>
    <row r="218" spans="2:6" x14ac:dyDescent="0.25">
      <c r="B218" t="s">
        <v>607</v>
      </c>
      <c r="C218" s="3">
        <v>43477</v>
      </c>
      <c r="D218" t="s">
        <v>639</v>
      </c>
      <c r="E218" s="5">
        <v>72.8</v>
      </c>
      <c r="F218" t="s">
        <v>21</v>
      </c>
    </row>
    <row r="219" spans="2:6" x14ac:dyDescent="0.25">
      <c r="B219" t="s">
        <v>607</v>
      </c>
      <c r="C219" s="3">
        <v>43477</v>
      </c>
      <c r="D219" t="s">
        <v>640</v>
      </c>
      <c r="E219" s="5">
        <v>14.98</v>
      </c>
      <c r="F219" t="s">
        <v>18</v>
      </c>
    </row>
    <row r="220" spans="2:6" x14ac:dyDescent="0.25">
      <c r="B220" t="s">
        <v>607</v>
      </c>
      <c r="C220" s="3">
        <v>43476</v>
      </c>
      <c r="D220" t="s">
        <v>641</v>
      </c>
      <c r="E220" s="5">
        <v>43</v>
      </c>
      <c r="F220" t="s">
        <v>202</v>
      </c>
    </row>
    <row r="221" spans="2:6" x14ac:dyDescent="0.25">
      <c r="B221" t="s">
        <v>607</v>
      </c>
      <c r="C221" s="3">
        <v>43476</v>
      </c>
      <c r="D221" t="s">
        <v>642</v>
      </c>
      <c r="E221" s="5">
        <v>26.28</v>
      </c>
      <c r="F221" t="s">
        <v>15</v>
      </c>
    </row>
    <row r="222" spans="2:6" x14ac:dyDescent="0.25">
      <c r="B222" t="s">
        <v>607</v>
      </c>
      <c r="C222" s="3">
        <v>43476</v>
      </c>
      <c r="D222" t="s">
        <v>643</v>
      </c>
      <c r="E222" s="5">
        <v>34.799999999999997</v>
      </c>
      <c r="F222" t="s">
        <v>21</v>
      </c>
    </row>
    <row r="223" spans="2:6" x14ac:dyDescent="0.25">
      <c r="B223" t="s">
        <v>607</v>
      </c>
      <c r="C223" s="3">
        <v>43476</v>
      </c>
      <c r="D223" t="s">
        <v>644</v>
      </c>
      <c r="E223" s="5">
        <v>-3</v>
      </c>
      <c r="F223" t="s">
        <v>20</v>
      </c>
    </row>
    <row r="224" spans="2:6" x14ac:dyDescent="0.25">
      <c r="B224" t="s">
        <v>607</v>
      </c>
      <c r="C224" s="3">
        <v>43475</v>
      </c>
      <c r="D224" t="s">
        <v>615</v>
      </c>
      <c r="E224" s="5">
        <v>17.98</v>
      </c>
      <c r="F224" t="s">
        <v>17</v>
      </c>
    </row>
    <row r="225" spans="2:6" x14ac:dyDescent="0.25">
      <c r="B225" t="s">
        <v>607</v>
      </c>
      <c r="C225" s="3">
        <v>43475</v>
      </c>
      <c r="D225" t="s">
        <v>632</v>
      </c>
      <c r="E225" s="5">
        <v>12.84</v>
      </c>
      <c r="F225" t="s">
        <v>21</v>
      </c>
    </row>
    <row r="226" spans="2:6" x14ac:dyDescent="0.25">
      <c r="B226" t="s">
        <v>607</v>
      </c>
      <c r="C226" s="3">
        <v>43475</v>
      </c>
      <c r="D226" t="s">
        <v>633</v>
      </c>
      <c r="E226" s="5">
        <v>8.01</v>
      </c>
      <c r="F226" t="s">
        <v>21</v>
      </c>
    </row>
    <row r="227" spans="2:6" x14ac:dyDescent="0.25">
      <c r="B227" t="s">
        <v>607</v>
      </c>
      <c r="C227" s="3">
        <v>43474</v>
      </c>
      <c r="D227" t="s">
        <v>634</v>
      </c>
      <c r="E227" s="5">
        <v>27.3</v>
      </c>
      <c r="F227" t="s">
        <v>15</v>
      </c>
    </row>
    <row r="228" spans="2:6" x14ac:dyDescent="0.25">
      <c r="B228" t="s">
        <v>607</v>
      </c>
      <c r="C228" s="3">
        <v>43474</v>
      </c>
      <c r="D228" t="s">
        <v>635</v>
      </c>
      <c r="E228" s="5">
        <v>34</v>
      </c>
      <c r="F228" t="s">
        <v>16</v>
      </c>
    </row>
    <row r="229" spans="2:6" x14ac:dyDescent="0.25">
      <c r="B229" t="s">
        <v>607</v>
      </c>
      <c r="C229" s="3">
        <v>43474</v>
      </c>
      <c r="D229" t="s">
        <v>257</v>
      </c>
      <c r="E229" s="5">
        <v>6</v>
      </c>
      <c r="F229" t="s">
        <v>17</v>
      </c>
    </row>
    <row r="230" spans="2:6" x14ac:dyDescent="0.25">
      <c r="B230" t="s">
        <v>607</v>
      </c>
      <c r="C230" s="3">
        <v>43474</v>
      </c>
      <c r="D230" t="s">
        <v>257</v>
      </c>
      <c r="E230" s="5">
        <f>18.76-6</f>
        <v>12.760000000000002</v>
      </c>
      <c r="F230" t="s">
        <v>15</v>
      </c>
    </row>
    <row r="231" spans="2:6" x14ac:dyDescent="0.25">
      <c r="B231" t="s">
        <v>607</v>
      </c>
      <c r="C231" s="3">
        <v>43474</v>
      </c>
      <c r="D231" t="s">
        <v>609</v>
      </c>
      <c r="E231" s="5">
        <v>11.99</v>
      </c>
      <c r="F231" t="s">
        <v>21</v>
      </c>
    </row>
    <row r="232" spans="2:6" x14ac:dyDescent="0.25">
      <c r="B232" t="s">
        <v>607</v>
      </c>
      <c r="C232" s="3">
        <v>43473</v>
      </c>
      <c r="D232" t="s">
        <v>623</v>
      </c>
      <c r="E232" s="5">
        <v>17.98</v>
      </c>
      <c r="F232" t="s">
        <v>17</v>
      </c>
    </row>
    <row r="233" spans="2:6" x14ac:dyDescent="0.25">
      <c r="B233" t="s">
        <v>607</v>
      </c>
      <c r="C233" s="3">
        <v>43473</v>
      </c>
      <c r="D233" t="s">
        <v>147</v>
      </c>
      <c r="E233" s="5">
        <v>12.84</v>
      </c>
      <c r="F233" t="s">
        <v>17</v>
      </c>
    </row>
    <row r="234" spans="2:6" x14ac:dyDescent="0.25">
      <c r="B234" t="s">
        <v>607</v>
      </c>
      <c r="C234" s="3">
        <v>43473</v>
      </c>
      <c r="D234" t="s">
        <v>630</v>
      </c>
      <c r="E234" s="5">
        <v>31.98</v>
      </c>
      <c r="F234" t="s">
        <v>20</v>
      </c>
    </row>
    <row r="235" spans="2:6" x14ac:dyDescent="0.25">
      <c r="B235" t="s">
        <v>607</v>
      </c>
      <c r="C235" s="3">
        <v>43472</v>
      </c>
      <c r="D235" t="s">
        <v>629</v>
      </c>
      <c r="E235" s="5">
        <v>40.4</v>
      </c>
      <c r="F235" t="s">
        <v>329</v>
      </c>
    </row>
    <row r="236" spans="2:6" x14ac:dyDescent="0.25">
      <c r="B236" t="s">
        <v>607</v>
      </c>
      <c r="C236" s="3">
        <v>43472</v>
      </c>
      <c r="D236" t="s">
        <v>626</v>
      </c>
      <c r="E236" s="5">
        <v>16.98</v>
      </c>
      <c r="F236" t="s">
        <v>677</v>
      </c>
    </row>
    <row r="237" spans="2:6" x14ac:dyDescent="0.25">
      <c r="B237" t="s">
        <v>607</v>
      </c>
      <c r="C237" s="3">
        <v>43472</v>
      </c>
      <c r="D237" t="s">
        <v>621</v>
      </c>
      <c r="E237" s="5">
        <v>30.96</v>
      </c>
      <c r="F237" t="s">
        <v>15</v>
      </c>
    </row>
    <row r="238" spans="2:6" x14ac:dyDescent="0.25">
      <c r="B238" t="s">
        <v>607</v>
      </c>
      <c r="C238" s="3">
        <v>43472</v>
      </c>
      <c r="D238" t="s">
        <v>257</v>
      </c>
      <c r="E238" s="5">
        <v>8.66</v>
      </c>
      <c r="F238" t="s">
        <v>15</v>
      </c>
    </row>
    <row r="239" spans="2:6" x14ac:dyDescent="0.25">
      <c r="B239" t="s">
        <v>607</v>
      </c>
      <c r="C239" s="3">
        <v>43472</v>
      </c>
      <c r="D239" t="s">
        <v>622</v>
      </c>
      <c r="E239" s="5">
        <v>6.24</v>
      </c>
      <c r="F239" t="s">
        <v>755</v>
      </c>
    </row>
    <row r="240" spans="2:6" x14ac:dyDescent="0.25">
      <c r="B240" t="s">
        <v>607</v>
      </c>
      <c r="C240" s="3">
        <v>43472</v>
      </c>
      <c r="D240" t="s">
        <v>43</v>
      </c>
      <c r="E240" s="5">
        <v>2.2999999999999998</v>
      </c>
      <c r="F240" t="s">
        <v>19</v>
      </c>
    </row>
    <row r="241" spans="1:6" x14ac:dyDescent="0.25">
      <c r="B241" t="s">
        <v>607</v>
      </c>
      <c r="C241" s="3">
        <v>43472</v>
      </c>
      <c r="D241" t="s">
        <v>43</v>
      </c>
      <c r="E241" s="5">
        <v>5.94</v>
      </c>
      <c r="F241" t="s">
        <v>19</v>
      </c>
    </row>
    <row r="242" spans="1:6" x14ac:dyDescent="0.25">
      <c r="B242" t="s">
        <v>607</v>
      </c>
      <c r="C242" s="3">
        <v>43472</v>
      </c>
      <c r="D242" t="s">
        <v>623</v>
      </c>
      <c r="E242" s="5">
        <v>39.590000000000003</v>
      </c>
      <c r="F242" t="s">
        <v>17</v>
      </c>
    </row>
    <row r="243" spans="1:6" x14ac:dyDescent="0.25">
      <c r="B243" t="s">
        <v>607</v>
      </c>
      <c r="C243" s="3">
        <v>43472</v>
      </c>
      <c r="D243" t="s">
        <v>43</v>
      </c>
      <c r="E243" s="5">
        <v>10.17</v>
      </c>
      <c r="F243" t="s">
        <v>19</v>
      </c>
    </row>
    <row r="244" spans="1:6" x14ac:dyDescent="0.25">
      <c r="B244" t="s">
        <v>607</v>
      </c>
      <c r="C244" s="3">
        <v>43472</v>
      </c>
      <c r="D244" t="s">
        <v>624</v>
      </c>
      <c r="E244" s="5">
        <v>27.99</v>
      </c>
      <c r="F244" t="s">
        <v>198</v>
      </c>
    </row>
    <row r="245" spans="1:6" x14ac:dyDescent="0.25">
      <c r="B245" t="s">
        <v>607</v>
      </c>
      <c r="C245" s="3">
        <v>43472</v>
      </c>
      <c r="D245" t="s">
        <v>625</v>
      </c>
      <c r="E245" s="5">
        <v>25.01</v>
      </c>
      <c r="F245" t="s">
        <v>16</v>
      </c>
    </row>
    <row r="246" spans="1:6" x14ac:dyDescent="0.25">
      <c r="B246" t="s">
        <v>607</v>
      </c>
      <c r="C246" s="3">
        <v>43472</v>
      </c>
      <c r="D246" t="s">
        <v>620</v>
      </c>
      <c r="E246" s="5">
        <v>60</v>
      </c>
      <c r="F246" t="s">
        <v>20</v>
      </c>
    </row>
    <row r="247" spans="1:6" x14ac:dyDescent="0.25">
      <c r="B247" t="s">
        <v>607</v>
      </c>
      <c r="C247" s="3">
        <v>43472</v>
      </c>
      <c r="D247" t="s">
        <v>619</v>
      </c>
      <c r="E247" s="5">
        <v>299</v>
      </c>
      <c r="F247" t="s">
        <v>8</v>
      </c>
    </row>
    <row r="248" spans="1:6" x14ac:dyDescent="0.25">
      <c r="B248" t="s">
        <v>607</v>
      </c>
      <c r="C248" s="3">
        <v>43469</v>
      </c>
      <c r="D248" t="s">
        <v>627</v>
      </c>
      <c r="E248" s="5">
        <v>34.5</v>
      </c>
      <c r="F248" t="s">
        <v>18</v>
      </c>
    </row>
    <row r="249" spans="1:6" x14ac:dyDescent="0.25">
      <c r="B249" t="s">
        <v>607</v>
      </c>
      <c r="C249" s="3">
        <v>43469</v>
      </c>
      <c r="D249" t="s">
        <v>614</v>
      </c>
      <c r="E249" s="5">
        <v>19.98</v>
      </c>
      <c r="F249" t="s">
        <v>20</v>
      </c>
    </row>
    <row r="250" spans="1:6" x14ac:dyDescent="0.25">
      <c r="B250" t="s">
        <v>607</v>
      </c>
      <c r="C250" s="3">
        <v>43469</v>
      </c>
      <c r="D250" t="s">
        <v>615</v>
      </c>
      <c r="E250" s="5">
        <v>31.03</v>
      </c>
      <c r="F250" t="s">
        <v>17</v>
      </c>
    </row>
    <row r="251" spans="1:6" x14ac:dyDescent="0.25">
      <c r="B251" t="s">
        <v>607</v>
      </c>
      <c r="C251" s="3">
        <v>43468</v>
      </c>
      <c r="D251" t="s">
        <v>616</v>
      </c>
      <c r="E251" s="5">
        <v>11.95</v>
      </c>
      <c r="F251" t="s">
        <v>334</v>
      </c>
    </row>
    <row r="252" spans="1:6" x14ac:dyDescent="0.25">
      <c r="A252" t="s">
        <v>33</v>
      </c>
      <c r="B252" t="s">
        <v>607</v>
      </c>
      <c r="C252" s="3">
        <v>43468</v>
      </c>
      <c r="D252" t="s">
        <v>617</v>
      </c>
      <c r="E252" s="5">
        <v>71.819999999999993</v>
      </c>
      <c r="F252" t="s">
        <v>507</v>
      </c>
    </row>
    <row r="253" spans="1:6" x14ac:dyDescent="0.25">
      <c r="A253" t="s">
        <v>33</v>
      </c>
      <c r="B253" t="s">
        <v>607</v>
      </c>
      <c r="C253" s="3">
        <v>43468</v>
      </c>
      <c r="D253" t="s">
        <v>377</v>
      </c>
      <c r="E253" s="5">
        <v>828.15</v>
      </c>
      <c r="F253" t="s">
        <v>11</v>
      </c>
    </row>
    <row r="254" spans="1:6" x14ac:dyDescent="0.25">
      <c r="A254" t="s">
        <v>33</v>
      </c>
      <c r="B254" t="s">
        <v>607</v>
      </c>
      <c r="C254" s="3">
        <v>43468</v>
      </c>
      <c r="D254" t="s">
        <v>618</v>
      </c>
      <c r="E254" s="5">
        <v>5.19</v>
      </c>
      <c r="F254" t="s">
        <v>19</v>
      </c>
    </row>
    <row r="255" spans="1:6" x14ac:dyDescent="0.25">
      <c r="A255" t="s">
        <v>33</v>
      </c>
      <c r="B255" t="s">
        <v>607</v>
      </c>
      <c r="C255" s="3">
        <v>43467</v>
      </c>
      <c r="D255" t="s">
        <v>608</v>
      </c>
      <c r="E255" s="5">
        <v>65</v>
      </c>
      <c r="F255" t="s">
        <v>506</v>
      </c>
    </row>
    <row r="256" spans="1:6" x14ac:dyDescent="0.25">
      <c r="A256" t="s">
        <v>33</v>
      </c>
      <c r="B256" t="s">
        <v>607</v>
      </c>
      <c r="C256" s="3">
        <v>43467</v>
      </c>
      <c r="D256" t="s">
        <v>43</v>
      </c>
      <c r="E256" s="5">
        <v>2.41</v>
      </c>
      <c r="F256" t="s">
        <v>19</v>
      </c>
    </row>
    <row r="257" spans="1:6" x14ac:dyDescent="0.25">
      <c r="A257" t="s">
        <v>33</v>
      </c>
      <c r="B257" t="s">
        <v>607</v>
      </c>
      <c r="C257" s="3">
        <v>43467</v>
      </c>
      <c r="D257" t="s">
        <v>609</v>
      </c>
      <c r="E257" s="5">
        <v>14.25</v>
      </c>
      <c r="F257" t="s">
        <v>15</v>
      </c>
    </row>
    <row r="258" spans="1:6" x14ac:dyDescent="0.25">
      <c r="A258" t="s">
        <v>33</v>
      </c>
      <c r="B258" t="s">
        <v>607</v>
      </c>
      <c r="C258" s="3">
        <v>43467</v>
      </c>
      <c r="D258" t="s">
        <v>43</v>
      </c>
      <c r="E258" s="5">
        <v>6.9</v>
      </c>
      <c r="F258" t="s">
        <v>19</v>
      </c>
    </row>
    <row r="259" spans="1:6" x14ac:dyDescent="0.25">
      <c r="B259" t="s">
        <v>607</v>
      </c>
      <c r="C259" s="3">
        <v>43466</v>
      </c>
      <c r="D259" t="s">
        <v>610</v>
      </c>
      <c r="E259" s="5">
        <v>62</v>
      </c>
      <c r="F259" t="s">
        <v>194</v>
      </c>
    </row>
    <row r="260" spans="1:6" x14ac:dyDescent="0.25">
      <c r="B260" t="s">
        <v>607</v>
      </c>
      <c r="C260" s="3">
        <v>43466</v>
      </c>
      <c r="D260" t="s">
        <v>611</v>
      </c>
      <c r="E260" s="5">
        <v>30.4</v>
      </c>
      <c r="F260" t="s">
        <v>194</v>
      </c>
    </row>
    <row r="261" spans="1:6" x14ac:dyDescent="0.25">
      <c r="B261" t="s">
        <v>607</v>
      </c>
      <c r="C261" s="3">
        <v>43466</v>
      </c>
      <c r="D261" t="s">
        <v>612</v>
      </c>
      <c r="E261" s="5">
        <v>8.57</v>
      </c>
      <c r="F261" t="s">
        <v>755</v>
      </c>
    </row>
  </sheetData>
  <autoFilter ref="A1:G260" xr:uid="{D669F77E-7A3D-447B-B74B-775093B4471B}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C7EF-FED4-47C8-A7BE-D418153C6BCB}">
  <sheetPr>
    <tabColor theme="1" tint="0.499984740745262"/>
  </sheetPr>
  <dimension ref="A2:V61"/>
  <sheetViews>
    <sheetView showGridLines="0" zoomScale="90" zoomScaleNormal="90" workbookViewId="0">
      <selection activeCell="E26" sqref="E26"/>
    </sheetView>
  </sheetViews>
  <sheetFormatPr defaultRowHeight="15" outlineLevelRow="1" outlineLevelCol="1" x14ac:dyDescent="0.25"/>
  <cols>
    <col min="1" max="1" width="14.85546875" bestFit="1" customWidth="1"/>
    <col min="2" max="5" width="11.42578125" customWidth="1"/>
    <col min="7" max="7" width="79.85546875" bestFit="1" customWidth="1"/>
    <col min="8" max="8" width="9.140625" customWidth="1" outlineLevel="1"/>
    <col min="9" max="17" width="9.28515625" customWidth="1" outlineLevel="1"/>
    <col min="18" max="18" width="9.42578125" customWidth="1" outlineLevel="1"/>
    <col min="19" max="19" width="9.7109375" customWidth="1" outlineLevel="1"/>
    <col min="20" max="21" width="11.5703125" customWidth="1"/>
  </cols>
  <sheetData>
    <row r="2" spans="1:22" x14ac:dyDescent="0.25">
      <c r="A2" s="39" t="s">
        <v>27</v>
      </c>
      <c r="B2" t="s">
        <v>206</v>
      </c>
      <c r="G2" s="39" t="s">
        <v>191</v>
      </c>
      <c r="H2" t="s">
        <v>20</v>
      </c>
    </row>
    <row r="4" spans="1:22" x14ac:dyDescent="0.25">
      <c r="A4" s="39" t="s">
        <v>205</v>
      </c>
      <c r="B4" s="39" t="s">
        <v>199</v>
      </c>
      <c r="G4" s="39" t="s">
        <v>205</v>
      </c>
      <c r="H4" s="39" t="s">
        <v>199</v>
      </c>
      <c r="I4" s="39" t="s">
        <v>27</v>
      </c>
    </row>
    <row r="5" spans="1:22" x14ac:dyDescent="0.25">
      <c r="A5" s="39" t="s">
        <v>191</v>
      </c>
      <c r="B5" s="1" t="s">
        <v>201</v>
      </c>
      <c r="C5" s="1" t="s">
        <v>200</v>
      </c>
      <c r="D5" s="1" t="s">
        <v>232</v>
      </c>
      <c r="E5" s="1" t="s">
        <v>204</v>
      </c>
      <c r="H5" s="46" t="s">
        <v>232</v>
      </c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1" t="s">
        <v>291</v>
      </c>
      <c r="V5" s="1" t="s">
        <v>204</v>
      </c>
    </row>
    <row r="6" spans="1:22" x14ac:dyDescent="0.25">
      <c r="A6" t="s">
        <v>192</v>
      </c>
      <c r="B6" s="40">
        <v>437.54</v>
      </c>
      <c r="C6" s="40">
        <v>437.54</v>
      </c>
      <c r="D6" s="40">
        <v>437.54</v>
      </c>
      <c r="E6" s="40">
        <v>1312.6200000000001</v>
      </c>
      <c r="G6" s="39" t="s">
        <v>28</v>
      </c>
      <c r="H6" s="61">
        <v>43252</v>
      </c>
      <c r="I6" s="61">
        <v>43266</v>
      </c>
      <c r="J6" s="61">
        <v>43258</v>
      </c>
      <c r="K6" s="61">
        <v>43255</v>
      </c>
      <c r="L6" s="61">
        <v>43272</v>
      </c>
      <c r="M6" s="61">
        <v>43270</v>
      </c>
      <c r="N6" s="61">
        <v>43269</v>
      </c>
      <c r="O6" s="61">
        <v>43280</v>
      </c>
      <c r="P6" s="61">
        <v>43279</v>
      </c>
      <c r="Q6" s="61">
        <v>43278</v>
      </c>
      <c r="R6" s="61">
        <v>43277</v>
      </c>
      <c r="S6" s="61">
        <v>43276</v>
      </c>
      <c r="T6" s="61">
        <v>43273</v>
      </c>
      <c r="U6" s="1"/>
      <c r="V6" s="1"/>
    </row>
    <row r="7" spans="1:22" x14ac:dyDescent="0.25">
      <c r="A7" t="s">
        <v>193</v>
      </c>
      <c r="B7" s="40"/>
      <c r="C7" s="40">
        <v>1887.9600000000003</v>
      </c>
      <c r="D7" s="40"/>
      <c r="E7" s="40">
        <v>1887.9600000000003</v>
      </c>
      <c r="G7" t="s">
        <v>104</v>
      </c>
      <c r="H7" s="18"/>
      <c r="I7" s="18"/>
      <c r="J7" s="18"/>
      <c r="K7" s="18"/>
      <c r="L7" s="18"/>
      <c r="M7" s="18"/>
      <c r="N7" s="18"/>
      <c r="O7" s="18">
        <v>-0.06</v>
      </c>
      <c r="P7" s="18"/>
      <c r="Q7" s="18"/>
      <c r="R7" s="18"/>
      <c r="S7" s="18"/>
      <c r="T7" s="18"/>
      <c r="U7" s="18">
        <v>-0.06</v>
      </c>
      <c r="V7" s="18">
        <v>-0.06</v>
      </c>
    </row>
    <row r="8" spans="1:22" x14ac:dyDescent="0.25">
      <c r="A8" t="s">
        <v>12</v>
      </c>
      <c r="B8" s="40">
        <v>320</v>
      </c>
      <c r="C8" s="40">
        <v>300</v>
      </c>
      <c r="D8" s="40">
        <v>200</v>
      </c>
      <c r="E8" s="40">
        <v>820</v>
      </c>
      <c r="G8" t="s">
        <v>242</v>
      </c>
      <c r="H8" s="18">
        <v>11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>
        <v>11</v>
      </c>
      <c r="V8" s="18">
        <v>11</v>
      </c>
    </row>
    <row r="9" spans="1:22" x14ac:dyDescent="0.25">
      <c r="A9" t="s">
        <v>15</v>
      </c>
      <c r="B9" s="40">
        <v>47.11</v>
      </c>
      <c r="C9" s="40">
        <v>288.95999999999992</v>
      </c>
      <c r="D9" s="40">
        <v>202.97000000000006</v>
      </c>
      <c r="E9" s="40">
        <v>539.04</v>
      </c>
      <c r="G9" t="s">
        <v>270</v>
      </c>
      <c r="H9" s="18"/>
      <c r="I9" s="18"/>
      <c r="J9" s="18">
        <v>64.73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>
        <v>64.73</v>
      </c>
      <c r="V9" s="18">
        <v>64.73</v>
      </c>
    </row>
    <row r="10" spans="1:22" x14ac:dyDescent="0.25">
      <c r="A10" t="s">
        <v>16</v>
      </c>
      <c r="B10" s="40">
        <v>70.67</v>
      </c>
      <c r="C10" s="40">
        <v>151.9</v>
      </c>
      <c r="D10" s="40">
        <v>172.74</v>
      </c>
      <c r="E10" s="40">
        <v>395.31</v>
      </c>
      <c r="G10" t="s">
        <v>254</v>
      </c>
      <c r="H10" s="18"/>
      <c r="I10" s="18"/>
      <c r="J10" s="18"/>
      <c r="K10" s="18">
        <v>400</v>
      </c>
      <c r="L10" s="18"/>
      <c r="M10" s="18"/>
      <c r="N10" s="18"/>
      <c r="O10" s="18"/>
      <c r="P10" s="18"/>
      <c r="Q10" s="18"/>
      <c r="R10" s="18"/>
      <c r="S10" s="18"/>
      <c r="T10" s="18"/>
      <c r="U10" s="18">
        <v>400</v>
      </c>
      <c r="V10" s="18">
        <v>400</v>
      </c>
    </row>
    <row r="11" spans="1:22" x14ac:dyDescent="0.25">
      <c r="A11" t="s">
        <v>198</v>
      </c>
      <c r="B11" s="40"/>
      <c r="C11" s="40">
        <v>45.739999999999995</v>
      </c>
      <c r="D11" s="40">
        <v>23</v>
      </c>
      <c r="E11" s="40">
        <v>68.739999999999995</v>
      </c>
      <c r="G11" t="s">
        <v>305</v>
      </c>
      <c r="H11" s="18"/>
      <c r="I11" s="18"/>
      <c r="J11" s="18"/>
      <c r="K11" s="18"/>
      <c r="L11" s="18"/>
      <c r="M11" s="18">
        <v>19.07</v>
      </c>
      <c r="N11" s="18"/>
      <c r="O11" s="18"/>
      <c r="P11" s="18"/>
      <c r="Q11" s="18"/>
      <c r="R11" s="18"/>
      <c r="S11" s="18"/>
      <c r="T11" s="18"/>
      <c r="U11" s="18">
        <v>19.07</v>
      </c>
      <c r="V11" s="18">
        <v>19.07</v>
      </c>
    </row>
    <row r="12" spans="1:22" x14ac:dyDescent="0.25">
      <c r="A12" t="s">
        <v>17</v>
      </c>
      <c r="B12" s="40">
        <v>95.679999999999993</v>
      </c>
      <c r="C12" s="40">
        <v>422.43000000000006</v>
      </c>
      <c r="D12" s="40">
        <v>404.23999999999995</v>
      </c>
      <c r="E12" s="40">
        <v>922.34999999999991</v>
      </c>
      <c r="G12" t="s">
        <v>309</v>
      </c>
      <c r="H12" s="18"/>
      <c r="I12" s="18"/>
      <c r="J12" s="18"/>
      <c r="K12" s="18"/>
      <c r="L12" s="18"/>
      <c r="M12" s="18"/>
      <c r="N12" s="18">
        <v>20</v>
      </c>
      <c r="O12" s="18"/>
      <c r="P12" s="18"/>
      <c r="Q12" s="18"/>
      <c r="R12" s="18"/>
      <c r="S12" s="18"/>
      <c r="T12" s="18"/>
      <c r="U12" s="18">
        <v>20</v>
      </c>
      <c r="V12" s="18">
        <v>20</v>
      </c>
    </row>
    <row r="13" spans="1:22" x14ac:dyDescent="0.25">
      <c r="A13" t="s">
        <v>18</v>
      </c>
      <c r="B13" s="40"/>
      <c r="C13" s="40">
        <v>23.5</v>
      </c>
      <c r="D13" s="40">
        <v>48.68</v>
      </c>
      <c r="E13" s="40">
        <v>72.180000000000007</v>
      </c>
      <c r="G13" t="s">
        <v>310</v>
      </c>
      <c r="H13" s="18"/>
      <c r="I13" s="18"/>
      <c r="J13" s="18"/>
      <c r="K13" s="18"/>
      <c r="L13" s="18"/>
      <c r="M13" s="18"/>
      <c r="N13" s="18">
        <v>20</v>
      </c>
      <c r="O13" s="18"/>
      <c r="P13" s="18"/>
      <c r="Q13" s="18"/>
      <c r="R13" s="18"/>
      <c r="S13" s="18"/>
      <c r="T13" s="18"/>
      <c r="U13" s="18">
        <v>20</v>
      </c>
      <c r="V13" s="18">
        <v>20</v>
      </c>
    </row>
    <row r="14" spans="1:22" x14ac:dyDescent="0.25">
      <c r="A14" t="s">
        <v>19</v>
      </c>
      <c r="B14" s="40">
        <v>16.27</v>
      </c>
      <c r="C14" s="40">
        <v>56.94</v>
      </c>
      <c r="D14" s="40">
        <v>82.99</v>
      </c>
      <c r="E14" s="40">
        <v>156.19999999999999</v>
      </c>
      <c r="G14" t="s">
        <v>314</v>
      </c>
      <c r="H14" s="18"/>
      <c r="I14" s="18"/>
      <c r="J14" s="18"/>
      <c r="K14" s="18"/>
      <c r="L14" s="18"/>
      <c r="M14" s="18"/>
      <c r="N14" s="18">
        <v>66.92</v>
      </c>
      <c r="O14" s="18"/>
      <c r="P14" s="18"/>
      <c r="Q14" s="18"/>
      <c r="R14" s="18"/>
      <c r="S14" s="18"/>
      <c r="T14" s="18"/>
      <c r="U14" s="18">
        <v>66.92</v>
      </c>
      <c r="V14" s="18">
        <v>66.92</v>
      </c>
    </row>
    <row r="15" spans="1:22" x14ac:dyDescent="0.25">
      <c r="A15" t="s">
        <v>20</v>
      </c>
      <c r="B15" s="40">
        <v>21.91</v>
      </c>
      <c r="C15" s="40">
        <v>197.38</v>
      </c>
      <c r="D15" s="40">
        <v>1813.3400000000001</v>
      </c>
      <c r="E15" s="40">
        <v>2032.63</v>
      </c>
      <c r="G15" t="s">
        <v>315</v>
      </c>
      <c r="H15" s="18"/>
      <c r="I15" s="18"/>
      <c r="J15" s="18"/>
      <c r="K15" s="18"/>
      <c r="L15" s="18"/>
      <c r="M15" s="18"/>
      <c r="N15" s="18">
        <v>63</v>
      </c>
      <c r="O15" s="18"/>
      <c r="P15" s="18"/>
      <c r="Q15" s="18"/>
      <c r="R15" s="18"/>
      <c r="S15" s="18"/>
      <c r="T15" s="18"/>
      <c r="U15" s="18">
        <v>63</v>
      </c>
      <c r="V15" s="18">
        <v>63</v>
      </c>
    </row>
    <row r="16" spans="1:22" x14ac:dyDescent="0.25">
      <c r="A16" t="s">
        <v>207</v>
      </c>
      <c r="B16" s="40">
        <v>24.38</v>
      </c>
      <c r="C16" s="40">
        <v>460.25</v>
      </c>
      <c r="D16" s="40">
        <v>194.45</v>
      </c>
      <c r="E16" s="40">
        <v>679.07999999999993</v>
      </c>
      <c r="G16" t="s">
        <v>295</v>
      </c>
      <c r="H16" s="18"/>
      <c r="I16" s="18"/>
      <c r="J16" s="18"/>
      <c r="K16" s="18"/>
      <c r="L16" s="18"/>
      <c r="M16" s="18"/>
      <c r="N16" s="18">
        <v>-3</v>
      </c>
      <c r="O16" s="18"/>
      <c r="P16" s="18"/>
      <c r="Q16" s="18"/>
      <c r="R16" s="18"/>
      <c r="S16" s="18"/>
      <c r="T16" s="18"/>
      <c r="U16" s="18">
        <v>-3</v>
      </c>
      <c r="V16" s="18">
        <v>-3</v>
      </c>
    </row>
    <row r="17" spans="1:22" x14ac:dyDescent="0.25">
      <c r="A17" t="s">
        <v>197</v>
      </c>
      <c r="B17" s="40">
        <v>122.75</v>
      </c>
      <c r="C17" s="40">
        <v>100</v>
      </c>
      <c r="D17" s="40"/>
      <c r="E17" s="40">
        <v>222.75</v>
      </c>
      <c r="G17" t="s">
        <v>296</v>
      </c>
      <c r="H17" s="18"/>
      <c r="I17" s="18">
        <v>44.94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>
        <v>44.94</v>
      </c>
      <c r="V17" s="18">
        <v>44.94</v>
      </c>
    </row>
    <row r="18" spans="1:22" x14ac:dyDescent="0.25">
      <c r="A18" t="s">
        <v>195</v>
      </c>
      <c r="B18" s="40"/>
      <c r="C18" s="40">
        <v>6.65</v>
      </c>
      <c r="D18" s="40">
        <v>71.05</v>
      </c>
      <c r="E18" s="40">
        <v>77.7</v>
      </c>
      <c r="G18" t="s">
        <v>337</v>
      </c>
      <c r="H18" s="18"/>
      <c r="I18" s="18"/>
      <c r="J18" s="18"/>
      <c r="K18" s="18"/>
      <c r="L18" s="18"/>
      <c r="M18" s="18"/>
      <c r="N18" s="18"/>
      <c r="O18" s="18">
        <v>100</v>
      </c>
      <c r="P18" s="18"/>
      <c r="Q18" s="18"/>
      <c r="R18" s="18"/>
      <c r="S18" s="18"/>
      <c r="T18" s="18"/>
      <c r="U18" s="18">
        <v>100</v>
      </c>
      <c r="V18" s="18">
        <v>100</v>
      </c>
    </row>
    <row r="19" spans="1:22" x14ac:dyDescent="0.25">
      <c r="A19" t="s">
        <v>194</v>
      </c>
      <c r="B19" s="40"/>
      <c r="C19" s="40">
        <v>519.98</v>
      </c>
      <c r="D19" s="40"/>
      <c r="E19" s="40">
        <v>519.98</v>
      </c>
      <c r="G19" t="s">
        <v>339</v>
      </c>
      <c r="H19" s="18"/>
      <c r="I19" s="18"/>
      <c r="J19" s="18"/>
      <c r="K19" s="18"/>
      <c r="L19" s="18"/>
      <c r="M19" s="18"/>
      <c r="N19" s="18"/>
      <c r="O19" s="18">
        <v>50</v>
      </c>
      <c r="P19" s="18"/>
      <c r="Q19" s="18"/>
      <c r="R19" s="18"/>
      <c r="S19" s="18"/>
      <c r="T19" s="18"/>
      <c r="U19" s="18">
        <v>50</v>
      </c>
      <c r="V19" s="18">
        <v>50</v>
      </c>
    </row>
    <row r="20" spans="1:22" x14ac:dyDescent="0.25">
      <c r="A20" t="s">
        <v>204</v>
      </c>
      <c r="B20" s="40">
        <v>1156.31</v>
      </c>
      <c r="C20" s="40">
        <v>4899.2299999999996</v>
      </c>
      <c r="D20" s="40">
        <v>3651</v>
      </c>
      <c r="E20" s="40">
        <v>9706.5400000000009</v>
      </c>
      <c r="G20" t="s">
        <v>341</v>
      </c>
      <c r="H20" s="18"/>
      <c r="I20" s="18"/>
      <c r="J20" s="18"/>
      <c r="K20" s="18"/>
      <c r="L20" s="18"/>
      <c r="M20" s="18"/>
      <c r="N20" s="18"/>
      <c r="O20" s="18"/>
      <c r="P20" s="18">
        <v>35.42</v>
      </c>
      <c r="Q20" s="18"/>
      <c r="R20" s="18"/>
      <c r="S20" s="18"/>
      <c r="T20" s="18"/>
      <c r="U20" s="18">
        <v>35.42</v>
      </c>
      <c r="V20" s="18">
        <v>35.42</v>
      </c>
    </row>
    <row r="21" spans="1:22" x14ac:dyDescent="0.25">
      <c r="G21" t="s">
        <v>342</v>
      </c>
      <c r="H21" s="18"/>
      <c r="I21" s="18"/>
      <c r="J21" s="18"/>
      <c r="K21" s="18"/>
      <c r="L21" s="18"/>
      <c r="M21" s="18"/>
      <c r="N21" s="18"/>
      <c r="O21" s="18"/>
      <c r="P21" s="18">
        <v>104.81</v>
      </c>
      <c r="Q21" s="18"/>
      <c r="R21" s="18"/>
      <c r="S21" s="18"/>
      <c r="T21" s="18"/>
      <c r="U21" s="18">
        <v>104.81</v>
      </c>
      <c r="V21" s="18">
        <v>104.81</v>
      </c>
    </row>
    <row r="22" spans="1:22" x14ac:dyDescent="0.25">
      <c r="G22" t="s">
        <v>344</v>
      </c>
      <c r="H22" s="18"/>
      <c r="I22" s="18"/>
      <c r="J22" s="18"/>
      <c r="K22" s="18"/>
      <c r="L22" s="18"/>
      <c r="M22" s="18"/>
      <c r="N22" s="18"/>
      <c r="O22" s="18"/>
      <c r="P22" s="18"/>
      <c r="Q22" s="18">
        <v>42.95</v>
      </c>
      <c r="R22" s="18"/>
      <c r="S22" s="18"/>
      <c r="T22" s="18"/>
      <c r="U22" s="18">
        <v>42.95</v>
      </c>
      <c r="V22" s="18">
        <v>42.95</v>
      </c>
    </row>
    <row r="23" spans="1:22" x14ac:dyDescent="0.25">
      <c r="G23" t="s">
        <v>345</v>
      </c>
      <c r="H23" s="18"/>
      <c r="I23" s="18"/>
      <c r="J23" s="18"/>
      <c r="K23" s="18"/>
      <c r="L23" s="18"/>
      <c r="M23" s="18"/>
      <c r="N23" s="18"/>
      <c r="O23" s="18"/>
      <c r="P23" s="18"/>
      <c r="Q23" s="18">
        <v>100</v>
      </c>
      <c r="R23" s="18"/>
      <c r="S23" s="18"/>
      <c r="T23" s="18"/>
      <c r="U23" s="18">
        <v>100</v>
      </c>
      <c r="V23" s="18">
        <v>100</v>
      </c>
    </row>
    <row r="24" spans="1:22" x14ac:dyDescent="0.25">
      <c r="G24" t="s">
        <v>346</v>
      </c>
      <c r="H24" s="18"/>
      <c r="I24" s="18"/>
      <c r="J24" s="18"/>
      <c r="K24" s="18"/>
      <c r="L24" s="18"/>
      <c r="M24" s="18"/>
      <c r="N24" s="18"/>
      <c r="O24" s="18"/>
      <c r="P24" s="18"/>
      <c r="Q24" s="18">
        <v>-2.95</v>
      </c>
      <c r="R24" s="18"/>
      <c r="S24" s="18"/>
      <c r="T24" s="18"/>
      <c r="U24" s="18">
        <v>-2.95</v>
      </c>
      <c r="V24" s="18">
        <v>-2.95</v>
      </c>
    </row>
    <row r="25" spans="1:22" x14ac:dyDescent="0.25">
      <c r="G25" t="s">
        <v>347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>
        <v>100</v>
      </c>
      <c r="S25" s="18"/>
      <c r="T25" s="18"/>
      <c r="U25" s="18">
        <v>100</v>
      </c>
      <c r="V25" s="18">
        <v>100</v>
      </c>
    </row>
    <row r="26" spans="1:22" x14ac:dyDescent="0.25">
      <c r="G26" t="s">
        <v>348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>
        <v>500</v>
      </c>
      <c r="S26" s="18"/>
      <c r="T26" s="18"/>
      <c r="U26" s="18">
        <v>500</v>
      </c>
      <c r="V26" s="18">
        <v>500</v>
      </c>
    </row>
    <row r="27" spans="1:22" x14ac:dyDescent="0.25">
      <c r="G27" t="s">
        <v>320</v>
      </c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>
        <v>15.01</v>
      </c>
      <c r="T27" s="18"/>
      <c r="U27" s="18">
        <v>15.01</v>
      </c>
      <c r="V27" s="18">
        <v>15.01</v>
      </c>
    </row>
    <row r="28" spans="1:22" x14ac:dyDescent="0.25">
      <c r="G28" t="s">
        <v>321</v>
      </c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>
        <v>4</v>
      </c>
      <c r="T28" s="18"/>
      <c r="U28" s="18">
        <v>4</v>
      </c>
      <c r="V28" s="18">
        <v>4</v>
      </c>
    </row>
    <row r="29" spans="1:22" outlineLevel="1" x14ac:dyDescent="0.25">
      <c r="G29" t="s">
        <v>323</v>
      </c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>
        <v>7.5</v>
      </c>
      <c r="U29" s="18">
        <v>7.5</v>
      </c>
      <c r="V29" s="18">
        <v>7.5</v>
      </c>
    </row>
    <row r="30" spans="1:22" x14ac:dyDescent="0.25">
      <c r="G30" t="s">
        <v>328</v>
      </c>
      <c r="H30" s="18"/>
      <c r="I30" s="18"/>
      <c r="J30" s="18"/>
      <c r="K30" s="18"/>
      <c r="L30" s="18">
        <v>50</v>
      </c>
      <c r="M30" s="18"/>
      <c r="N30" s="18"/>
      <c r="O30" s="18"/>
      <c r="P30" s="18"/>
      <c r="Q30" s="18"/>
      <c r="R30" s="18"/>
      <c r="S30" s="18"/>
      <c r="T30" s="18"/>
      <c r="U30" s="18">
        <v>50</v>
      </c>
      <c r="V30" s="18">
        <v>50</v>
      </c>
    </row>
    <row r="31" spans="1:22" x14ac:dyDescent="0.25">
      <c r="G31" t="s">
        <v>204</v>
      </c>
      <c r="H31" s="18">
        <v>11</v>
      </c>
      <c r="I31" s="18">
        <v>44.94</v>
      </c>
      <c r="J31" s="18">
        <v>64.73</v>
      </c>
      <c r="K31" s="18">
        <v>400</v>
      </c>
      <c r="L31" s="18">
        <v>50</v>
      </c>
      <c r="M31" s="18">
        <v>19.07</v>
      </c>
      <c r="N31" s="18">
        <v>166.92000000000002</v>
      </c>
      <c r="O31" s="18">
        <v>149.94</v>
      </c>
      <c r="P31" s="18">
        <v>140.23000000000002</v>
      </c>
      <c r="Q31" s="18">
        <v>140</v>
      </c>
      <c r="R31" s="18">
        <v>600</v>
      </c>
      <c r="S31" s="18">
        <v>19.009999999999998</v>
      </c>
      <c r="T31" s="18">
        <v>7.5</v>
      </c>
      <c r="U31" s="18">
        <v>1813.34</v>
      </c>
      <c r="V31" s="18">
        <v>1813.34</v>
      </c>
    </row>
    <row r="37" outlineLevel="1" x14ac:dyDescent="0.25"/>
    <row r="38" outlineLevel="1" x14ac:dyDescent="0.25"/>
    <row r="58" outlineLevel="1" x14ac:dyDescent="0.25"/>
    <row r="59" outlineLevel="1" x14ac:dyDescent="0.25"/>
    <row r="60" outlineLevel="1" x14ac:dyDescent="0.25"/>
    <row r="61" outlineLevel="1" x14ac:dyDescent="0.25"/>
  </sheetData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 tint="0.499984740745262"/>
  </sheetPr>
  <dimension ref="A1:Q337"/>
  <sheetViews>
    <sheetView showGridLines="0" zoomScale="90" zoomScaleNormal="90" workbookViewId="0">
      <pane ySplit="4" topLeftCell="A21" activePane="bottomLeft" state="frozen"/>
      <selection activeCell="E26" sqref="E26"/>
      <selection pane="bottomLeft" activeCell="E26" sqref="E26"/>
    </sheetView>
  </sheetViews>
  <sheetFormatPr defaultRowHeight="15" x14ac:dyDescent="0.25"/>
  <cols>
    <col min="3" max="3" width="12.140625" bestFit="1" customWidth="1"/>
    <col min="4" max="4" width="20.28515625" customWidth="1"/>
    <col min="5" max="5" width="93.5703125" customWidth="1"/>
    <col min="6" max="6" width="10.5703125" bestFit="1" customWidth="1"/>
    <col min="7" max="7" width="13.5703125" bestFit="1" customWidth="1"/>
    <col min="8" max="8" width="11.140625" bestFit="1" customWidth="1"/>
    <col min="9" max="9" width="13.85546875" bestFit="1" customWidth="1"/>
    <col min="16" max="16" width="12.140625" bestFit="1" customWidth="1"/>
  </cols>
  <sheetData>
    <row r="1" spans="1:17" x14ac:dyDescent="0.25">
      <c r="H1" s="18">
        <v>9251.8799999999992</v>
      </c>
      <c r="I1" t="s">
        <v>229</v>
      </c>
    </row>
    <row r="4" spans="1:17" x14ac:dyDescent="0.25">
      <c r="A4" s="4" t="s">
        <v>26</v>
      </c>
      <c r="B4" s="23" t="s">
        <v>199</v>
      </c>
      <c r="C4" s="4" t="s">
        <v>27</v>
      </c>
      <c r="D4" s="23" t="s">
        <v>191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32</v>
      </c>
      <c r="M4" t="s">
        <v>230</v>
      </c>
      <c r="P4" s="88">
        <f>SUM(P5:P20)</f>
        <v>11429.05</v>
      </c>
      <c r="Q4" t="s">
        <v>331</v>
      </c>
    </row>
    <row r="5" spans="1:17" x14ac:dyDescent="0.25">
      <c r="A5" s="76" t="s">
        <v>33</v>
      </c>
      <c r="B5" s="76" t="s">
        <v>233</v>
      </c>
      <c r="C5" s="77">
        <v>43282</v>
      </c>
      <c r="D5" s="77" t="s">
        <v>198</v>
      </c>
      <c r="E5" s="76" t="s">
        <v>292</v>
      </c>
      <c r="F5" s="78">
        <v>0</v>
      </c>
      <c r="G5" s="76" t="s">
        <v>259</v>
      </c>
      <c r="H5" s="78">
        <f t="shared" ref="H5:H145" si="0">H6-F5</f>
        <v>13828.990000000003</v>
      </c>
      <c r="I5" s="18"/>
      <c r="L5">
        <f t="shared" ref="L5:L17" si="1">M5-M6</f>
        <v>14</v>
      </c>
      <c r="M5" s="66">
        <v>43462</v>
      </c>
      <c r="N5" s="67">
        <v>3455.28</v>
      </c>
      <c r="P5" s="89">
        <v>8143</v>
      </c>
      <c r="Q5" t="s">
        <v>330</v>
      </c>
    </row>
    <row r="6" spans="1:17" x14ac:dyDescent="0.25">
      <c r="A6" s="76" t="s">
        <v>33</v>
      </c>
      <c r="B6" s="76" t="s">
        <v>233</v>
      </c>
      <c r="C6" s="77">
        <v>43282</v>
      </c>
      <c r="D6" s="77" t="s">
        <v>17</v>
      </c>
      <c r="E6" s="76" t="s">
        <v>292</v>
      </c>
      <c r="F6" s="78">
        <v>0</v>
      </c>
      <c r="G6" s="76" t="s">
        <v>259</v>
      </c>
      <c r="H6" s="78">
        <f t="shared" si="0"/>
        <v>13828.990000000003</v>
      </c>
      <c r="I6" s="18"/>
      <c r="L6">
        <f t="shared" si="1"/>
        <v>14</v>
      </c>
      <c r="M6" s="70">
        <v>43448</v>
      </c>
      <c r="N6" s="71">
        <v>3455.28</v>
      </c>
      <c r="P6" s="87">
        <v>3455</v>
      </c>
      <c r="Q6" t="s">
        <v>332</v>
      </c>
    </row>
    <row r="7" spans="1:17" x14ac:dyDescent="0.25">
      <c r="A7" s="76" t="s">
        <v>33</v>
      </c>
      <c r="B7" s="76" t="s">
        <v>233</v>
      </c>
      <c r="C7" s="77">
        <v>43282</v>
      </c>
      <c r="D7" s="77" t="s">
        <v>12</v>
      </c>
      <c r="E7" s="76" t="s">
        <v>292</v>
      </c>
      <c r="F7" s="78">
        <v>0</v>
      </c>
      <c r="G7" s="76" t="s">
        <v>259</v>
      </c>
      <c r="H7" s="78">
        <f t="shared" si="0"/>
        <v>13828.990000000003</v>
      </c>
      <c r="I7" s="18"/>
      <c r="L7">
        <f t="shared" si="1"/>
        <v>14</v>
      </c>
      <c r="M7" s="66">
        <v>43434</v>
      </c>
      <c r="N7" s="67">
        <v>3455.28</v>
      </c>
      <c r="P7" s="87">
        <v>-147</v>
      </c>
      <c r="Q7" t="s">
        <v>504</v>
      </c>
    </row>
    <row r="8" spans="1:17" x14ac:dyDescent="0.25">
      <c r="A8" s="76" t="s">
        <v>33</v>
      </c>
      <c r="B8" s="76" t="s">
        <v>233</v>
      </c>
      <c r="C8" s="77">
        <v>43282</v>
      </c>
      <c r="D8" s="77" t="s">
        <v>16</v>
      </c>
      <c r="E8" s="76" t="s">
        <v>292</v>
      </c>
      <c r="F8" s="78">
        <v>0</v>
      </c>
      <c r="G8" s="76" t="s">
        <v>259</v>
      </c>
      <c r="H8" s="78">
        <f t="shared" si="0"/>
        <v>13828.990000000003</v>
      </c>
      <c r="I8" s="18"/>
      <c r="L8">
        <f t="shared" si="1"/>
        <v>14</v>
      </c>
      <c r="M8" s="68">
        <v>43420</v>
      </c>
      <c r="N8" s="69">
        <v>3455.28</v>
      </c>
      <c r="P8" s="87">
        <v>-21.95</v>
      </c>
      <c r="Q8" t="s">
        <v>505</v>
      </c>
    </row>
    <row r="9" spans="1:17" x14ac:dyDescent="0.25">
      <c r="A9" s="76" t="s">
        <v>33</v>
      </c>
      <c r="B9" s="76" t="s">
        <v>233</v>
      </c>
      <c r="C9" s="77">
        <v>43282</v>
      </c>
      <c r="D9" s="77" t="s">
        <v>15</v>
      </c>
      <c r="E9" s="76" t="s">
        <v>292</v>
      </c>
      <c r="F9" s="78">
        <v>0</v>
      </c>
      <c r="G9" s="76" t="s">
        <v>259</v>
      </c>
      <c r="H9" s="78">
        <f t="shared" si="0"/>
        <v>13828.990000000003</v>
      </c>
      <c r="I9" s="18"/>
      <c r="L9">
        <f t="shared" si="1"/>
        <v>14</v>
      </c>
      <c r="M9" s="70">
        <v>43406</v>
      </c>
      <c r="N9" s="71">
        <v>3455.28</v>
      </c>
      <c r="P9" s="87"/>
    </row>
    <row r="10" spans="1:17" x14ac:dyDescent="0.25">
      <c r="A10" s="76" t="s">
        <v>33</v>
      </c>
      <c r="B10" s="76" t="s">
        <v>233</v>
      </c>
      <c r="C10" s="77">
        <v>43282</v>
      </c>
      <c r="D10" s="77" t="s">
        <v>22</v>
      </c>
      <c r="E10" s="76" t="s">
        <v>292</v>
      </c>
      <c r="F10" s="78">
        <v>0</v>
      </c>
      <c r="G10" s="76" t="s">
        <v>259</v>
      </c>
      <c r="H10" s="78">
        <f t="shared" si="0"/>
        <v>13828.990000000003</v>
      </c>
      <c r="I10" s="18"/>
      <c r="L10">
        <f t="shared" si="1"/>
        <v>14</v>
      </c>
      <c r="M10" s="66">
        <v>43392</v>
      </c>
      <c r="N10" s="67">
        <v>3455.28</v>
      </c>
      <c r="P10" s="87"/>
    </row>
    <row r="11" spans="1:17" x14ac:dyDescent="0.25">
      <c r="A11" s="76" t="s">
        <v>33</v>
      </c>
      <c r="B11" s="76" t="s">
        <v>233</v>
      </c>
      <c r="C11" s="77">
        <v>43282</v>
      </c>
      <c r="D11" s="77" t="s">
        <v>23</v>
      </c>
      <c r="E11" s="76" t="s">
        <v>292</v>
      </c>
      <c r="F11" s="78">
        <v>0</v>
      </c>
      <c r="G11" s="76" t="s">
        <v>259</v>
      </c>
      <c r="H11" s="78">
        <f t="shared" si="0"/>
        <v>13828.990000000003</v>
      </c>
      <c r="I11" s="18"/>
      <c r="L11">
        <f t="shared" si="1"/>
        <v>14</v>
      </c>
      <c r="M11" s="70">
        <v>43378</v>
      </c>
      <c r="N11" s="71">
        <v>3455.28</v>
      </c>
      <c r="P11" s="87"/>
    </row>
    <row r="12" spans="1:17" x14ac:dyDescent="0.25">
      <c r="A12" s="76" t="s">
        <v>33</v>
      </c>
      <c r="B12" s="76" t="s">
        <v>233</v>
      </c>
      <c r="C12" s="77">
        <v>43282</v>
      </c>
      <c r="D12" s="77" t="s">
        <v>207</v>
      </c>
      <c r="E12" s="76" t="s">
        <v>292</v>
      </c>
      <c r="F12" s="78">
        <v>0</v>
      </c>
      <c r="G12" s="76" t="s">
        <v>259</v>
      </c>
      <c r="H12" s="78">
        <f t="shared" si="0"/>
        <v>13828.990000000003</v>
      </c>
      <c r="I12" s="18"/>
      <c r="L12">
        <f t="shared" si="1"/>
        <v>14</v>
      </c>
      <c r="M12" s="66">
        <v>43364</v>
      </c>
      <c r="N12" s="67">
        <v>3455.28</v>
      </c>
    </row>
    <row r="13" spans="1:17" x14ac:dyDescent="0.25">
      <c r="A13" s="76" t="s">
        <v>33</v>
      </c>
      <c r="B13" s="76" t="s">
        <v>233</v>
      </c>
      <c r="C13" s="77">
        <v>43282</v>
      </c>
      <c r="D13" s="77" t="s">
        <v>138</v>
      </c>
      <c r="E13" s="76" t="s">
        <v>292</v>
      </c>
      <c r="F13" s="78">
        <v>0</v>
      </c>
      <c r="G13" s="76" t="s">
        <v>259</v>
      </c>
      <c r="H13" s="78">
        <f t="shared" si="0"/>
        <v>13828.990000000003</v>
      </c>
      <c r="I13" s="18"/>
      <c r="L13">
        <f t="shared" si="1"/>
        <v>14</v>
      </c>
      <c r="M13" s="70">
        <v>43350</v>
      </c>
      <c r="N13" s="71">
        <v>3455.28</v>
      </c>
    </row>
    <row r="14" spans="1:17" x14ac:dyDescent="0.25">
      <c r="A14" t="s">
        <v>33</v>
      </c>
      <c r="B14" t="s">
        <v>233</v>
      </c>
      <c r="C14" s="3"/>
      <c r="D14" s="3"/>
      <c r="F14" s="5"/>
      <c r="H14" s="5">
        <f t="shared" si="0"/>
        <v>13828.990000000003</v>
      </c>
      <c r="I14" s="18"/>
      <c r="L14">
        <f t="shared" si="1"/>
        <v>14</v>
      </c>
      <c r="M14" s="91">
        <v>43336</v>
      </c>
      <c r="N14" s="92">
        <v>3455.28</v>
      </c>
    </row>
    <row r="15" spans="1:17" x14ac:dyDescent="0.25">
      <c r="A15" t="s">
        <v>33</v>
      </c>
      <c r="B15" t="s">
        <v>233</v>
      </c>
      <c r="C15" s="3"/>
      <c r="D15" s="3"/>
      <c r="F15" s="5"/>
      <c r="H15" s="5">
        <f t="shared" si="0"/>
        <v>13828.990000000003</v>
      </c>
      <c r="I15" s="18"/>
      <c r="L15">
        <f t="shared" si="1"/>
        <v>14</v>
      </c>
      <c r="M15" s="82">
        <v>43322</v>
      </c>
      <c r="N15" s="83">
        <v>3455.28</v>
      </c>
    </row>
    <row r="16" spans="1:17" x14ac:dyDescent="0.25">
      <c r="A16" t="s">
        <v>33</v>
      </c>
      <c r="B16" t="s">
        <v>233</v>
      </c>
      <c r="C16" s="3"/>
      <c r="D16" s="3"/>
      <c r="F16" s="5"/>
      <c r="H16" s="5">
        <f t="shared" si="0"/>
        <v>13828.990000000003</v>
      </c>
      <c r="I16" s="18"/>
      <c r="L16">
        <f t="shared" si="1"/>
        <v>14</v>
      </c>
      <c r="M16" s="91">
        <v>43308</v>
      </c>
      <c r="N16" s="92">
        <v>3455.28</v>
      </c>
    </row>
    <row r="17" spans="1:14" x14ac:dyDescent="0.25">
      <c r="A17" t="s">
        <v>33</v>
      </c>
      <c r="B17" t="s">
        <v>233</v>
      </c>
      <c r="C17" s="3"/>
      <c r="D17" s="3"/>
      <c r="F17" s="5"/>
      <c r="H17" s="5">
        <f t="shared" si="0"/>
        <v>13828.990000000003</v>
      </c>
      <c r="I17" s="18"/>
      <c r="L17">
        <f t="shared" si="1"/>
        <v>14</v>
      </c>
      <c r="M17" s="82">
        <v>43294</v>
      </c>
      <c r="N17" s="83">
        <v>3455.28</v>
      </c>
    </row>
    <row r="18" spans="1:14" x14ac:dyDescent="0.25">
      <c r="A18" t="s">
        <v>33</v>
      </c>
      <c r="B18" t="s">
        <v>233</v>
      </c>
      <c r="C18" s="3">
        <v>43283</v>
      </c>
      <c r="D18" s="3" t="s">
        <v>20</v>
      </c>
      <c r="E18" t="s">
        <v>358</v>
      </c>
      <c r="F18" s="5">
        <f>75-47-21.98</f>
        <v>6.02</v>
      </c>
      <c r="H18" s="5">
        <f t="shared" si="0"/>
        <v>13828.990000000003</v>
      </c>
      <c r="I18" s="18"/>
      <c r="L18">
        <f>M18-M19</f>
        <v>14</v>
      </c>
      <c r="M18" s="91">
        <v>43280</v>
      </c>
      <c r="N18" s="92">
        <v>3455.28</v>
      </c>
    </row>
    <row r="19" spans="1:14" x14ac:dyDescent="0.25">
      <c r="A19" t="s">
        <v>33</v>
      </c>
      <c r="B19" t="s">
        <v>233</v>
      </c>
      <c r="C19" s="3">
        <v>43283</v>
      </c>
      <c r="D19" s="3" t="s">
        <v>138</v>
      </c>
      <c r="E19" t="s">
        <v>358</v>
      </c>
      <c r="F19" s="5">
        <v>21.98</v>
      </c>
      <c r="H19" s="5">
        <f t="shared" si="0"/>
        <v>13835.010000000004</v>
      </c>
      <c r="I19" s="18"/>
      <c r="L19">
        <f>M19-M20</f>
        <v>14</v>
      </c>
      <c r="M19" s="80">
        <v>43266</v>
      </c>
      <c r="N19" s="81">
        <v>3455.28</v>
      </c>
    </row>
    <row r="20" spans="1:14" x14ac:dyDescent="0.25">
      <c r="A20" t="s">
        <v>33</v>
      </c>
      <c r="B20" t="s">
        <v>233</v>
      </c>
      <c r="C20" s="3">
        <v>43283</v>
      </c>
      <c r="D20" s="3" t="s">
        <v>14</v>
      </c>
      <c r="E20" t="s">
        <v>358</v>
      </c>
      <c r="F20" s="5">
        <v>47</v>
      </c>
      <c r="H20" s="5">
        <f t="shared" si="0"/>
        <v>13856.990000000003</v>
      </c>
      <c r="I20" s="18"/>
      <c r="M20" s="82">
        <v>43252</v>
      </c>
      <c r="N20" s="83">
        <v>3455.28</v>
      </c>
    </row>
    <row r="21" spans="1:14" x14ac:dyDescent="0.25">
      <c r="A21" t="s">
        <v>33</v>
      </c>
      <c r="B21" t="s">
        <v>233</v>
      </c>
      <c r="C21" s="3">
        <v>43283</v>
      </c>
      <c r="D21" s="3" t="s">
        <v>20</v>
      </c>
      <c r="E21" t="s">
        <v>349</v>
      </c>
      <c r="F21" s="5">
        <v>41.41</v>
      </c>
      <c r="H21" s="5">
        <f t="shared" si="0"/>
        <v>13903.990000000003</v>
      </c>
      <c r="I21" s="18"/>
      <c r="M21" s="90"/>
    </row>
    <row r="22" spans="1:14" x14ac:dyDescent="0.25">
      <c r="A22" t="s">
        <v>33</v>
      </c>
      <c r="B22" t="s">
        <v>233</v>
      </c>
      <c r="C22" s="3">
        <v>43283</v>
      </c>
      <c r="D22" s="3" t="s">
        <v>15</v>
      </c>
      <c r="E22" t="s">
        <v>350</v>
      </c>
      <c r="F22" s="5">
        <v>58.04</v>
      </c>
      <c r="H22" s="5">
        <f t="shared" si="0"/>
        <v>13945.400000000003</v>
      </c>
      <c r="I22" s="18"/>
      <c r="M22" s="90"/>
    </row>
    <row r="23" spans="1:14" x14ac:dyDescent="0.25">
      <c r="A23" t="s">
        <v>33</v>
      </c>
      <c r="B23" t="s">
        <v>233</v>
      </c>
      <c r="C23" s="3">
        <v>43283</v>
      </c>
      <c r="D23" s="3" t="s">
        <v>20</v>
      </c>
      <c r="E23" t="s">
        <v>43</v>
      </c>
      <c r="F23" s="5">
        <v>21.39</v>
      </c>
      <c r="H23" s="5">
        <f t="shared" si="0"/>
        <v>14003.440000000004</v>
      </c>
      <c r="I23" s="18"/>
      <c r="M23" s="90"/>
    </row>
    <row r="24" spans="1:14" x14ac:dyDescent="0.25">
      <c r="A24" t="s">
        <v>33</v>
      </c>
      <c r="B24" t="s">
        <v>233</v>
      </c>
      <c r="C24" s="3">
        <v>43283</v>
      </c>
      <c r="D24" s="3" t="s">
        <v>19</v>
      </c>
      <c r="E24" t="s">
        <v>43</v>
      </c>
      <c r="F24" s="5">
        <v>4.2300000000000004</v>
      </c>
      <c r="H24" s="5">
        <f t="shared" si="0"/>
        <v>14024.830000000004</v>
      </c>
      <c r="I24" s="18"/>
      <c r="M24" s="90">
        <f>M5+14</f>
        <v>43476</v>
      </c>
    </row>
    <row r="25" spans="1:14" x14ac:dyDescent="0.25">
      <c r="A25" t="s">
        <v>33</v>
      </c>
      <c r="B25" t="s">
        <v>233</v>
      </c>
      <c r="C25" s="3">
        <v>43283</v>
      </c>
      <c r="D25" s="3" t="s">
        <v>19</v>
      </c>
      <c r="E25" t="s">
        <v>351</v>
      </c>
      <c r="F25" s="5">
        <v>-4.2300000000000004</v>
      </c>
      <c r="H25" s="5">
        <f t="shared" si="0"/>
        <v>14029.060000000003</v>
      </c>
      <c r="I25" s="18"/>
      <c r="M25" s="90">
        <f>M24+14</f>
        <v>43490</v>
      </c>
    </row>
    <row r="26" spans="1:14" x14ac:dyDescent="0.25">
      <c r="A26" t="s">
        <v>33</v>
      </c>
      <c r="B26" t="s">
        <v>233</v>
      </c>
      <c r="C26" s="3">
        <v>43283</v>
      </c>
      <c r="D26" s="3" t="s">
        <v>19</v>
      </c>
      <c r="E26" t="s">
        <v>43</v>
      </c>
      <c r="F26" s="5">
        <v>4.2300000000000004</v>
      </c>
      <c r="H26" s="5">
        <f t="shared" si="0"/>
        <v>14024.830000000004</v>
      </c>
      <c r="I26" s="18"/>
      <c r="M26" s="90">
        <f>M25+14</f>
        <v>43504</v>
      </c>
    </row>
    <row r="27" spans="1:14" x14ac:dyDescent="0.25">
      <c r="A27" t="s">
        <v>33</v>
      </c>
      <c r="B27" t="s">
        <v>233</v>
      </c>
      <c r="C27" s="3">
        <v>43283</v>
      </c>
      <c r="D27" s="3" t="s">
        <v>15</v>
      </c>
      <c r="E27" t="s">
        <v>352</v>
      </c>
      <c r="F27" s="5">
        <v>7.99</v>
      </c>
      <c r="H27" s="5">
        <f t="shared" si="0"/>
        <v>14029.060000000003</v>
      </c>
      <c r="I27" s="18"/>
      <c r="M27" s="90">
        <f>M26+14</f>
        <v>43518</v>
      </c>
    </row>
    <row r="28" spans="1:14" x14ac:dyDescent="0.25">
      <c r="A28" t="s">
        <v>33</v>
      </c>
      <c r="B28" t="s">
        <v>233</v>
      </c>
      <c r="C28" s="3">
        <v>43283</v>
      </c>
      <c r="D28" s="3" t="s">
        <v>17</v>
      </c>
      <c r="E28" t="s">
        <v>353</v>
      </c>
      <c r="F28" s="5">
        <v>5</v>
      </c>
      <c r="H28" s="5">
        <f t="shared" si="0"/>
        <v>14037.050000000003</v>
      </c>
      <c r="I28" s="18"/>
      <c r="M28" s="90">
        <f t="shared" ref="M28:M49" si="2">M27+14</f>
        <v>43532</v>
      </c>
    </row>
    <row r="29" spans="1:14" x14ac:dyDescent="0.25">
      <c r="A29" t="s">
        <v>33</v>
      </c>
      <c r="B29" t="s">
        <v>233</v>
      </c>
      <c r="C29" s="3">
        <v>43283</v>
      </c>
      <c r="D29" s="3" t="s">
        <v>20</v>
      </c>
      <c r="E29" t="s">
        <v>354</v>
      </c>
      <c r="F29" s="5">
        <v>284.23</v>
      </c>
      <c r="H29" s="5">
        <f t="shared" si="0"/>
        <v>14042.050000000003</v>
      </c>
      <c r="I29" s="18"/>
      <c r="M29" s="90">
        <f t="shared" si="2"/>
        <v>43546</v>
      </c>
    </row>
    <row r="30" spans="1:14" x14ac:dyDescent="0.25">
      <c r="A30" t="s">
        <v>33</v>
      </c>
      <c r="B30" t="s">
        <v>233</v>
      </c>
      <c r="C30" s="3">
        <v>43283</v>
      </c>
      <c r="D30" s="3" t="s">
        <v>20</v>
      </c>
      <c r="E30" t="s">
        <v>355</v>
      </c>
      <c r="F30" s="5">
        <v>74.650000000000006</v>
      </c>
      <c r="H30" s="5">
        <f t="shared" si="0"/>
        <v>14326.280000000002</v>
      </c>
      <c r="I30" s="18"/>
      <c r="M30" s="90">
        <f t="shared" si="2"/>
        <v>43560</v>
      </c>
    </row>
    <row r="31" spans="1:14" x14ac:dyDescent="0.25">
      <c r="A31" t="s">
        <v>33</v>
      </c>
      <c r="B31" t="s">
        <v>233</v>
      </c>
      <c r="C31" s="3">
        <v>43283</v>
      </c>
      <c r="D31" s="3" t="s">
        <v>20</v>
      </c>
      <c r="E31" t="s">
        <v>356</v>
      </c>
      <c r="F31" s="5">
        <v>1700</v>
      </c>
      <c r="H31" s="5">
        <f t="shared" si="0"/>
        <v>14400.930000000002</v>
      </c>
      <c r="I31" s="18"/>
      <c r="M31" s="90">
        <f t="shared" si="2"/>
        <v>43574</v>
      </c>
    </row>
    <row r="32" spans="1:14" x14ac:dyDescent="0.25">
      <c r="A32" t="s">
        <v>33</v>
      </c>
      <c r="B32" t="s">
        <v>233</v>
      </c>
      <c r="C32" s="3">
        <v>43283</v>
      </c>
      <c r="D32" s="3" t="s">
        <v>20</v>
      </c>
      <c r="E32" t="s">
        <v>357</v>
      </c>
      <c r="F32" s="5">
        <v>-1857.84</v>
      </c>
      <c r="H32" s="5">
        <f t="shared" si="0"/>
        <v>16100.930000000002</v>
      </c>
      <c r="I32" s="18"/>
      <c r="M32" s="90">
        <f t="shared" si="2"/>
        <v>43588</v>
      </c>
    </row>
    <row r="33" spans="1:13" x14ac:dyDescent="0.25">
      <c r="A33" t="s">
        <v>33</v>
      </c>
      <c r="B33" t="s">
        <v>232</v>
      </c>
      <c r="C33" s="3">
        <v>43281</v>
      </c>
      <c r="D33" s="3" t="s">
        <v>207</v>
      </c>
      <c r="E33" t="s">
        <v>336</v>
      </c>
      <c r="F33" s="5">
        <v>25.67</v>
      </c>
      <c r="H33" s="5">
        <f t="shared" si="0"/>
        <v>14243.090000000002</v>
      </c>
      <c r="I33" s="18"/>
      <c r="M33" s="90">
        <f t="shared" si="2"/>
        <v>43602</v>
      </c>
    </row>
    <row r="34" spans="1:13" x14ac:dyDescent="0.25">
      <c r="A34" t="s">
        <v>33</v>
      </c>
      <c r="B34" t="s">
        <v>232</v>
      </c>
      <c r="C34" s="3">
        <v>43280</v>
      </c>
      <c r="D34" s="3" t="s">
        <v>20</v>
      </c>
      <c r="E34" t="s">
        <v>104</v>
      </c>
      <c r="F34" s="5">
        <v>-0.06</v>
      </c>
      <c r="H34" s="5">
        <f t="shared" si="0"/>
        <v>14268.760000000002</v>
      </c>
      <c r="I34" s="18"/>
      <c r="M34" s="90">
        <f t="shared" si="2"/>
        <v>43616</v>
      </c>
    </row>
    <row r="35" spans="1:13" x14ac:dyDescent="0.25">
      <c r="A35" t="s">
        <v>33</v>
      </c>
      <c r="B35" t="s">
        <v>232</v>
      </c>
      <c r="C35" s="3">
        <v>43280</v>
      </c>
      <c r="D35" s="3" t="s">
        <v>20</v>
      </c>
      <c r="E35" t="s">
        <v>337</v>
      </c>
      <c r="F35" s="5">
        <v>100</v>
      </c>
      <c r="H35" s="5">
        <f t="shared" si="0"/>
        <v>14268.700000000003</v>
      </c>
      <c r="I35" s="18"/>
      <c r="M35" s="90">
        <f t="shared" si="2"/>
        <v>43630</v>
      </c>
    </row>
    <row r="36" spans="1:13" x14ac:dyDescent="0.25">
      <c r="A36" t="s">
        <v>33</v>
      </c>
      <c r="B36" t="s">
        <v>232</v>
      </c>
      <c r="C36" s="3">
        <v>43280</v>
      </c>
      <c r="D36" s="3" t="s">
        <v>192</v>
      </c>
      <c r="E36" t="s">
        <v>106</v>
      </c>
      <c r="F36" s="5">
        <v>437.54</v>
      </c>
      <c r="H36" s="5">
        <f t="shared" si="0"/>
        <v>14368.700000000003</v>
      </c>
      <c r="I36" s="18"/>
      <c r="M36" s="90">
        <f t="shared" si="2"/>
        <v>43644</v>
      </c>
    </row>
    <row r="37" spans="1:13" x14ac:dyDescent="0.25">
      <c r="A37" t="s">
        <v>33</v>
      </c>
      <c r="B37" t="s">
        <v>232</v>
      </c>
      <c r="C37" s="3">
        <v>43280</v>
      </c>
      <c r="D37" s="3" t="s">
        <v>17</v>
      </c>
      <c r="E37" t="s">
        <v>338</v>
      </c>
      <c r="F37" s="5">
        <v>28.38</v>
      </c>
      <c r="H37" s="5">
        <f t="shared" si="0"/>
        <v>14806.240000000003</v>
      </c>
      <c r="I37" s="18"/>
      <c r="M37" s="90">
        <f t="shared" si="2"/>
        <v>43658</v>
      </c>
    </row>
    <row r="38" spans="1:13" x14ac:dyDescent="0.25">
      <c r="A38" t="s">
        <v>33</v>
      </c>
      <c r="B38" t="s">
        <v>232</v>
      </c>
      <c r="C38" s="3">
        <v>43280</v>
      </c>
      <c r="D38" s="3" t="s">
        <v>20</v>
      </c>
      <c r="E38" t="s">
        <v>339</v>
      </c>
      <c r="F38" s="5">
        <v>50</v>
      </c>
      <c r="H38" s="5">
        <f t="shared" si="0"/>
        <v>14834.620000000003</v>
      </c>
      <c r="I38" s="18"/>
      <c r="M38" s="90">
        <f t="shared" si="2"/>
        <v>43672</v>
      </c>
    </row>
    <row r="39" spans="1:13" x14ac:dyDescent="0.25">
      <c r="A39" t="s">
        <v>33</v>
      </c>
      <c r="B39" t="s">
        <v>232</v>
      </c>
      <c r="C39" s="3">
        <v>43280</v>
      </c>
      <c r="D39" s="3" t="s">
        <v>195</v>
      </c>
      <c r="E39" t="s">
        <v>340</v>
      </c>
      <c r="F39" s="5">
        <v>13.29</v>
      </c>
      <c r="H39" s="5">
        <f t="shared" si="0"/>
        <v>14884.620000000003</v>
      </c>
      <c r="I39" s="18"/>
      <c r="M39" s="90">
        <f t="shared" si="2"/>
        <v>43686</v>
      </c>
    </row>
    <row r="40" spans="1:13" x14ac:dyDescent="0.25">
      <c r="A40" t="s">
        <v>33</v>
      </c>
      <c r="B40" t="s">
        <v>232</v>
      </c>
      <c r="C40" s="3">
        <v>43280</v>
      </c>
      <c r="D40" s="3" t="s">
        <v>196</v>
      </c>
      <c r="E40" t="s">
        <v>50</v>
      </c>
      <c r="F40" s="5">
        <v>-3455.28</v>
      </c>
      <c r="H40" s="5">
        <f t="shared" si="0"/>
        <v>14897.910000000003</v>
      </c>
      <c r="I40" s="18"/>
      <c r="M40" s="90">
        <f t="shared" si="2"/>
        <v>43700</v>
      </c>
    </row>
    <row r="41" spans="1:13" x14ac:dyDescent="0.25">
      <c r="A41" t="s">
        <v>33</v>
      </c>
      <c r="B41" t="s">
        <v>232</v>
      </c>
      <c r="C41" s="3">
        <v>43279</v>
      </c>
      <c r="D41" s="3" t="s">
        <v>20</v>
      </c>
      <c r="E41" t="s">
        <v>341</v>
      </c>
      <c r="F41" s="5">
        <v>35.42</v>
      </c>
      <c r="H41" s="5">
        <f t="shared" si="0"/>
        <v>11442.630000000003</v>
      </c>
      <c r="I41" s="18"/>
      <c r="M41" s="90">
        <f t="shared" si="2"/>
        <v>43714</v>
      </c>
    </row>
    <row r="42" spans="1:13" x14ac:dyDescent="0.25">
      <c r="A42" t="s">
        <v>33</v>
      </c>
      <c r="B42" t="s">
        <v>232</v>
      </c>
      <c r="C42" s="3">
        <v>43279</v>
      </c>
      <c r="D42" s="3" t="s">
        <v>20</v>
      </c>
      <c r="E42" t="s">
        <v>342</v>
      </c>
      <c r="F42" s="5">
        <v>104.81</v>
      </c>
      <c r="H42" s="5">
        <f t="shared" si="0"/>
        <v>11478.050000000003</v>
      </c>
      <c r="I42" s="18"/>
      <c r="M42" s="90">
        <f t="shared" si="2"/>
        <v>43728</v>
      </c>
    </row>
    <row r="43" spans="1:13" x14ac:dyDescent="0.25">
      <c r="A43" t="s">
        <v>33</v>
      </c>
      <c r="B43" t="s">
        <v>232</v>
      </c>
      <c r="C43" s="3">
        <v>43278</v>
      </c>
      <c r="D43" s="3" t="s">
        <v>15</v>
      </c>
      <c r="E43" t="s">
        <v>343</v>
      </c>
      <c r="F43" s="5">
        <v>17.61</v>
      </c>
      <c r="H43" s="5">
        <f t="shared" si="0"/>
        <v>11582.860000000002</v>
      </c>
      <c r="I43" s="18"/>
      <c r="M43" s="90">
        <f t="shared" si="2"/>
        <v>43742</v>
      </c>
    </row>
    <row r="44" spans="1:13" x14ac:dyDescent="0.25">
      <c r="A44" t="s">
        <v>33</v>
      </c>
      <c r="B44" t="s">
        <v>232</v>
      </c>
      <c r="C44" s="3">
        <v>43278</v>
      </c>
      <c r="D44" s="3" t="s">
        <v>20</v>
      </c>
      <c r="E44" t="s">
        <v>344</v>
      </c>
      <c r="F44" s="5">
        <v>42.95</v>
      </c>
      <c r="H44" s="5">
        <f t="shared" si="0"/>
        <v>11600.470000000003</v>
      </c>
      <c r="I44" s="18"/>
      <c r="M44" s="90">
        <f t="shared" si="2"/>
        <v>43756</v>
      </c>
    </row>
    <row r="45" spans="1:13" x14ac:dyDescent="0.25">
      <c r="A45" t="s">
        <v>33</v>
      </c>
      <c r="B45" t="s">
        <v>232</v>
      </c>
      <c r="C45" s="3">
        <v>43278</v>
      </c>
      <c r="D45" s="3" t="s">
        <v>20</v>
      </c>
      <c r="E45" t="s">
        <v>345</v>
      </c>
      <c r="F45" s="5">
        <v>100</v>
      </c>
      <c r="H45" s="5">
        <f t="shared" si="0"/>
        <v>11643.420000000004</v>
      </c>
      <c r="I45" s="18"/>
      <c r="M45" s="90">
        <f t="shared" si="2"/>
        <v>43770</v>
      </c>
    </row>
    <row r="46" spans="1:13" x14ac:dyDescent="0.25">
      <c r="A46" t="s">
        <v>33</v>
      </c>
      <c r="B46" t="s">
        <v>232</v>
      </c>
      <c r="C46" s="3">
        <v>43278</v>
      </c>
      <c r="D46" s="3" t="s">
        <v>20</v>
      </c>
      <c r="E46" t="s">
        <v>346</v>
      </c>
      <c r="F46" s="5">
        <v>-2.95</v>
      </c>
      <c r="H46" s="5">
        <f t="shared" si="0"/>
        <v>11743.420000000004</v>
      </c>
      <c r="I46" s="18"/>
      <c r="M46" s="90">
        <f t="shared" si="2"/>
        <v>43784</v>
      </c>
    </row>
    <row r="47" spans="1:13" x14ac:dyDescent="0.25">
      <c r="A47" t="s">
        <v>33</v>
      </c>
      <c r="B47" t="s">
        <v>232</v>
      </c>
      <c r="C47" s="3">
        <v>43277</v>
      </c>
      <c r="D47" s="3" t="s">
        <v>20</v>
      </c>
      <c r="E47" t="s">
        <v>347</v>
      </c>
      <c r="F47" s="5">
        <v>100</v>
      </c>
      <c r="H47" s="5">
        <f t="shared" si="0"/>
        <v>11740.470000000003</v>
      </c>
      <c r="I47" s="18"/>
      <c r="M47" s="90">
        <f t="shared" si="2"/>
        <v>43798</v>
      </c>
    </row>
    <row r="48" spans="1:13" x14ac:dyDescent="0.25">
      <c r="A48" t="s">
        <v>33</v>
      </c>
      <c r="B48" t="s">
        <v>232</v>
      </c>
      <c r="C48" s="3">
        <v>43277</v>
      </c>
      <c r="D48" s="3" t="s">
        <v>20</v>
      </c>
      <c r="E48" t="s">
        <v>348</v>
      </c>
      <c r="F48" s="5">
        <v>500</v>
      </c>
      <c r="H48" s="5">
        <f t="shared" si="0"/>
        <v>11840.470000000003</v>
      </c>
      <c r="I48" s="18"/>
      <c r="M48" s="90">
        <f t="shared" si="2"/>
        <v>43812</v>
      </c>
    </row>
    <row r="49" spans="1:13" x14ac:dyDescent="0.25">
      <c r="A49" t="s">
        <v>33</v>
      </c>
      <c r="B49" t="s">
        <v>232</v>
      </c>
      <c r="C49" s="3">
        <v>43276</v>
      </c>
      <c r="D49" s="3" t="s">
        <v>202</v>
      </c>
      <c r="E49" t="s">
        <v>317</v>
      </c>
      <c r="F49" s="5">
        <v>60</v>
      </c>
      <c r="H49" s="5">
        <f t="shared" si="0"/>
        <v>12340.470000000003</v>
      </c>
      <c r="I49" s="18"/>
      <c r="M49" s="90">
        <f t="shared" si="2"/>
        <v>43826</v>
      </c>
    </row>
    <row r="50" spans="1:13" x14ac:dyDescent="0.25">
      <c r="A50" t="s">
        <v>33</v>
      </c>
      <c r="B50" t="s">
        <v>232</v>
      </c>
      <c r="C50" s="3">
        <v>43276</v>
      </c>
      <c r="D50" s="3" t="s">
        <v>202</v>
      </c>
      <c r="E50" t="s">
        <v>318</v>
      </c>
      <c r="F50" s="5">
        <v>43.5</v>
      </c>
      <c r="H50" s="5">
        <f t="shared" si="0"/>
        <v>12400.470000000003</v>
      </c>
      <c r="I50" s="18"/>
      <c r="M50" s="90"/>
    </row>
    <row r="51" spans="1:13" x14ac:dyDescent="0.25">
      <c r="A51" t="s">
        <v>33</v>
      </c>
      <c r="B51" t="s">
        <v>232</v>
      </c>
      <c r="C51" s="3">
        <v>43276</v>
      </c>
      <c r="D51" s="3" t="s">
        <v>16</v>
      </c>
      <c r="E51" t="s">
        <v>319</v>
      </c>
      <c r="F51" s="5">
        <v>27.63</v>
      </c>
      <c r="H51" s="5">
        <f t="shared" si="0"/>
        <v>12443.970000000003</v>
      </c>
      <c r="I51" s="18"/>
      <c r="M51" s="90"/>
    </row>
    <row r="52" spans="1:13" x14ac:dyDescent="0.25">
      <c r="A52" t="s">
        <v>33</v>
      </c>
      <c r="B52" t="s">
        <v>232</v>
      </c>
      <c r="C52" s="3">
        <v>43276</v>
      </c>
      <c r="D52" s="3" t="s">
        <v>20</v>
      </c>
      <c r="E52" t="s">
        <v>320</v>
      </c>
      <c r="F52" s="5">
        <v>15.01</v>
      </c>
      <c r="H52" s="5">
        <f t="shared" si="0"/>
        <v>12471.600000000002</v>
      </c>
      <c r="I52" s="18"/>
      <c r="M52" s="90"/>
    </row>
    <row r="53" spans="1:13" x14ac:dyDescent="0.25">
      <c r="A53" t="s">
        <v>33</v>
      </c>
      <c r="B53" t="s">
        <v>232</v>
      </c>
      <c r="C53" s="3">
        <v>43276</v>
      </c>
      <c r="D53" s="3" t="s">
        <v>19</v>
      </c>
      <c r="E53" t="s">
        <v>43</v>
      </c>
      <c r="F53" s="5">
        <v>4.87</v>
      </c>
      <c r="H53" s="5">
        <f t="shared" si="0"/>
        <v>12486.610000000002</v>
      </c>
      <c r="I53" s="18"/>
      <c r="M53" s="90"/>
    </row>
    <row r="54" spans="1:13" x14ac:dyDescent="0.25">
      <c r="A54" t="s">
        <v>33</v>
      </c>
      <c r="B54" t="s">
        <v>232</v>
      </c>
      <c r="C54" s="3">
        <v>43276</v>
      </c>
      <c r="D54" s="3" t="s">
        <v>17</v>
      </c>
      <c r="E54" t="s">
        <v>335</v>
      </c>
      <c r="F54" s="5">
        <v>33</v>
      </c>
      <c r="H54" s="5">
        <f t="shared" si="0"/>
        <v>12491.480000000003</v>
      </c>
      <c r="I54" s="18"/>
      <c r="M54" s="90"/>
    </row>
    <row r="55" spans="1:13" x14ac:dyDescent="0.25">
      <c r="A55" t="s">
        <v>33</v>
      </c>
      <c r="B55" t="s">
        <v>232</v>
      </c>
      <c r="C55" s="3">
        <v>43276</v>
      </c>
      <c r="D55" s="3" t="s">
        <v>18</v>
      </c>
      <c r="E55" t="s">
        <v>40</v>
      </c>
      <c r="F55" s="5">
        <v>2.25</v>
      </c>
      <c r="H55" s="5">
        <f t="shared" si="0"/>
        <v>12524.480000000003</v>
      </c>
      <c r="I55" s="18"/>
      <c r="M55" s="90"/>
    </row>
    <row r="56" spans="1:13" x14ac:dyDescent="0.25">
      <c r="A56" t="s">
        <v>33</v>
      </c>
      <c r="B56" t="s">
        <v>232</v>
      </c>
      <c r="C56" s="3">
        <v>43276</v>
      </c>
      <c r="D56" s="3" t="s">
        <v>18</v>
      </c>
      <c r="E56" t="s">
        <v>255</v>
      </c>
      <c r="F56" s="5">
        <v>8</v>
      </c>
      <c r="H56" s="5">
        <f t="shared" si="0"/>
        <v>12526.730000000003</v>
      </c>
      <c r="I56" s="18"/>
      <c r="M56" s="90"/>
    </row>
    <row r="57" spans="1:13" x14ac:dyDescent="0.25">
      <c r="A57" t="s">
        <v>33</v>
      </c>
      <c r="B57" t="s">
        <v>232</v>
      </c>
      <c r="C57" s="3">
        <v>43276</v>
      </c>
      <c r="D57" s="3" t="s">
        <v>20</v>
      </c>
      <c r="E57" t="s">
        <v>321</v>
      </c>
      <c r="F57" s="5">
        <v>4</v>
      </c>
      <c r="H57" s="5">
        <f t="shared" si="0"/>
        <v>12534.730000000003</v>
      </c>
      <c r="I57" s="18"/>
    </row>
    <row r="58" spans="1:13" x14ac:dyDescent="0.25">
      <c r="A58" t="s">
        <v>33</v>
      </c>
      <c r="B58" t="s">
        <v>232</v>
      </c>
      <c r="C58" s="3">
        <v>43276</v>
      </c>
      <c r="D58" s="3" t="s">
        <v>19</v>
      </c>
      <c r="E58" t="s">
        <v>43</v>
      </c>
      <c r="F58" s="5">
        <v>4.87</v>
      </c>
      <c r="H58" s="5">
        <f t="shared" si="0"/>
        <v>12538.730000000003</v>
      </c>
      <c r="I58" s="18"/>
    </row>
    <row r="59" spans="1:13" x14ac:dyDescent="0.25">
      <c r="A59" t="s">
        <v>33</v>
      </c>
      <c r="B59" t="s">
        <v>232</v>
      </c>
      <c r="C59" s="3">
        <v>43276</v>
      </c>
      <c r="D59" s="3" t="s">
        <v>202</v>
      </c>
      <c r="E59" t="s">
        <v>322</v>
      </c>
      <c r="F59" s="5">
        <v>83</v>
      </c>
      <c r="H59" s="5">
        <f t="shared" si="0"/>
        <v>12543.600000000004</v>
      </c>
      <c r="I59" s="18"/>
    </row>
    <row r="60" spans="1:13" x14ac:dyDescent="0.25">
      <c r="A60" t="s">
        <v>33</v>
      </c>
      <c r="B60" t="s">
        <v>232</v>
      </c>
      <c r="C60" s="3">
        <v>43274</v>
      </c>
      <c r="D60" s="3" t="s">
        <v>195</v>
      </c>
      <c r="E60" t="s">
        <v>258</v>
      </c>
      <c r="F60" s="5">
        <v>14.5</v>
      </c>
      <c r="H60" s="5">
        <f t="shared" si="0"/>
        <v>12626.600000000004</v>
      </c>
      <c r="I60" s="18"/>
    </row>
    <row r="61" spans="1:13" x14ac:dyDescent="0.25">
      <c r="A61" t="s">
        <v>33</v>
      </c>
      <c r="B61" t="s">
        <v>232</v>
      </c>
      <c r="C61" s="3">
        <v>43273</v>
      </c>
      <c r="D61" s="3" t="s">
        <v>20</v>
      </c>
      <c r="E61" t="s">
        <v>323</v>
      </c>
      <c r="F61" s="5">
        <v>7.5</v>
      </c>
      <c r="H61" s="5">
        <f t="shared" si="0"/>
        <v>12641.100000000004</v>
      </c>
      <c r="I61" s="18"/>
    </row>
    <row r="62" spans="1:13" x14ac:dyDescent="0.25">
      <c r="A62" t="s">
        <v>33</v>
      </c>
      <c r="B62" t="s">
        <v>232</v>
      </c>
      <c r="C62" s="3">
        <v>43273</v>
      </c>
      <c r="D62" s="3" t="s">
        <v>16</v>
      </c>
      <c r="E62" t="s">
        <v>324</v>
      </c>
      <c r="F62" s="5">
        <v>37.29</v>
      </c>
      <c r="H62" s="5">
        <f t="shared" si="0"/>
        <v>12648.600000000004</v>
      </c>
      <c r="I62" s="18"/>
    </row>
    <row r="63" spans="1:13" x14ac:dyDescent="0.25">
      <c r="A63" t="s">
        <v>33</v>
      </c>
      <c r="B63" t="s">
        <v>232</v>
      </c>
      <c r="C63" s="3">
        <v>43273</v>
      </c>
      <c r="D63" s="3" t="s">
        <v>207</v>
      </c>
      <c r="E63" t="s">
        <v>325</v>
      </c>
      <c r="F63" s="5">
        <v>7.48</v>
      </c>
      <c r="H63" s="5">
        <f t="shared" si="0"/>
        <v>12685.890000000005</v>
      </c>
      <c r="I63" s="18"/>
    </row>
    <row r="64" spans="1:13" x14ac:dyDescent="0.25">
      <c r="A64" t="s">
        <v>33</v>
      </c>
      <c r="B64" t="s">
        <v>232</v>
      </c>
      <c r="C64" s="3">
        <v>43273</v>
      </c>
      <c r="D64" s="3" t="s">
        <v>207</v>
      </c>
      <c r="E64" t="s">
        <v>326</v>
      </c>
      <c r="F64" s="5">
        <v>25.67</v>
      </c>
      <c r="H64" s="5">
        <f>H66-F64</f>
        <v>12693.370000000004</v>
      </c>
      <c r="I64" s="18"/>
    </row>
    <row r="65" spans="1:9" x14ac:dyDescent="0.25">
      <c r="A65" t="s">
        <v>33</v>
      </c>
      <c r="B65" t="s">
        <v>232</v>
      </c>
      <c r="C65" s="3">
        <v>43272</v>
      </c>
      <c r="D65" s="3" t="s">
        <v>20</v>
      </c>
      <c r="E65" t="s">
        <v>328</v>
      </c>
      <c r="F65" s="5">
        <v>50</v>
      </c>
      <c r="H65" s="5">
        <f>H66-F65</f>
        <v>12669.040000000005</v>
      </c>
      <c r="I65" s="18"/>
    </row>
    <row r="66" spans="1:9" x14ac:dyDescent="0.25">
      <c r="A66" t="s">
        <v>33</v>
      </c>
      <c r="B66" t="s">
        <v>232</v>
      </c>
      <c r="C66" s="3">
        <v>43272</v>
      </c>
      <c r="D66" s="3" t="s">
        <v>202</v>
      </c>
      <c r="E66" t="s">
        <v>327</v>
      </c>
      <c r="F66" s="5">
        <v>50</v>
      </c>
      <c r="H66" s="5">
        <f t="shared" si="0"/>
        <v>12719.040000000005</v>
      </c>
      <c r="I66" s="18"/>
    </row>
    <row r="67" spans="1:9" x14ac:dyDescent="0.25">
      <c r="A67" t="s">
        <v>33</v>
      </c>
      <c r="B67" t="s">
        <v>232</v>
      </c>
      <c r="C67" s="3">
        <v>43272</v>
      </c>
      <c r="D67" s="3" t="s">
        <v>17</v>
      </c>
      <c r="E67" t="s">
        <v>297</v>
      </c>
      <c r="F67" s="5">
        <v>5.98</v>
      </c>
      <c r="H67" s="5">
        <f t="shared" si="0"/>
        <v>12769.040000000005</v>
      </c>
      <c r="I67" s="18"/>
    </row>
    <row r="68" spans="1:9" x14ac:dyDescent="0.25">
      <c r="A68" t="s">
        <v>33</v>
      </c>
      <c r="B68" t="s">
        <v>232</v>
      </c>
      <c r="C68" s="3">
        <v>43271</v>
      </c>
      <c r="D68" s="3" t="s">
        <v>15</v>
      </c>
      <c r="E68" t="s">
        <v>298</v>
      </c>
      <c r="F68" s="5">
        <v>9.09</v>
      </c>
      <c r="H68" s="5">
        <f t="shared" si="0"/>
        <v>12775.020000000004</v>
      </c>
      <c r="I68" s="18"/>
    </row>
    <row r="69" spans="1:9" x14ac:dyDescent="0.25">
      <c r="A69" t="s">
        <v>33</v>
      </c>
      <c r="B69" t="s">
        <v>232</v>
      </c>
      <c r="C69" s="3">
        <v>43271</v>
      </c>
      <c r="D69" s="3" t="s">
        <v>18</v>
      </c>
      <c r="E69" t="s">
        <v>299</v>
      </c>
      <c r="F69" s="5">
        <v>2</v>
      </c>
      <c r="H69" s="5">
        <f t="shared" si="0"/>
        <v>12784.110000000004</v>
      </c>
      <c r="I69" s="18"/>
    </row>
    <row r="70" spans="1:9" x14ac:dyDescent="0.25">
      <c r="A70" t="s">
        <v>33</v>
      </c>
      <c r="B70" t="s">
        <v>232</v>
      </c>
      <c r="C70" s="3">
        <v>43271</v>
      </c>
      <c r="D70" s="3" t="s">
        <v>198</v>
      </c>
      <c r="E70" t="s">
        <v>300</v>
      </c>
      <c r="F70" s="5">
        <v>23</v>
      </c>
      <c r="H70" s="5">
        <f t="shared" si="0"/>
        <v>12786.110000000004</v>
      </c>
      <c r="I70" s="18"/>
    </row>
    <row r="71" spans="1:9" x14ac:dyDescent="0.25">
      <c r="A71" t="s">
        <v>33</v>
      </c>
      <c r="B71" t="s">
        <v>232</v>
      </c>
      <c r="C71" s="3">
        <v>43270</v>
      </c>
      <c r="D71" s="3" t="s">
        <v>19</v>
      </c>
      <c r="E71" t="s">
        <v>301</v>
      </c>
      <c r="F71" s="5">
        <v>2.68</v>
      </c>
      <c r="H71" s="5">
        <f t="shared" si="0"/>
        <v>12809.110000000004</v>
      </c>
      <c r="I71" s="18"/>
    </row>
    <row r="72" spans="1:9" x14ac:dyDescent="0.25">
      <c r="A72" t="s">
        <v>33</v>
      </c>
      <c r="B72" t="s">
        <v>232</v>
      </c>
      <c r="C72" s="3">
        <v>43270</v>
      </c>
      <c r="D72" s="3" t="s">
        <v>15</v>
      </c>
      <c r="E72" t="s">
        <v>302</v>
      </c>
      <c r="F72" s="5">
        <v>8.1</v>
      </c>
      <c r="H72" s="5">
        <f t="shared" si="0"/>
        <v>12811.790000000005</v>
      </c>
      <c r="I72" s="18"/>
    </row>
    <row r="73" spans="1:9" x14ac:dyDescent="0.25">
      <c r="A73" t="s">
        <v>33</v>
      </c>
      <c r="B73" t="s">
        <v>232</v>
      </c>
      <c r="C73" s="3">
        <v>43270</v>
      </c>
      <c r="D73" s="3" t="s">
        <v>17</v>
      </c>
      <c r="E73" t="s">
        <v>303</v>
      </c>
      <c r="F73" s="5">
        <v>15.55</v>
      </c>
      <c r="H73" s="5">
        <f t="shared" si="0"/>
        <v>12819.890000000005</v>
      </c>
      <c r="I73" s="18"/>
    </row>
    <row r="74" spans="1:9" x14ac:dyDescent="0.25">
      <c r="A74" t="s">
        <v>33</v>
      </c>
      <c r="B74" t="s">
        <v>232</v>
      </c>
      <c r="C74" s="3">
        <v>43270</v>
      </c>
      <c r="D74" s="3" t="s">
        <v>19</v>
      </c>
      <c r="E74" t="s">
        <v>304</v>
      </c>
      <c r="F74" s="5">
        <v>3.82</v>
      </c>
      <c r="H74" s="5">
        <f t="shared" si="0"/>
        <v>12835.440000000004</v>
      </c>
      <c r="I74" s="18"/>
    </row>
    <row r="75" spans="1:9" x14ac:dyDescent="0.25">
      <c r="A75" t="s">
        <v>33</v>
      </c>
      <c r="B75" t="s">
        <v>232</v>
      </c>
      <c r="C75" s="3">
        <v>43270</v>
      </c>
      <c r="D75" s="3" t="s">
        <v>20</v>
      </c>
      <c r="E75" t="s">
        <v>305</v>
      </c>
      <c r="F75" s="5">
        <v>19.07</v>
      </c>
      <c r="H75" s="5">
        <f t="shared" si="0"/>
        <v>12839.260000000004</v>
      </c>
      <c r="I75" s="18"/>
    </row>
    <row r="76" spans="1:9" x14ac:dyDescent="0.25">
      <c r="A76" t="s">
        <v>33</v>
      </c>
      <c r="B76" t="s">
        <v>232</v>
      </c>
      <c r="C76" s="3">
        <v>43270</v>
      </c>
      <c r="D76" s="3" t="s">
        <v>17</v>
      </c>
      <c r="E76" t="s">
        <v>306</v>
      </c>
      <c r="F76" s="5">
        <v>36</v>
      </c>
      <c r="H76" s="5">
        <f t="shared" si="0"/>
        <v>12858.330000000004</v>
      </c>
      <c r="I76" s="18"/>
    </row>
    <row r="77" spans="1:9" x14ac:dyDescent="0.25">
      <c r="A77" t="s">
        <v>33</v>
      </c>
      <c r="B77" t="s">
        <v>232</v>
      </c>
      <c r="C77" s="3">
        <v>43269</v>
      </c>
      <c r="D77" s="3" t="s">
        <v>15</v>
      </c>
      <c r="E77" t="s">
        <v>307</v>
      </c>
      <c r="F77" s="5">
        <v>4.32</v>
      </c>
      <c r="H77" s="5">
        <f t="shared" si="0"/>
        <v>12894.330000000004</v>
      </c>
      <c r="I77" s="18"/>
    </row>
    <row r="78" spans="1:9" x14ac:dyDescent="0.25">
      <c r="A78" t="s">
        <v>33</v>
      </c>
      <c r="B78" t="s">
        <v>232</v>
      </c>
      <c r="C78" s="3">
        <v>43269</v>
      </c>
      <c r="D78" s="3" t="s">
        <v>19</v>
      </c>
      <c r="E78" t="s">
        <v>308</v>
      </c>
      <c r="F78" s="5">
        <v>4.87</v>
      </c>
      <c r="H78" s="5">
        <f t="shared" si="0"/>
        <v>12898.650000000003</v>
      </c>
      <c r="I78" s="18"/>
    </row>
    <row r="79" spans="1:9" x14ac:dyDescent="0.25">
      <c r="A79" t="s">
        <v>33</v>
      </c>
      <c r="B79" t="s">
        <v>232</v>
      </c>
      <c r="C79" s="3">
        <v>43269</v>
      </c>
      <c r="D79" s="3" t="s">
        <v>20</v>
      </c>
      <c r="E79" t="s">
        <v>309</v>
      </c>
      <c r="F79" s="5">
        <v>20</v>
      </c>
      <c r="H79" s="5">
        <f>H81-F79</f>
        <v>12903.520000000004</v>
      </c>
      <c r="I79" s="18"/>
    </row>
    <row r="80" spans="1:9" x14ac:dyDescent="0.25">
      <c r="A80" t="s">
        <v>33</v>
      </c>
      <c r="B80" t="s">
        <v>232</v>
      </c>
      <c r="C80" s="3">
        <v>43269</v>
      </c>
      <c r="D80" s="3" t="s">
        <v>15</v>
      </c>
      <c r="E80" t="s">
        <v>309</v>
      </c>
      <c r="F80" s="5">
        <v>6.95</v>
      </c>
      <c r="H80" s="5">
        <f>H82-F80</f>
        <v>12936.570000000003</v>
      </c>
      <c r="I80" s="18"/>
    </row>
    <row r="81" spans="1:9" x14ac:dyDescent="0.25">
      <c r="A81" t="s">
        <v>33</v>
      </c>
      <c r="B81" t="s">
        <v>232</v>
      </c>
      <c r="C81" s="3">
        <v>43269</v>
      </c>
      <c r="D81" s="3" t="s">
        <v>20</v>
      </c>
      <c r="E81" t="s">
        <v>310</v>
      </c>
      <c r="F81" s="5">
        <v>20</v>
      </c>
      <c r="H81" s="5">
        <f t="shared" si="0"/>
        <v>12923.520000000004</v>
      </c>
      <c r="I81" s="18"/>
    </row>
    <row r="82" spans="1:9" x14ac:dyDescent="0.25">
      <c r="A82" t="s">
        <v>33</v>
      </c>
      <c r="B82" t="s">
        <v>232</v>
      </c>
      <c r="C82" s="3">
        <v>43269</v>
      </c>
      <c r="D82" s="3" t="s">
        <v>18</v>
      </c>
      <c r="E82" t="s">
        <v>311</v>
      </c>
      <c r="F82" s="5">
        <v>1</v>
      </c>
      <c r="H82" s="5">
        <f t="shared" si="0"/>
        <v>12943.520000000004</v>
      </c>
      <c r="I82" s="18"/>
    </row>
    <row r="83" spans="1:9" x14ac:dyDescent="0.25">
      <c r="A83" t="s">
        <v>33</v>
      </c>
      <c r="B83" t="s">
        <v>232</v>
      </c>
      <c r="C83" s="3">
        <v>43269</v>
      </c>
      <c r="D83" s="3" t="s">
        <v>18</v>
      </c>
      <c r="E83" t="s">
        <v>311</v>
      </c>
      <c r="F83" s="5">
        <v>4</v>
      </c>
      <c r="H83" s="5">
        <f t="shared" si="0"/>
        <v>12944.520000000004</v>
      </c>
      <c r="I83" s="18"/>
    </row>
    <row r="84" spans="1:9" x14ac:dyDescent="0.25">
      <c r="A84" t="s">
        <v>33</v>
      </c>
      <c r="B84" t="s">
        <v>232</v>
      </c>
      <c r="C84" s="3">
        <v>43269</v>
      </c>
      <c r="D84" s="3" t="s">
        <v>18</v>
      </c>
      <c r="E84" t="s">
        <v>312</v>
      </c>
      <c r="F84" s="5">
        <v>5</v>
      </c>
      <c r="H84" s="5">
        <f t="shared" si="0"/>
        <v>12948.520000000004</v>
      </c>
      <c r="I84" s="18"/>
    </row>
    <row r="85" spans="1:9" x14ac:dyDescent="0.25">
      <c r="A85" t="s">
        <v>33</v>
      </c>
      <c r="B85" t="s">
        <v>232</v>
      </c>
      <c r="C85" s="3">
        <v>43269</v>
      </c>
      <c r="D85" s="3" t="s">
        <v>15</v>
      </c>
      <c r="E85" t="s">
        <v>313</v>
      </c>
      <c r="F85" s="5">
        <v>15.81</v>
      </c>
      <c r="H85" s="5">
        <f t="shared" si="0"/>
        <v>12953.520000000004</v>
      </c>
      <c r="I85" s="18"/>
    </row>
    <row r="86" spans="1:9" x14ac:dyDescent="0.25">
      <c r="A86" t="s">
        <v>33</v>
      </c>
      <c r="B86" t="s">
        <v>232</v>
      </c>
      <c r="C86" s="3">
        <v>43269</v>
      </c>
      <c r="D86" s="3" t="s">
        <v>20</v>
      </c>
      <c r="E86" t="s">
        <v>314</v>
      </c>
      <c r="F86" s="5">
        <v>66.92</v>
      </c>
      <c r="H86" s="5">
        <f t="shared" si="0"/>
        <v>12969.330000000004</v>
      </c>
      <c r="I86" s="18"/>
    </row>
    <row r="87" spans="1:9" x14ac:dyDescent="0.25">
      <c r="A87" t="s">
        <v>33</v>
      </c>
      <c r="B87" t="s">
        <v>232</v>
      </c>
      <c r="C87" s="3">
        <v>43269</v>
      </c>
      <c r="D87" s="3" t="s">
        <v>20</v>
      </c>
      <c r="E87" t="s">
        <v>315</v>
      </c>
      <c r="F87" s="5">
        <v>63</v>
      </c>
      <c r="H87" s="5">
        <f t="shared" si="0"/>
        <v>13036.250000000004</v>
      </c>
      <c r="I87" s="18"/>
    </row>
    <row r="88" spans="1:9" x14ac:dyDescent="0.25">
      <c r="A88" t="s">
        <v>33</v>
      </c>
      <c r="B88" t="s">
        <v>232</v>
      </c>
      <c r="C88" s="3">
        <v>43269</v>
      </c>
      <c r="D88" s="3" t="s">
        <v>19</v>
      </c>
      <c r="E88" t="s">
        <v>316</v>
      </c>
      <c r="F88" s="5">
        <v>4.87</v>
      </c>
      <c r="H88" s="5">
        <f t="shared" si="0"/>
        <v>13099.250000000004</v>
      </c>
      <c r="I88" s="18"/>
    </row>
    <row r="89" spans="1:9" x14ac:dyDescent="0.25">
      <c r="A89" t="s">
        <v>49</v>
      </c>
      <c r="B89" t="s">
        <v>232</v>
      </c>
      <c r="C89" s="3">
        <v>43269</v>
      </c>
      <c r="D89" s="3" t="s">
        <v>20</v>
      </c>
      <c r="E89" t="s">
        <v>295</v>
      </c>
      <c r="F89" s="5">
        <v>-3</v>
      </c>
      <c r="H89" s="5">
        <f t="shared" si="0"/>
        <v>13104.120000000004</v>
      </c>
      <c r="I89" s="18"/>
    </row>
    <row r="90" spans="1:9" x14ac:dyDescent="0.25">
      <c r="A90" t="s">
        <v>33</v>
      </c>
      <c r="B90" t="s">
        <v>232</v>
      </c>
      <c r="C90" s="3">
        <v>43266</v>
      </c>
      <c r="D90" s="3" t="s">
        <v>20</v>
      </c>
      <c r="E90" t="s">
        <v>296</v>
      </c>
      <c r="F90" s="5">
        <v>44.94</v>
      </c>
      <c r="H90" s="5">
        <f t="shared" si="0"/>
        <v>13101.120000000004</v>
      </c>
      <c r="I90" s="18"/>
    </row>
    <row r="91" spans="1:9" x14ac:dyDescent="0.25">
      <c r="A91" t="s">
        <v>33</v>
      </c>
      <c r="B91" t="s">
        <v>232</v>
      </c>
      <c r="C91" s="3">
        <v>43266</v>
      </c>
      <c r="D91" s="3" t="s">
        <v>17</v>
      </c>
      <c r="E91" t="s">
        <v>294</v>
      </c>
      <c r="F91" s="5">
        <v>3.96</v>
      </c>
      <c r="H91" s="5">
        <f t="shared" si="0"/>
        <v>13146.060000000005</v>
      </c>
      <c r="I91" s="18"/>
    </row>
    <row r="92" spans="1:9" x14ac:dyDescent="0.25">
      <c r="A92" t="s">
        <v>49</v>
      </c>
      <c r="B92" t="s">
        <v>232</v>
      </c>
      <c r="C92" s="3">
        <v>43266</v>
      </c>
      <c r="D92" s="3" t="s">
        <v>196</v>
      </c>
      <c r="E92" t="s">
        <v>50</v>
      </c>
      <c r="F92" s="5">
        <v>-3455.28</v>
      </c>
      <c r="H92" s="5">
        <f t="shared" si="0"/>
        <v>13150.020000000004</v>
      </c>
      <c r="I92" s="18"/>
    </row>
    <row r="93" spans="1:9" x14ac:dyDescent="0.25">
      <c r="A93" t="s">
        <v>93</v>
      </c>
      <c r="B93" t="s">
        <v>232</v>
      </c>
      <c r="C93" s="3">
        <v>43266</v>
      </c>
      <c r="D93" s="3" t="s">
        <v>209</v>
      </c>
      <c r="E93" t="s">
        <v>293</v>
      </c>
      <c r="F93" s="5">
        <v>-1350</v>
      </c>
      <c r="H93" s="5">
        <f t="shared" si="0"/>
        <v>9694.7400000000034</v>
      </c>
      <c r="I93" s="18"/>
    </row>
    <row r="94" spans="1:9" x14ac:dyDescent="0.25">
      <c r="A94" t="s">
        <v>33</v>
      </c>
      <c r="B94" t="s">
        <v>232</v>
      </c>
      <c r="C94" s="3">
        <v>43266</v>
      </c>
      <c r="D94" s="3" t="s">
        <v>17</v>
      </c>
      <c r="E94" t="s">
        <v>275</v>
      </c>
      <c r="F94" s="5">
        <v>5.13</v>
      </c>
      <c r="H94" s="5">
        <f t="shared" si="0"/>
        <v>8344.7400000000034</v>
      </c>
      <c r="I94" s="18"/>
    </row>
    <row r="95" spans="1:9" x14ac:dyDescent="0.25">
      <c r="A95" t="s">
        <v>33</v>
      </c>
      <c r="B95" t="s">
        <v>232</v>
      </c>
      <c r="C95" s="3">
        <v>43266</v>
      </c>
      <c r="D95" s="3" t="s">
        <v>17</v>
      </c>
      <c r="E95" t="s">
        <v>276</v>
      </c>
      <c r="F95" s="5">
        <v>5.98</v>
      </c>
      <c r="H95" s="5">
        <f t="shared" si="0"/>
        <v>8349.8700000000026</v>
      </c>
      <c r="I95" s="18"/>
    </row>
    <row r="96" spans="1:9" x14ac:dyDescent="0.25">
      <c r="A96" t="s">
        <v>33</v>
      </c>
      <c r="B96" t="s">
        <v>232</v>
      </c>
      <c r="C96" s="3">
        <v>43266</v>
      </c>
      <c r="D96" s="3" t="s">
        <v>19</v>
      </c>
      <c r="E96" t="s">
        <v>277</v>
      </c>
      <c r="F96" s="5">
        <v>4.82</v>
      </c>
      <c r="H96" s="5">
        <f t="shared" si="0"/>
        <v>8355.8500000000022</v>
      </c>
      <c r="I96" s="18"/>
    </row>
    <row r="97" spans="1:9" x14ac:dyDescent="0.25">
      <c r="A97" t="s">
        <v>33</v>
      </c>
      <c r="B97" t="s">
        <v>232</v>
      </c>
      <c r="C97" s="3">
        <v>43266</v>
      </c>
      <c r="D97" s="3" t="s">
        <v>207</v>
      </c>
      <c r="E97" t="s">
        <v>278</v>
      </c>
      <c r="F97" s="5">
        <v>64.7</v>
      </c>
      <c r="H97" s="5">
        <f t="shared" si="0"/>
        <v>8360.6700000000019</v>
      </c>
      <c r="I97" s="18"/>
    </row>
    <row r="98" spans="1:9" x14ac:dyDescent="0.25">
      <c r="A98" t="s">
        <v>33</v>
      </c>
      <c r="B98" t="s">
        <v>232</v>
      </c>
      <c r="C98" s="3">
        <v>43266</v>
      </c>
      <c r="D98" s="3" t="s">
        <v>17</v>
      </c>
      <c r="E98" t="s">
        <v>279</v>
      </c>
      <c r="F98" s="5">
        <v>3.96</v>
      </c>
      <c r="H98" s="5">
        <f t="shared" si="0"/>
        <v>8425.3700000000026</v>
      </c>
      <c r="I98" s="18"/>
    </row>
    <row r="99" spans="1:9" x14ac:dyDescent="0.25">
      <c r="A99" t="s">
        <v>33</v>
      </c>
      <c r="B99" t="s">
        <v>232</v>
      </c>
      <c r="C99" s="3">
        <v>43266</v>
      </c>
      <c r="D99" s="3" t="s">
        <v>196</v>
      </c>
      <c r="E99" t="s">
        <v>280</v>
      </c>
      <c r="F99" s="5">
        <v>-3455.28</v>
      </c>
      <c r="H99" s="5">
        <f t="shared" si="0"/>
        <v>8429.3300000000017</v>
      </c>
      <c r="I99" s="18"/>
    </row>
    <row r="100" spans="1:9" x14ac:dyDescent="0.25">
      <c r="A100" t="s">
        <v>33</v>
      </c>
      <c r="B100" t="s">
        <v>232</v>
      </c>
      <c r="C100" s="3">
        <v>43265</v>
      </c>
      <c r="D100" s="3" t="s">
        <v>207</v>
      </c>
      <c r="E100" t="s">
        <v>281</v>
      </c>
      <c r="F100" s="5">
        <v>36.67</v>
      </c>
      <c r="H100" s="5">
        <f t="shared" si="0"/>
        <v>4974.050000000002</v>
      </c>
      <c r="I100" s="18"/>
    </row>
    <row r="101" spans="1:9" x14ac:dyDescent="0.25">
      <c r="A101" t="s">
        <v>33</v>
      </c>
      <c r="B101" t="s">
        <v>232</v>
      </c>
      <c r="C101" s="3">
        <v>43265</v>
      </c>
      <c r="D101" s="3" t="s">
        <v>19</v>
      </c>
      <c r="E101" t="s">
        <v>282</v>
      </c>
      <c r="F101" s="5">
        <v>4.2300000000000004</v>
      </c>
      <c r="H101" s="5">
        <f t="shared" si="0"/>
        <v>5010.7200000000021</v>
      </c>
      <c r="I101" s="18"/>
    </row>
    <row r="102" spans="1:9" x14ac:dyDescent="0.25">
      <c r="A102" t="s">
        <v>33</v>
      </c>
      <c r="B102" t="s">
        <v>232</v>
      </c>
      <c r="C102" s="3">
        <v>43265</v>
      </c>
      <c r="D102" s="3" t="s">
        <v>17</v>
      </c>
      <c r="E102" t="s">
        <v>283</v>
      </c>
      <c r="F102" s="5">
        <v>5.34</v>
      </c>
      <c r="H102" s="5">
        <f t="shared" si="0"/>
        <v>5014.9500000000016</v>
      </c>
      <c r="I102" s="18"/>
    </row>
    <row r="103" spans="1:9" x14ac:dyDescent="0.25">
      <c r="A103" t="s">
        <v>33</v>
      </c>
      <c r="B103" t="s">
        <v>232</v>
      </c>
      <c r="C103" s="3">
        <v>43264</v>
      </c>
      <c r="D103" s="3" t="s">
        <v>15</v>
      </c>
      <c r="E103" t="s">
        <v>284</v>
      </c>
      <c r="F103" s="5">
        <v>10.99</v>
      </c>
      <c r="H103" s="5">
        <f t="shared" si="0"/>
        <v>5020.2900000000018</v>
      </c>
      <c r="I103" s="18"/>
    </row>
    <row r="104" spans="1:9" x14ac:dyDescent="0.25">
      <c r="A104" t="s">
        <v>33</v>
      </c>
      <c r="B104" t="s">
        <v>232</v>
      </c>
      <c r="C104" s="3">
        <v>43264</v>
      </c>
      <c r="D104" s="3" t="s">
        <v>17</v>
      </c>
      <c r="E104" t="s">
        <v>285</v>
      </c>
      <c r="F104" s="5">
        <v>35.71</v>
      </c>
      <c r="H104" s="5">
        <f t="shared" si="0"/>
        <v>5031.2800000000016</v>
      </c>
      <c r="I104" s="18"/>
    </row>
    <row r="105" spans="1:9" x14ac:dyDescent="0.25">
      <c r="A105" t="s">
        <v>33</v>
      </c>
      <c r="B105" t="s">
        <v>232</v>
      </c>
      <c r="C105" s="3">
        <v>43263</v>
      </c>
      <c r="D105" s="3" t="s">
        <v>15</v>
      </c>
      <c r="E105" t="s">
        <v>286</v>
      </c>
      <c r="F105" s="5">
        <v>24.59</v>
      </c>
      <c r="H105" s="5">
        <f t="shared" si="0"/>
        <v>5066.9900000000016</v>
      </c>
      <c r="I105" s="18"/>
    </row>
    <row r="106" spans="1:9" x14ac:dyDescent="0.25">
      <c r="A106" t="s">
        <v>33</v>
      </c>
      <c r="B106" t="s">
        <v>232</v>
      </c>
      <c r="C106" s="3">
        <v>43263</v>
      </c>
      <c r="D106" s="3" t="s">
        <v>19</v>
      </c>
      <c r="E106" t="s">
        <v>287</v>
      </c>
      <c r="F106" s="5">
        <v>2.68</v>
      </c>
      <c r="H106" s="5">
        <f t="shared" si="0"/>
        <v>5091.5800000000017</v>
      </c>
      <c r="I106" s="18"/>
    </row>
    <row r="107" spans="1:9" x14ac:dyDescent="0.25">
      <c r="A107" t="s">
        <v>33</v>
      </c>
      <c r="B107" t="s">
        <v>232</v>
      </c>
      <c r="C107" s="3">
        <v>43263</v>
      </c>
      <c r="D107" s="3" t="s">
        <v>15</v>
      </c>
      <c r="E107" t="s">
        <v>288</v>
      </c>
      <c r="F107" s="5">
        <v>3.98</v>
      </c>
      <c r="H107" s="5">
        <f t="shared" si="0"/>
        <v>5094.260000000002</v>
      </c>
      <c r="I107" s="18"/>
    </row>
    <row r="108" spans="1:9" x14ac:dyDescent="0.25">
      <c r="A108" t="s">
        <v>33</v>
      </c>
      <c r="B108" t="s">
        <v>232</v>
      </c>
      <c r="C108" s="3">
        <v>43263</v>
      </c>
      <c r="D108" s="3" t="s">
        <v>19</v>
      </c>
      <c r="E108" t="s">
        <v>289</v>
      </c>
      <c r="F108" s="5">
        <v>4.2300000000000004</v>
      </c>
      <c r="H108" s="5">
        <f t="shared" si="0"/>
        <v>5098.2400000000016</v>
      </c>
      <c r="I108" s="18"/>
    </row>
    <row r="109" spans="1:9" x14ac:dyDescent="0.25">
      <c r="A109" t="s">
        <v>33</v>
      </c>
      <c r="B109" t="s">
        <v>232</v>
      </c>
      <c r="C109" s="3">
        <v>43263</v>
      </c>
      <c r="D109" s="3" t="s">
        <v>17</v>
      </c>
      <c r="E109" t="s">
        <v>290</v>
      </c>
      <c r="F109" s="5">
        <v>30.5</v>
      </c>
      <c r="H109" s="5">
        <f t="shared" si="0"/>
        <v>5102.4700000000012</v>
      </c>
      <c r="I109" s="18"/>
    </row>
    <row r="110" spans="1:9" x14ac:dyDescent="0.25">
      <c r="A110" t="s">
        <v>33</v>
      </c>
      <c r="B110" t="s">
        <v>232</v>
      </c>
      <c r="C110" s="3">
        <v>43262</v>
      </c>
      <c r="D110" s="3" t="s">
        <v>12</v>
      </c>
      <c r="E110" t="s">
        <v>142</v>
      </c>
      <c r="F110" s="5">
        <v>100</v>
      </c>
      <c r="G110" t="s">
        <v>46</v>
      </c>
      <c r="H110" s="5">
        <f t="shared" si="0"/>
        <v>5132.9700000000012</v>
      </c>
      <c r="I110" s="18"/>
    </row>
    <row r="111" spans="1:9" x14ac:dyDescent="0.25">
      <c r="A111" t="s">
        <v>33</v>
      </c>
      <c r="B111" t="s">
        <v>232</v>
      </c>
      <c r="C111" s="3">
        <v>43262</v>
      </c>
      <c r="D111" s="3" t="s">
        <v>18</v>
      </c>
      <c r="E111" t="s">
        <v>261</v>
      </c>
      <c r="F111" s="5">
        <v>12.13</v>
      </c>
      <c r="G111" t="s">
        <v>35</v>
      </c>
      <c r="H111" s="5">
        <f t="shared" si="0"/>
        <v>5232.9700000000012</v>
      </c>
      <c r="I111" s="18"/>
    </row>
    <row r="112" spans="1:9" x14ac:dyDescent="0.25">
      <c r="A112" t="s">
        <v>33</v>
      </c>
      <c r="B112" t="s">
        <v>232</v>
      </c>
      <c r="C112" s="3">
        <v>43262</v>
      </c>
      <c r="D112" s="3" t="s">
        <v>17</v>
      </c>
      <c r="E112" t="s">
        <v>262</v>
      </c>
      <c r="F112" s="5">
        <v>36.76</v>
      </c>
      <c r="G112" t="s">
        <v>35</v>
      </c>
      <c r="H112" s="5">
        <f t="shared" si="0"/>
        <v>5245.1000000000013</v>
      </c>
      <c r="I112" s="18"/>
    </row>
    <row r="113" spans="1:9" x14ac:dyDescent="0.25">
      <c r="A113" t="s">
        <v>33</v>
      </c>
      <c r="B113" t="s">
        <v>232</v>
      </c>
      <c r="C113" s="3">
        <v>43262</v>
      </c>
      <c r="D113" s="3" t="s">
        <v>15</v>
      </c>
      <c r="E113" t="s">
        <v>257</v>
      </c>
      <c r="F113" s="5">
        <v>51.41</v>
      </c>
      <c r="G113" t="s">
        <v>35</v>
      </c>
      <c r="H113" s="5">
        <f t="shared" si="0"/>
        <v>5281.8600000000015</v>
      </c>
      <c r="I113" s="18"/>
    </row>
    <row r="114" spans="1:9" x14ac:dyDescent="0.25">
      <c r="A114" t="s">
        <v>33</v>
      </c>
      <c r="B114" t="s">
        <v>232</v>
      </c>
      <c r="C114" s="3">
        <v>43262</v>
      </c>
      <c r="D114" s="3" t="s">
        <v>19</v>
      </c>
      <c r="E114" t="s">
        <v>43</v>
      </c>
      <c r="F114" s="5">
        <v>4.55</v>
      </c>
      <c r="G114" t="s">
        <v>35</v>
      </c>
      <c r="H114" s="5">
        <f t="shared" si="0"/>
        <v>5333.2700000000013</v>
      </c>
      <c r="I114" s="18"/>
    </row>
    <row r="115" spans="1:9" x14ac:dyDescent="0.25">
      <c r="A115" t="s">
        <v>33</v>
      </c>
      <c r="B115" t="s">
        <v>232</v>
      </c>
      <c r="C115" s="3">
        <v>43262</v>
      </c>
      <c r="D115" s="3" t="s">
        <v>16</v>
      </c>
      <c r="E115" t="s">
        <v>263</v>
      </c>
      <c r="F115" s="5">
        <v>35.44</v>
      </c>
      <c r="G115" t="s">
        <v>35</v>
      </c>
      <c r="H115" s="5">
        <f t="shared" si="0"/>
        <v>5337.8200000000015</v>
      </c>
      <c r="I115" s="18"/>
    </row>
    <row r="116" spans="1:9" x14ac:dyDescent="0.25">
      <c r="A116" t="s">
        <v>33</v>
      </c>
      <c r="B116" t="s">
        <v>232</v>
      </c>
      <c r="C116" s="3">
        <v>43262</v>
      </c>
      <c r="D116" s="3" t="s">
        <v>19</v>
      </c>
      <c r="E116" t="s">
        <v>42</v>
      </c>
      <c r="F116" s="5">
        <v>7.64</v>
      </c>
      <c r="G116" t="s">
        <v>35</v>
      </c>
      <c r="H116" s="5">
        <f t="shared" si="0"/>
        <v>5373.2600000000011</v>
      </c>
      <c r="I116" s="18"/>
    </row>
    <row r="117" spans="1:9" x14ac:dyDescent="0.25">
      <c r="A117" t="s">
        <v>33</v>
      </c>
      <c r="B117" t="s">
        <v>232</v>
      </c>
      <c r="C117" s="3">
        <v>43262</v>
      </c>
      <c r="D117" s="3" t="s">
        <v>18</v>
      </c>
      <c r="E117" t="s">
        <v>145</v>
      </c>
      <c r="F117" s="5">
        <v>5</v>
      </c>
      <c r="G117" t="s">
        <v>35</v>
      </c>
      <c r="H117" s="5">
        <f t="shared" si="0"/>
        <v>5380.9000000000015</v>
      </c>
      <c r="I117" s="18"/>
    </row>
    <row r="118" spans="1:9" x14ac:dyDescent="0.25">
      <c r="A118" t="s">
        <v>33</v>
      </c>
      <c r="B118" t="s">
        <v>232</v>
      </c>
      <c r="C118" s="3">
        <v>43262</v>
      </c>
      <c r="D118" s="3" t="s">
        <v>17</v>
      </c>
      <c r="E118" t="s">
        <v>39</v>
      </c>
      <c r="F118" s="5">
        <v>26.5</v>
      </c>
      <c r="G118" t="s">
        <v>35</v>
      </c>
      <c r="H118" s="5">
        <f t="shared" si="0"/>
        <v>5385.9000000000015</v>
      </c>
      <c r="I118" s="18"/>
    </row>
    <row r="119" spans="1:9" x14ac:dyDescent="0.25">
      <c r="A119" t="s">
        <v>33</v>
      </c>
      <c r="B119" t="s">
        <v>232</v>
      </c>
      <c r="C119" s="3">
        <v>43262</v>
      </c>
      <c r="D119" s="3" t="s">
        <v>17</v>
      </c>
      <c r="E119" t="s">
        <v>264</v>
      </c>
      <c r="F119" s="5">
        <v>3.8</v>
      </c>
      <c r="G119" t="s">
        <v>35</v>
      </c>
      <c r="H119" s="5">
        <f t="shared" si="0"/>
        <v>5412.4000000000015</v>
      </c>
      <c r="I119" s="18"/>
    </row>
    <row r="120" spans="1:9" x14ac:dyDescent="0.25">
      <c r="A120" t="s">
        <v>33</v>
      </c>
      <c r="B120" t="s">
        <v>232</v>
      </c>
      <c r="C120" s="3">
        <v>43262</v>
      </c>
      <c r="D120" s="3" t="s">
        <v>19</v>
      </c>
      <c r="E120" t="s">
        <v>43</v>
      </c>
      <c r="F120" s="5">
        <v>8.2899999999999991</v>
      </c>
      <c r="G120" t="s">
        <v>35</v>
      </c>
      <c r="H120" s="5">
        <f t="shared" si="0"/>
        <v>5416.2000000000016</v>
      </c>
      <c r="I120" s="18"/>
    </row>
    <row r="121" spans="1:9" x14ac:dyDescent="0.25">
      <c r="A121" t="s">
        <v>33</v>
      </c>
      <c r="B121" t="s">
        <v>232</v>
      </c>
      <c r="C121" s="3">
        <v>43260</v>
      </c>
      <c r="D121" s="3" t="s">
        <v>207</v>
      </c>
      <c r="E121" t="s">
        <v>265</v>
      </c>
      <c r="F121" s="5">
        <v>21.66</v>
      </c>
      <c r="G121" t="s">
        <v>35</v>
      </c>
      <c r="H121" s="5">
        <f t="shared" si="0"/>
        <v>5424.4900000000016</v>
      </c>
      <c r="I121" s="18"/>
    </row>
    <row r="122" spans="1:9" x14ac:dyDescent="0.25">
      <c r="A122" t="s">
        <v>33</v>
      </c>
      <c r="B122" t="s">
        <v>232</v>
      </c>
      <c r="C122" s="3">
        <v>43259</v>
      </c>
      <c r="D122" s="3" t="s">
        <v>15</v>
      </c>
      <c r="E122" t="s">
        <v>266</v>
      </c>
      <c r="F122" s="5">
        <v>7.58</v>
      </c>
      <c r="G122" t="s">
        <v>46</v>
      </c>
      <c r="H122" s="5">
        <f t="shared" si="0"/>
        <v>5446.1500000000015</v>
      </c>
      <c r="I122" s="18"/>
    </row>
    <row r="123" spans="1:9" x14ac:dyDescent="0.25">
      <c r="A123" t="s">
        <v>33</v>
      </c>
      <c r="B123" t="s">
        <v>232</v>
      </c>
      <c r="C123" s="3">
        <v>43259</v>
      </c>
      <c r="D123" s="3" t="s">
        <v>17</v>
      </c>
      <c r="E123" t="s">
        <v>267</v>
      </c>
      <c r="F123" s="5">
        <v>40.770000000000003</v>
      </c>
      <c r="G123" t="s">
        <v>46</v>
      </c>
      <c r="H123" s="5">
        <f>H125-F123</f>
        <v>5453.7300000000014</v>
      </c>
      <c r="I123" s="18"/>
    </row>
    <row r="124" spans="1:9" x14ac:dyDescent="0.25">
      <c r="A124" t="s">
        <v>33</v>
      </c>
      <c r="B124" t="s">
        <v>232</v>
      </c>
      <c r="C124" s="3">
        <v>43258</v>
      </c>
      <c r="D124" s="3" t="s">
        <v>17</v>
      </c>
      <c r="E124" t="s">
        <v>268</v>
      </c>
      <c r="F124" s="5">
        <f>7.09+0.65</f>
        <v>7.74</v>
      </c>
      <c r="G124" t="s">
        <v>46</v>
      </c>
      <c r="H124" s="5">
        <f>H125-F124</f>
        <v>5486.760000000002</v>
      </c>
      <c r="I124" s="18"/>
    </row>
    <row r="125" spans="1:9" x14ac:dyDescent="0.25">
      <c r="A125" t="s">
        <v>33</v>
      </c>
      <c r="B125" t="s">
        <v>232</v>
      </c>
      <c r="C125" s="3">
        <v>43258</v>
      </c>
      <c r="D125" s="3" t="s">
        <v>15</v>
      </c>
      <c r="E125" t="s">
        <v>268</v>
      </c>
      <c r="F125" s="5">
        <f>3.7+0.11</f>
        <v>3.81</v>
      </c>
      <c r="G125" t="s">
        <v>46</v>
      </c>
      <c r="H125" s="5">
        <f t="shared" si="0"/>
        <v>5494.5000000000018</v>
      </c>
      <c r="I125" s="18"/>
    </row>
    <row r="126" spans="1:9" x14ac:dyDescent="0.25">
      <c r="A126" t="s">
        <v>33</v>
      </c>
      <c r="B126" t="s">
        <v>232</v>
      </c>
      <c r="C126" s="3">
        <v>43258</v>
      </c>
      <c r="D126" s="3" t="s">
        <v>17</v>
      </c>
      <c r="E126" t="s">
        <v>269</v>
      </c>
      <c r="F126" s="5">
        <v>23.02</v>
      </c>
      <c r="G126" t="s">
        <v>46</v>
      </c>
      <c r="H126" s="5">
        <f t="shared" si="0"/>
        <v>5498.3100000000022</v>
      </c>
      <c r="I126" s="18"/>
    </row>
    <row r="127" spans="1:9" x14ac:dyDescent="0.25">
      <c r="A127" t="s">
        <v>33</v>
      </c>
      <c r="B127" t="s">
        <v>232</v>
      </c>
      <c r="C127" s="3">
        <v>43258</v>
      </c>
      <c r="D127" s="3" t="s">
        <v>20</v>
      </c>
      <c r="E127" t="s">
        <v>270</v>
      </c>
      <c r="F127" s="5">
        <v>64.73</v>
      </c>
      <c r="G127" t="s">
        <v>46</v>
      </c>
      <c r="H127" s="5">
        <f t="shared" si="0"/>
        <v>5521.3300000000027</v>
      </c>
      <c r="I127" s="18"/>
    </row>
    <row r="128" spans="1:9" x14ac:dyDescent="0.25">
      <c r="A128" t="s">
        <v>33</v>
      </c>
      <c r="B128" t="s">
        <v>232</v>
      </c>
      <c r="C128" s="3">
        <v>43257</v>
      </c>
      <c r="D128" s="3" t="s">
        <v>16</v>
      </c>
      <c r="E128" t="s">
        <v>271</v>
      </c>
      <c r="F128" s="5">
        <v>34.520000000000003</v>
      </c>
      <c r="G128" t="s">
        <v>46</v>
      </c>
      <c r="H128" s="5">
        <f t="shared" si="0"/>
        <v>5586.0600000000022</v>
      </c>
      <c r="I128" s="18"/>
    </row>
    <row r="129" spans="1:13" x14ac:dyDescent="0.25">
      <c r="A129" t="s">
        <v>33</v>
      </c>
      <c r="B129" t="s">
        <v>232</v>
      </c>
      <c r="C129" s="3">
        <v>43256</v>
      </c>
      <c r="D129" s="3" t="s">
        <v>19</v>
      </c>
      <c r="E129" t="s">
        <v>272</v>
      </c>
      <c r="F129" s="5">
        <v>2.68</v>
      </c>
      <c r="G129" t="s">
        <v>46</v>
      </c>
      <c r="H129" s="5">
        <f t="shared" si="0"/>
        <v>5620.5800000000027</v>
      </c>
      <c r="I129" s="18"/>
    </row>
    <row r="130" spans="1:13" x14ac:dyDescent="0.25">
      <c r="A130" t="s">
        <v>33</v>
      </c>
      <c r="B130" t="s">
        <v>232</v>
      </c>
      <c r="C130" s="3">
        <v>43256</v>
      </c>
      <c r="D130" s="3" t="s">
        <v>19</v>
      </c>
      <c r="E130" t="s">
        <v>273</v>
      </c>
      <c r="F130" s="5">
        <v>4.2300000000000004</v>
      </c>
      <c r="G130" t="s">
        <v>46</v>
      </c>
      <c r="H130" s="5">
        <f t="shared" si="0"/>
        <v>5623.2600000000029</v>
      </c>
      <c r="I130" s="18"/>
      <c r="M130">
        <f>1438.25/5</f>
        <v>287.64999999999998</v>
      </c>
    </row>
    <row r="131" spans="1:13" x14ac:dyDescent="0.25">
      <c r="A131" t="s">
        <v>33</v>
      </c>
      <c r="B131" t="s">
        <v>232</v>
      </c>
      <c r="C131" s="3">
        <v>43256</v>
      </c>
      <c r="D131" s="3" t="s">
        <v>18</v>
      </c>
      <c r="E131" t="s">
        <v>274</v>
      </c>
      <c r="F131" s="5">
        <v>1.3</v>
      </c>
      <c r="G131" t="s">
        <v>46</v>
      </c>
      <c r="H131" s="5">
        <f t="shared" si="0"/>
        <v>5627.4900000000025</v>
      </c>
      <c r="I131" s="18"/>
    </row>
    <row r="132" spans="1:13" x14ac:dyDescent="0.25">
      <c r="A132" t="s">
        <v>33</v>
      </c>
      <c r="B132" t="s">
        <v>232</v>
      </c>
      <c r="C132" s="3">
        <v>43255</v>
      </c>
      <c r="D132" s="3" t="s">
        <v>15</v>
      </c>
      <c r="E132" t="s">
        <v>260</v>
      </c>
      <c r="F132" s="5">
        <v>12.16</v>
      </c>
      <c r="G132" t="s">
        <v>46</v>
      </c>
      <c r="H132" s="5">
        <f t="shared" si="0"/>
        <v>5628.7900000000027</v>
      </c>
      <c r="I132" s="18"/>
    </row>
    <row r="133" spans="1:13" x14ac:dyDescent="0.25">
      <c r="A133" t="s">
        <v>33</v>
      </c>
      <c r="B133" t="s">
        <v>232</v>
      </c>
      <c r="C133" s="3">
        <v>43255</v>
      </c>
      <c r="D133" s="3" t="s">
        <v>12</v>
      </c>
      <c r="E133" t="s">
        <v>142</v>
      </c>
      <c r="F133" s="5">
        <v>100</v>
      </c>
      <c r="G133" t="s">
        <v>46</v>
      </c>
      <c r="H133" s="5">
        <f t="shared" si="0"/>
        <v>5640.9500000000025</v>
      </c>
      <c r="I133" s="18"/>
    </row>
    <row r="134" spans="1:13" x14ac:dyDescent="0.25">
      <c r="A134" t="s">
        <v>33</v>
      </c>
      <c r="B134" t="s">
        <v>232</v>
      </c>
      <c r="C134" s="3">
        <v>43255</v>
      </c>
      <c r="D134" s="3" t="s">
        <v>15</v>
      </c>
      <c r="E134" t="s">
        <v>143</v>
      </c>
      <c r="F134" s="5">
        <v>20.420000000000002</v>
      </c>
      <c r="G134" t="s">
        <v>46</v>
      </c>
      <c r="H134" s="5">
        <f t="shared" si="0"/>
        <v>5740.9500000000025</v>
      </c>
      <c r="I134" s="18"/>
    </row>
    <row r="135" spans="1:13" x14ac:dyDescent="0.25">
      <c r="A135" t="s">
        <v>33</v>
      </c>
      <c r="B135" t="s">
        <v>232</v>
      </c>
      <c r="C135" s="3">
        <v>43255</v>
      </c>
      <c r="D135" s="3" t="s">
        <v>19</v>
      </c>
      <c r="E135" t="s">
        <v>252</v>
      </c>
      <c r="F135" s="5">
        <v>2.6</v>
      </c>
      <c r="G135" t="s">
        <v>46</v>
      </c>
      <c r="H135" s="5">
        <f t="shared" si="0"/>
        <v>5761.3700000000026</v>
      </c>
      <c r="I135" s="18"/>
    </row>
    <row r="136" spans="1:13" x14ac:dyDescent="0.25">
      <c r="A136" t="s">
        <v>33</v>
      </c>
      <c r="B136" t="s">
        <v>232</v>
      </c>
      <c r="C136" s="3">
        <v>43255</v>
      </c>
      <c r="D136" s="3" t="s">
        <v>19</v>
      </c>
      <c r="E136" t="s">
        <v>43</v>
      </c>
      <c r="F136" s="5">
        <v>4.2300000000000004</v>
      </c>
      <c r="G136" t="s">
        <v>46</v>
      </c>
      <c r="H136" s="5">
        <f t="shared" si="0"/>
        <v>5763.970000000003</v>
      </c>
      <c r="I136" s="18"/>
    </row>
    <row r="137" spans="1:13" x14ac:dyDescent="0.25">
      <c r="A137" t="s">
        <v>33</v>
      </c>
      <c r="B137" t="s">
        <v>232</v>
      </c>
      <c r="C137" s="3">
        <v>43255</v>
      </c>
      <c r="D137" s="3" t="s">
        <v>207</v>
      </c>
      <c r="E137" t="s">
        <v>253</v>
      </c>
      <c r="F137" s="5">
        <v>12.6</v>
      </c>
      <c r="G137" t="s">
        <v>46</v>
      </c>
      <c r="H137" s="5">
        <f t="shared" si="0"/>
        <v>5768.2000000000025</v>
      </c>
      <c r="I137" s="18"/>
    </row>
    <row r="138" spans="1:13" x14ac:dyDescent="0.25">
      <c r="A138" t="s">
        <v>33</v>
      </c>
      <c r="B138" t="s">
        <v>232</v>
      </c>
      <c r="C138" s="3">
        <v>43255</v>
      </c>
      <c r="D138" s="3" t="s">
        <v>20</v>
      </c>
      <c r="E138" t="s">
        <v>254</v>
      </c>
      <c r="F138" s="5">
        <v>400</v>
      </c>
      <c r="G138" t="s">
        <v>46</v>
      </c>
      <c r="H138" s="5">
        <f t="shared" si="0"/>
        <v>5780.8000000000029</v>
      </c>
      <c r="I138" s="18"/>
    </row>
    <row r="139" spans="1:13" x14ac:dyDescent="0.25">
      <c r="A139" t="s">
        <v>33</v>
      </c>
      <c r="B139" t="s">
        <v>232</v>
      </c>
      <c r="C139" s="3">
        <v>43255</v>
      </c>
      <c r="D139" s="3" t="s">
        <v>17</v>
      </c>
      <c r="E139" t="s">
        <v>39</v>
      </c>
      <c r="F139" s="5">
        <v>45.22</v>
      </c>
      <c r="G139" t="s">
        <v>46</v>
      </c>
      <c r="H139" s="5">
        <f t="shared" si="0"/>
        <v>6180.8000000000029</v>
      </c>
      <c r="I139" s="18"/>
    </row>
    <row r="140" spans="1:13" x14ac:dyDescent="0.25">
      <c r="A140" t="s">
        <v>33</v>
      </c>
      <c r="B140" t="s">
        <v>232</v>
      </c>
      <c r="C140" s="3">
        <v>43255</v>
      </c>
      <c r="D140" s="3" t="s">
        <v>19</v>
      </c>
      <c r="E140" t="s">
        <v>42</v>
      </c>
      <c r="F140" s="5">
        <v>2.6</v>
      </c>
      <c r="G140" t="s">
        <v>46</v>
      </c>
      <c r="H140" s="5">
        <f t="shared" si="0"/>
        <v>6226.0200000000032</v>
      </c>
      <c r="I140" s="18"/>
    </row>
    <row r="141" spans="1:13" x14ac:dyDescent="0.25">
      <c r="A141" t="s">
        <v>33</v>
      </c>
      <c r="B141" t="s">
        <v>232</v>
      </c>
      <c r="C141" s="3">
        <v>43255</v>
      </c>
      <c r="D141" s="3" t="s">
        <v>18</v>
      </c>
      <c r="E141" t="s">
        <v>255</v>
      </c>
      <c r="F141" s="5">
        <v>8</v>
      </c>
      <c r="G141" t="s">
        <v>46</v>
      </c>
      <c r="H141" s="5">
        <f t="shared" si="0"/>
        <v>6228.6200000000035</v>
      </c>
      <c r="I141" s="18"/>
    </row>
    <row r="142" spans="1:13" x14ac:dyDescent="0.25">
      <c r="A142" t="s">
        <v>33</v>
      </c>
      <c r="B142" t="s">
        <v>232</v>
      </c>
      <c r="C142" s="3">
        <v>43255</v>
      </c>
      <c r="D142" s="3" t="s">
        <v>16</v>
      </c>
      <c r="E142" t="s">
        <v>256</v>
      </c>
      <c r="F142" s="5">
        <v>37.86</v>
      </c>
      <c r="G142" t="s">
        <v>46</v>
      </c>
      <c r="H142" s="5">
        <f t="shared" si="0"/>
        <v>6236.6200000000035</v>
      </c>
      <c r="I142" s="18"/>
    </row>
    <row r="143" spans="1:13" x14ac:dyDescent="0.25">
      <c r="A143" t="s">
        <v>33</v>
      </c>
      <c r="B143" t="s">
        <v>232</v>
      </c>
      <c r="C143" s="3">
        <v>43255</v>
      </c>
      <c r="D143" s="3" t="s">
        <v>17</v>
      </c>
      <c r="E143" t="s">
        <v>257</v>
      </c>
      <c r="F143" s="5">
        <v>6.95</v>
      </c>
      <c r="G143" t="s">
        <v>46</v>
      </c>
      <c r="H143" s="5">
        <f t="shared" si="0"/>
        <v>6274.4800000000032</v>
      </c>
      <c r="I143" s="18"/>
    </row>
    <row r="144" spans="1:13" x14ac:dyDescent="0.25">
      <c r="A144" t="s">
        <v>33</v>
      </c>
      <c r="B144" t="s">
        <v>232</v>
      </c>
      <c r="C144" s="3">
        <v>43255</v>
      </c>
      <c r="D144" s="3" t="s">
        <v>19</v>
      </c>
      <c r="E144" t="s">
        <v>43</v>
      </c>
      <c r="F144" s="5">
        <v>4.2300000000000004</v>
      </c>
      <c r="G144" t="s">
        <v>46</v>
      </c>
      <c r="H144" s="5">
        <f t="shared" si="0"/>
        <v>6281.430000000003</v>
      </c>
      <c r="I144" s="18"/>
    </row>
    <row r="145" spans="1:9" x14ac:dyDescent="0.25">
      <c r="A145" t="s">
        <v>33</v>
      </c>
      <c r="B145" t="s">
        <v>232</v>
      </c>
      <c r="C145" s="3">
        <v>43253</v>
      </c>
      <c r="D145" s="3" t="s">
        <v>195</v>
      </c>
      <c r="E145" t="s">
        <v>258</v>
      </c>
      <c r="F145" s="5">
        <v>21.63</v>
      </c>
      <c r="G145" t="s">
        <v>46</v>
      </c>
      <c r="H145" s="5">
        <f t="shared" si="0"/>
        <v>6285.6600000000026</v>
      </c>
      <c r="I145" s="18"/>
    </row>
    <row r="146" spans="1:9" x14ac:dyDescent="0.25">
      <c r="A146" t="s">
        <v>33</v>
      </c>
      <c r="B146" t="s">
        <v>232</v>
      </c>
      <c r="C146" s="3">
        <v>43255</v>
      </c>
      <c r="D146" s="3" t="s">
        <v>11</v>
      </c>
      <c r="E146" t="s">
        <v>251</v>
      </c>
      <c r="F146" s="5">
        <v>828.15</v>
      </c>
      <c r="G146" t="s">
        <v>46</v>
      </c>
      <c r="H146" s="5">
        <f t="shared" ref="H146:H153" si="3">H147-F146</f>
        <v>6307.2900000000027</v>
      </c>
      <c r="I146" s="18"/>
    </row>
    <row r="147" spans="1:9" x14ac:dyDescent="0.25">
      <c r="A147" t="s">
        <v>33</v>
      </c>
      <c r="B147" t="s">
        <v>232</v>
      </c>
      <c r="C147" s="3">
        <v>43252</v>
      </c>
      <c r="D147" s="3" t="s">
        <v>17</v>
      </c>
      <c r="E147" t="s">
        <v>59</v>
      </c>
      <c r="F147" s="5">
        <v>3.99</v>
      </c>
      <c r="G147" t="s">
        <v>46</v>
      </c>
      <c r="H147" s="5">
        <f t="shared" si="3"/>
        <v>7135.4400000000023</v>
      </c>
      <c r="I147" s="18"/>
    </row>
    <row r="148" spans="1:9" x14ac:dyDescent="0.25">
      <c r="A148" t="s">
        <v>33</v>
      </c>
      <c r="B148" t="s">
        <v>232</v>
      </c>
      <c r="C148" s="3">
        <v>43252</v>
      </c>
      <c r="D148" s="3" t="s">
        <v>15</v>
      </c>
      <c r="E148" t="s">
        <v>59</v>
      </c>
      <c r="F148" s="5">
        <f>10.14-3.99</f>
        <v>6.15</v>
      </c>
      <c r="G148" t="s">
        <v>46</v>
      </c>
      <c r="H148" s="5">
        <f t="shared" si="3"/>
        <v>7139.4300000000021</v>
      </c>
      <c r="I148" s="18"/>
    </row>
    <row r="149" spans="1:9" x14ac:dyDescent="0.25">
      <c r="A149" t="s">
        <v>33</v>
      </c>
      <c r="B149" t="s">
        <v>232</v>
      </c>
      <c r="C149" s="3">
        <v>43252</v>
      </c>
      <c r="D149" s="3" t="s">
        <v>196</v>
      </c>
      <c r="E149" t="s">
        <v>50</v>
      </c>
      <c r="F149" s="5">
        <v>-3455.27</v>
      </c>
      <c r="G149" t="s">
        <v>46</v>
      </c>
      <c r="H149" s="5">
        <f t="shared" si="3"/>
        <v>7145.5800000000017</v>
      </c>
      <c r="I149" s="18"/>
    </row>
    <row r="150" spans="1:9" x14ac:dyDescent="0.25">
      <c r="A150" t="s">
        <v>33</v>
      </c>
      <c r="B150" t="s">
        <v>232</v>
      </c>
      <c r="C150" s="3">
        <v>43252</v>
      </c>
      <c r="D150" s="3" t="s">
        <v>208</v>
      </c>
      <c r="E150" t="s">
        <v>248</v>
      </c>
      <c r="F150" s="5">
        <v>298</v>
      </c>
      <c r="G150" t="s">
        <v>46</v>
      </c>
      <c r="H150" s="5">
        <f t="shared" si="3"/>
        <v>3690.3100000000013</v>
      </c>
      <c r="I150" s="18"/>
    </row>
    <row r="151" spans="1:9" x14ac:dyDescent="0.25">
      <c r="A151" t="s">
        <v>33</v>
      </c>
      <c r="B151" t="s">
        <v>232</v>
      </c>
      <c r="C151" s="3">
        <v>43252</v>
      </c>
      <c r="D151" s="3" t="s">
        <v>14</v>
      </c>
      <c r="E151" t="s">
        <v>249</v>
      </c>
      <c r="F151" s="5">
        <v>47</v>
      </c>
      <c r="G151" t="s">
        <v>46</v>
      </c>
      <c r="H151" s="5">
        <f t="shared" si="3"/>
        <v>3988.3100000000013</v>
      </c>
      <c r="I151" s="18"/>
    </row>
    <row r="152" spans="1:9" x14ac:dyDescent="0.25">
      <c r="A152" t="s">
        <v>33</v>
      </c>
      <c r="B152" t="s">
        <v>232</v>
      </c>
      <c r="C152" s="3">
        <v>43252</v>
      </c>
      <c r="D152" s="3" t="s">
        <v>13</v>
      </c>
      <c r="E152" t="s">
        <v>250</v>
      </c>
      <c r="F152" s="5">
        <v>545</v>
      </c>
      <c r="G152" t="s">
        <v>46</v>
      </c>
      <c r="H152" s="5">
        <f t="shared" si="3"/>
        <v>4035.3100000000013</v>
      </c>
      <c r="I152" s="18"/>
    </row>
    <row r="153" spans="1:9" x14ac:dyDescent="0.25">
      <c r="A153" t="s">
        <v>33</v>
      </c>
      <c r="B153" t="s">
        <v>232</v>
      </c>
      <c r="C153" s="3">
        <v>43252</v>
      </c>
      <c r="D153" s="3" t="s">
        <v>195</v>
      </c>
      <c r="E153" t="s">
        <v>243</v>
      </c>
      <c r="F153" s="5">
        <v>21.63</v>
      </c>
      <c r="G153" t="s">
        <v>46</v>
      </c>
      <c r="H153" s="5">
        <f t="shared" si="3"/>
        <v>4580.3100000000013</v>
      </c>
      <c r="I153" s="18"/>
    </row>
    <row r="154" spans="1:9" x14ac:dyDescent="0.25">
      <c r="A154" t="s">
        <v>33</v>
      </c>
      <c r="B154" t="s">
        <v>232</v>
      </c>
      <c r="C154" s="3">
        <v>43252</v>
      </c>
      <c r="D154" s="3" t="s">
        <v>20</v>
      </c>
      <c r="E154" t="s">
        <v>242</v>
      </c>
      <c r="F154" s="5">
        <v>11</v>
      </c>
      <c r="G154" t="s">
        <v>46</v>
      </c>
      <c r="H154" s="5">
        <f t="shared" ref="H154:H161" si="4">H155-F154</f>
        <v>4601.9400000000014</v>
      </c>
      <c r="I154" s="18"/>
    </row>
    <row r="155" spans="1:9" x14ac:dyDescent="0.25">
      <c r="A155" t="s">
        <v>49</v>
      </c>
      <c r="B155" t="s">
        <v>200</v>
      </c>
      <c r="C155" s="3">
        <v>43251</v>
      </c>
      <c r="D155" s="3" t="s">
        <v>20</v>
      </c>
      <c r="E155" t="s">
        <v>104</v>
      </c>
      <c r="F155" s="5">
        <v>-0.05</v>
      </c>
      <c r="G155" t="s">
        <v>46</v>
      </c>
      <c r="H155" s="5">
        <f t="shared" si="4"/>
        <v>4612.9400000000014</v>
      </c>
      <c r="I155" s="18"/>
    </row>
    <row r="156" spans="1:9" x14ac:dyDescent="0.25">
      <c r="A156" t="s">
        <v>33</v>
      </c>
      <c r="B156" t="s">
        <v>200</v>
      </c>
      <c r="C156" s="3">
        <v>43251</v>
      </c>
      <c r="D156" s="3" t="s">
        <v>207</v>
      </c>
      <c r="E156" t="s">
        <v>228</v>
      </c>
      <c r="F156" s="5">
        <v>200</v>
      </c>
      <c r="G156" t="s">
        <v>46</v>
      </c>
      <c r="H156" s="5">
        <f t="shared" si="4"/>
        <v>4612.8900000000012</v>
      </c>
      <c r="I156" s="18"/>
    </row>
    <row r="157" spans="1:9" x14ac:dyDescent="0.25">
      <c r="A157" t="s">
        <v>33</v>
      </c>
      <c r="B157" t="s">
        <v>200</v>
      </c>
      <c r="C157" s="3">
        <v>43251</v>
      </c>
      <c r="D157" s="3" t="s">
        <v>20</v>
      </c>
      <c r="E157" t="s">
        <v>227</v>
      </c>
      <c r="F157" s="5">
        <v>4.92</v>
      </c>
      <c r="G157" t="s">
        <v>46</v>
      </c>
      <c r="H157" s="5">
        <f t="shared" si="4"/>
        <v>4812.8900000000012</v>
      </c>
      <c r="I157" s="18"/>
    </row>
    <row r="158" spans="1:9" x14ac:dyDescent="0.25">
      <c r="A158" t="s">
        <v>33</v>
      </c>
      <c r="B158" t="s">
        <v>200</v>
      </c>
      <c r="C158" s="3">
        <v>43251</v>
      </c>
      <c r="D158" s="3" t="s">
        <v>17</v>
      </c>
      <c r="E158" t="s">
        <v>226</v>
      </c>
      <c r="F158" s="5">
        <v>4.96</v>
      </c>
      <c r="G158" t="s">
        <v>46</v>
      </c>
      <c r="H158" s="5">
        <f t="shared" si="4"/>
        <v>4817.8100000000013</v>
      </c>
      <c r="I158" s="18"/>
    </row>
    <row r="159" spans="1:9" x14ac:dyDescent="0.25">
      <c r="A159" t="s">
        <v>33</v>
      </c>
      <c r="B159" t="s">
        <v>200</v>
      </c>
      <c r="C159" s="3">
        <v>43251</v>
      </c>
      <c r="D159" s="3" t="s">
        <v>16</v>
      </c>
      <c r="E159" t="s">
        <v>225</v>
      </c>
      <c r="F159" s="5">
        <v>20.010000000000002</v>
      </c>
      <c r="G159" t="s">
        <v>46</v>
      </c>
      <c r="H159" s="5">
        <f t="shared" si="4"/>
        <v>4822.7700000000013</v>
      </c>
      <c r="I159" s="18"/>
    </row>
    <row r="160" spans="1:9" x14ac:dyDescent="0.25">
      <c r="A160" t="s">
        <v>33</v>
      </c>
      <c r="B160" t="s">
        <v>200</v>
      </c>
      <c r="C160" s="3">
        <v>43250</v>
      </c>
      <c r="D160" s="3" t="s">
        <v>17</v>
      </c>
      <c r="E160" t="s">
        <v>224</v>
      </c>
      <c r="F160" s="5">
        <v>16.28</v>
      </c>
      <c r="G160" t="s">
        <v>46</v>
      </c>
      <c r="H160" s="5">
        <f t="shared" si="4"/>
        <v>4842.7800000000016</v>
      </c>
      <c r="I160" s="18"/>
    </row>
    <row r="161" spans="1:9" x14ac:dyDescent="0.25">
      <c r="A161" t="s">
        <v>33</v>
      </c>
      <c r="B161" t="s">
        <v>200</v>
      </c>
      <c r="C161" s="3">
        <v>43249</v>
      </c>
      <c r="D161" s="3" t="s">
        <v>15</v>
      </c>
      <c r="E161" t="s">
        <v>59</v>
      </c>
      <c r="F161" s="5">
        <v>21.2</v>
      </c>
      <c r="G161" t="s">
        <v>46</v>
      </c>
      <c r="H161" s="5">
        <f t="shared" si="4"/>
        <v>4859.0600000000013</v>
      </c>
      <c r="I161" s="18"/>
    </row>
    <row r="162" spans="1:9" x14ac:dyDescent="0.25">
      <c r="A162" t="s">
        <v>33</v>
      </c>
      <c r="B162" t="s">
        <v>200</v>
      </c>
      <c r="C162" s="3">
        <v>43249</v>
      </c>
      <c r="D162" s="3" t="s">
        <v>198</v>
      </c>
      <c r="E162" t="s">
        <v>71</v>
      </c>
      <c r="F162" s="5">
        <v>22.99</v>
      </c>
      <c r="G162" t="s">
        <v>46</v>
      </c>
      <c r="H162" s="5">
        <f>H163-F162</f>
        <v>4880.2600000000011</v>
      </c>
      <c r="I162" s="18"/>
    </row>
    <row r="163" spans="1:9" x14ac:dyDescent="0.25">
      <c r="A163" t="s">
        <v>33</v>
      </c>
      <c r="B163" t="s">
        <v>200</v>
      </c>
      <c r="C163" s="3">
        <v>43249</v>
      </c>
      <c r="D163" s="3" t="s">
        <v>192</v>
      </c>
      <c r="E163" t="s">
        <v>140</v>
      </c>
      <c r="F163" s="5">
        <v>437.54</v>
      </c>
      <c r="G163" t="s">
        <v>107</v>
      </c>
      <c r="H163" s="5">
        <f>H164-F163</f>
        <v>4903.2500000000009</v>
      </c>
      <c r="I163" s="18"/>
    </row>
    <row r="164" spans="1:9" x14ac:dyDescent="0.25">
      <c r="A164" t="s">
        <v>33</v>
      </c>
      <c r="B164" t="s">
        <v>200</v>
      </c>
      <c r="C164" s="3">
        <v>43249</v>
      </c>
      <c r="D164" s="3" t="s">
        <v>17</v>
      </c>
      <c r="E164" t="s">
        <v>141</v>
      </c>
      <c r="F164" s="5">
        <v>34.11</v>
      </c>
      <c r="G164" t="s">
        <v>35</v>
      </c>
      <c r="H164" s="5">
        <f t="shared" ref="H164:H218" si="5">H165-F164</f>
        <v>5340.7900000000009</v>
      </c>
      <c r="I164" s="18"/>
    </row>
    <row r="165" spans="1:9" x14ac:dyDescent="0.25">
      <c r="A165" t="s">
        <v>33</v>
      </c>
      <c r="B165" t="s">
        <v>200</v>
      </c>
      <c r="C165" s="3">
        <v>43249</v>
      </c>
      <c r="D165" s="3" t="s">
        <v>12</v>
      </c>
      <c r="E165" t="s">
        <v>142</v>
      </c>
      <c r="F165" s="5">
        <v>100</v>
      </c>
      <c r="G165" t="s">
        <v>35</v>
      </c>
      <c r="H165" s="5">
        <f t="shared" si="5"/>
        <v>5374.9000000000005</v>
      </c>
      <c r="I165" s="18"/>
    </row>
    <row r="166" spans="1:9" x14ac:dyDescent="0.25">
      <c r="A166" s="24" t="s">
        <v>33</v>
      </c>
      <c r="B166" s="25" t="s">
        <v>200</v>
      </c>
      <c r="C166" s="26">
        <v>43249</v>
      </c>
      <c r="D166" s="26" t="s">
        <v>15</v>
      </c>
      <c r="E166" s="25" t="s">
        <v>143</v>
      </c>
      <c r="F166" s="27">
        <f>110.35-38.92</f>
        <v>71.429999999999993</v>
      </c>
      <c r="G166" s="25" t="s">
        <v>35</v>
      </c>
      <c r="H166" s="28">
        <f>H168-F166</f>
        <v>5474.9000000000005</v>
      </c>
      <c r="I166" s="18" t="s">
        <v>15</v>
      </c>
    </row>
    <row r="167" spans="1:9" x14ac:dyDescent="0.25">
      <c r="A167" s="29" t="s">
        <v>33</v>
      </c>
      <c r="B167" s="30" t="s">
        <v>200</v>
      </c>
      <c r="C167" s="31">
        <v>43249</v>
      </c>
      <c r="D167" s="31" t="s">
        <v>20</v>
      </c>
      <c r="E167" s="30" t="s">
        <v>143</v>
      </c>
      <c r="F167" s="32">
        <v>38.92</v>
      </c>
      <c r="G167" s="30" t="s">
        <v>35</v>
      </c>
      <c r="H167" s="33">
        <v>5133.3300000000008</v>
      </c>
      <c r="I167" s="18" t="s">
        <v>203</v>
      </c>
    </row>
    <row r="168" spans="1:9" x14ac:dyDescent="0.25">
      <c r="A168" t="s">
        <v>33</v>
      </c>
      <c r="B168" t="s">
        <v>200</v>
      </c>
      <c r="C168" s="3">
        <v>43249</v>
      </c>
      <c r="D168" s="3" t="s">
        <v>17</v>
      </c>
      <c r="E168" t="s">
        <v>144</v>
      </c>
      <c r="F168" s="5">
        <v>13.78</v>
      </c>
      <c r="G168" t="s">
        <v>35</v>
      </c>
      <c r="H168" s="5">
        <f t="shared" si="5"/>
        <v>5546.3300000000008</v>
      </c>
      <c r="I168" s="18"/>
    </row>
    <row r="169" spans="1:9" x14ac:dyDescent="0.25">
      <c r="A169" t="s">
        <v>33</v>
      </c>
      <c r="B169" t="s">
        <v>200</v>
      </c>
      <c r="C169" s="3">
        <v>43249</v>
      </c>
      <c r="D169" s="3" t="s">
        <v>18</v>
      </c>
      <c r="E169" t="s">
        <v>145</v>
      </c>
      <c r="F169" s="5">
        <v>5.25</v>
      </c>
      <c r="G169" t="s">
        <v>35</v>
      </c>
      <c r="H169" s="5">
        <f t="shared" si="5"/>
        <v>5560.1100000000006</v>
      </c>
      <c r="I169" s="18"/>
    </row>
    <row r="170" spans="1:9" x14ac:dyDescent="0.25">
      <c r="A170" t="s">
        <v>33</v>
      </c>
      <c r="B170" t="s">
        <v>200</v>
      </c>
      <c r="C170" s="3">
        <v>43249</v>
      </c>
      <c r="D170" s="3" t="s">
        <v>16</v>
      </c>
      <c r="E170" t="s">
        <v>146</v>
      </c>
      <c r="F170" s="5">
        <v>25.04</v>
      </c>
      <c r="G170" t="s">
        <v>35</v>
      </c>
      <c r="H170" s="5">
        <f t="shared" si="5"/>
        <v>5565.3600000000006</v>
      </c>
      <c r="I170" s="18"/>
    </row>
    <row r="171" spans="1:9" x14ac:dyDescent="0.25">
      <c r="A171" t="s">
        <v>33</v>
      </c>
      <c r="B171" t="s">
        <v>200</v>
      </c>
      <c r="C171" s="3">
        <v>43249</v>
      </c>
      <c r="D171" s="3" t="s">
        <v>17</v>
      </c>
      <c r="E171" t="s">
        <v>147</v>
      </c>
      <c r="F171" s="5">
        <v>11.77</v>
      </c>
      <c r="G171" t="s">
        <v>35</v>
      </c>
      <c r="H171" s="5">
        <f t="shared" si="5"/>
        <v>5590.4000000000005</v>
      </c>
      <c r="I171" s="18"/>
    </row>
    <row r="172" spans="1:9" x14ac:dyDescent="0.25">
      <c r="A172" t="s">
        <v>33</v>
      </c>
      <c r="B172" t="s">
        <v>200</v>
      </c>
      <c r="C172" s="3">
        <v>43249</v>
      </c>
      <c r="D172" s="3" t="s">
        <v>19</v>
      </c>
      <c r="E172" t="s">
        <v>43</v>
      </c>
      <c r="F172" s="5">
        <v>4.55</v>
      </c>
      <c r="G172" t="s">
        <v>35</v>
      </c>
      <c r="H172" s="5">
        <f t="shared" si="5"/>
        <v>5602.170000000001</v>
      </c>
      <c r="I172" s="18"/>
    </row>
    <row r="173" spans="1:9" x14ac:dyDescent="0.25">
      <c r="A173" s="20" t="s">
        <v>33</v>
      </c>
      <c r="B173" s="20" t="s">
        <v>200</v>
      </c>
      <c r="C173" s="21">
        <v>43249</v>
      </c>
      <c r="D173" s="21" t="s">
        <v>193</v>
      </c>
      <c r="E173" s="20" t="s">
        <v>148</v>
      </c>
      <c r="F173" s="22">
        <v>75</v>
      </c>
      <c r="G173" s="20" t="s">
        <v>35</v>
      </c>
      <c r="H173" s="22">
        <f>H175-F173</f>
        <v>5606.7200000000012</v>
      </c>
      <c r="I173" s="18"/>
    </row>
    <row r="174" spans="1:9" x14ac:dyDescent="0.25">
      <c r="A174" s="14" t="s">
        <v>33</v>
      </c>
      <c r="B174" s="14" t="s">
        <v>200</v>
      </c>
      <c r="C174" s="16">
        <v>43249</v>
      </c>
      <c r="D174" s="16" t="s">
        <v>194</v>
      </c>
      <c r="E174" s="14" t="s">
        <v>148</v>
      </c>
      <c r="F174" s="17">
        <v>15</v>
      </c>
      <c r="G174" s="14" t="s">
        <v>35</v>
      </c>
      <c r="H174" s="17">
        <v>5591.7200000000012</v>
      </c>
      <c r="I174" s="18"/>
    </row>
    <row r="175" spans="1:9" x14ac:dyDescent="0.25">
      <c r="A175" s="20" t="s">
        <v>33</v>
      </c>
      <c r="B175" s="20" t="s">
        <v>200</v>
      </c>
      <c r="C175" s="21">
        <v>43249</v>
      </c>
      <c r="D175" s="21" t="s">
        <v>193</v>
      </c>
      <c r="E175" s="20" t="s">
        <v>149</v>
      </c>
      <c r="F175" s="19">
        <v>5</v>
      </c>
      <c r="G175" s="20" t="s">
        <v>35</v>
      </c>
      <c r="H175" s="22">
        <f t="shared" si="5"/>
        <v>5681.7200000000012</v>
      </c>
      <c r="I175" s="18"/>
    </row>
    <row r="176" spans="1:9" x14ac:dyDescent="0.25">
      <c r="A176" s="20" t="s">
        <v>33</v>
      </c>
      <c r="B176" s="20" t="s">
        <v>200</v>
      </c>
      <c r="C176" s="21">
        <v>43249</v>
      </c>
      <c r="D176" s="21" t="s">
        <v>193</v>
      </c>
      <c r="E176" s="20" t="s">
        <v>149</v>
      </c>
      <c r="F176" s="22">
        <v>28.66</v>
      </c>
      <c r="G176" s="20" t="s">
        <v>35</v>
      </c>
      <c r="H176" s="22">
        <f t="shared" si="5"/>
        <v>5686.7200000000012</v>
      </c>
      <c r="I176" s="18"/>
    </row>
    <row r="177" spans="1:9" x14ac:dyDescent="0.25">
      <c r="A177" s="14" t="s">
        <v>33</v>
      </c>
      <c r="B177" s="14" t="s">
        <v>200</v>
      </c>
      <c r="C177" s="16">
        <v>43249</v>
      </c>
      <c r="D177" s="16" t="s">
        <v>194</v>
      </c>
      <c r="E177" s="14" t="s">
        <v>150</v>
      </c>
      <c r="F177" s="17">
        <v>10.75</v>
      </c>
      <c r="G177" s="14" t="s">
        <v>35</v>
      </c>
      <c r="H177" s="17">
        <f t="shared" si="5"/>
        <v>5715.380000000001</v>
      </c>
      <c r="I177" s="18"/>
    </row>
    <row r="178" spans="1:9" x14ac:dyDescent="0.25">
      <c r="A178" s="14" t="s">
        <v>33</v>
      </c>
      <c r="B178" s="14" t="s">
        <v>200</v>
      </c>
      <c r="C178" s="16">
        <v>43249</v>
      </c>
      <c r="D178" s="16" t="s">
        <v>194</v>
      </c>
      <c r="E178" s="14" t="s">
        <v>149</v>
      </c>
      <c r="F178" s="17">
        <v>1</v>
      </c>
      <c r="G178" s="14" t="s">
        <v>35</v>
      </c>
      <c r="H178" s="17">
        <f t="shared" si="5"/>
        <v>5726.130000000001</v>
      </c>
      <c r="I178" s="18"/>
    </row>
    <row r="179" spans="1:9" x14ac:dyDescent="0.25">
      <c r="A179" s="14" t="s">
        <v>33</v>
      </c>
      <c r="B179" s="14" t="s">
        <v>200</v>
      </c>
      <c r="C179" s="16">
        <v>43249</v>
      </c>
      <c r="D179" s="16" t="s">
        <v>194</v>
      </c>
      <c r="E179" s="14" t="s">
        <v>149</v>
      </c>
      <c r="F179" s="17">
        <v>7.03</v>
      </c>
      <c r="G179" s="14" t="s">
        <v>35</v>
      </c>
      <c r="H179" s="17">
        <f t="shared" si="5"/>
        <v>5727.130000000001</v>
      </c>
      <c r="I179" s="18"/>
    </row>
    <row r="180" spans="1:9" x14ac:dyDescent="0.25">
      <c r="A180" s="14" t="s">
        <v>33</v>
      </c>
      <c r="B180" s="14" t="s">
        <v>200</v>
      </c>
      <c r="C180" s="16">
        <v>43249</v>
      </c>
      <c r="D180" s="16" t="s">
        <v>194</v>
      </c>
      <c r="E180" s="14" t="s">
        <v>149</v>
      </c>
      <c r="F180" s="17">
        <v>1</v>
      </c>
      <c r="G180" s="14" t="s">
        <v>35</v>
      </c>
      <c r="H180" s="17">
        <f t="shared" si="5"/>
        <v>5734.1600000000008</v>
      </c>
      <c r="I180" s="18"/>
    </row>
    <row r="181" spans="1:9" x14ac:dyDescent="0.25">
      <c r="A181" s="14" t="s">
        <v>33</v>
      </c>
      <c r="B181" s="14" t="s">
        <v>200</v>
      </c>
      <c r="C181" s="16">
        <v>43249</v>
      </c>
      <c r="D181" s="16" t="s">
        <v>194</v>
      </c>
      <c r="E181" s="14" t="s">
        <v>151</v>
      </c>
      <c r="F181" s="17">
        <v>32.4</v>
      </c>
      <c r="G181" s="14" t="s">
        <v>35</v>
      </c>
      <c r="H181" s="17">
        <f t="shared" si="5"/>
        <v>5735.1600000000008</v>
      </c>
      <c r="I181" s="18"/>
    </row>
    <row r="182" spans="1:9" x14ac:dyDescent="0.25">
      <c r="A182" s="14" t="s">
        <v>33</v>
      </c>
      <c r="B182" s="14" t="s">
        <v>200</v>
      </c>
      <c r="C182" s="16">
        <v>43249</v>
      </c>
      <c r="D182" s="16" t="s">
        <v>194</v>
      </c>
      <c r="E182" s="14" t="s">
        <v>149</v>
      </c>
      <c r="F182" s="17">
        <v>8.2799999999999994</v>
      </c>
      <c r="G182" s="14" t="s">
        <v>35</v>
      </c>
      <c r="H182" s="17">
        <f t="shared" si="5"/>
        <v>5767.56</v>
      </c>
      <c r="I182" s="18"/>
    </row>
    <row r="183" spans="1:9" x14ac:dyDescent="0.25">
      <c r="A183" s="14" t="s">
        <v>33</v>
      </c>
      <c r="B183" s="14" t="s">
        <v>200</v>
      </c>
      <c r="C183" s="16">
        <v>43249</v>
      </c>
      <c r="D183" s="16" t="s">
        <v>194</v>
      </c>
      <c r="E183" s="14" t="s">
        <v>152</v>
      </c>
      <c r="F183" s="17">
        <v>6</v>
      </c>
      <c r="G183" s="14" t="s">
        <v>35</v>
      </c>
      <c r="H183" s="17">
        <f t="shared" si="5"/>
        <v>5775.84</v>
      </c>
      <c r="I183" s="18"/>
    </row>
    <row r="184" spans="1:9" x14ac:dyDescent="0.25">
      <c r="A184" s="14" t="s">
        <v>33</v>
      </c>
      <c r="B184" s="14" t="s">
        <v>200</v>
      </c>
      <c r="C184" s="16">
        <v>43249</v>
      </c>
      <c r="D184" s="16" t="s">
        <v>194</v>
      </c>
      <c r="E184" s="14" t="s">
        <v>153</v>
      </c>
      <c r="F184" s="17">
        <v>6.18</v>
      </c>
      <c r="G184" s="14" t="s">
        <v>35</v>
      </c>
      <c r="H184" s="17">
        <f t="shared" si="5"/>
        <v>5781.84</v>
      </c>
      <c r="I184" s="18"/>
    </row>
    <row r="185" spans="1:9" x14ac:dyDescent="0.25">
      <c r="A185" s="14" t="s">
        <v>33</v>
      </c>
      <c r="B185" s="14" t="s">
        <v>200</v>
      </c>
      <c r="C185" s="16">
        <v>43249</v>
      </c>
      <c r="D185" s="16" t="s">
        <v>194</v>
      </c>
      <c r="E185" s="14" t="s">
        <v>154</v>
      </c>
      <c r="F185" s="17">
        <v>2.35</v>
      </c>
      <c r="G185" s="14" t="s">
        <v>35</v>
      </c>
      <c r="H185" s="17">
        <f t="shared" si="5"/>
        <v>5788.02</v>
      </c>
      <c r="I185" s="18"/>
    </row>
    <row r="186" spans="1:9" x14ac:dyDescent="0.25">
      <c r="A186" s="14" t="s">
        <v>33</v>
      </c>
      <c r="B186" s="14" t="s">
        <v>200</v>
      </c>
      <c r="C186" s="16">
        <v>43249</v>
      </c>
      <c r="D186" s="16" t="s">
        <v>194</v>
      </c>
      <c r="E186" s="14" t="s">
        <v>155</v>
      </c>
      <c r="F186" s="17">
        <v>5.94</v>
      </c>
      <c r="G186" s="14" t="s">
        <v>35</v>
      </c>
      <c r="H186" s="17">
        <f t="shared" si="5"/>
        <v>5790.3700000000008</v>
      </c>
      <c r="I186" s="18"/>
    </row>
    <row r="187" spans="1:9" x14ac:dyDescent="0.25">
      <c r="A187" s="20" t="s">
        <v>33</v>
      </c>
      <c r="B187" s="20" t="s">
        <v>200</v>
      </c>
      <c r="C187" s="21">
        <v>43249</v>
      </c>
      <c r="D187" s="21" t="s">
        <v>193</v>
      </c>
      <c r="E187" s="20" t="s">
        <v>156</v>
      </c>
      <c r="F187" s="22">
        <v>7.7</v>
      </c>
      <c r="G187" s="20" t="s">
        <v>35</v>
      </c>
      <c r="H187" s="22">
        <f t="shared" si="5"/>
        <v>5796.31</v>
      </c>
      <c r="I187" s="18"/>
    </row>
    <row r="188" spans="1:9" x14ac:dyDescent="0.25">
      <c r="A188" s="14" t="s">
        <v>33</v>
      </c>
      <c r="B188" s="14" t="s">
        <v>200</v>
      </c>
      <c r="C188" s="16">
        <v>43249</v>
      </c>
      <c r="D188" s="16" t="s">
        <v>194</v>
      </c>
      <c r="E188" s="14" t="s">
        <v>157</v>
      </c>
      <c r="F188" s="17">
        <v>7</v>
      </c>
      <c r="G188" s="14" t="s">
        <v>35</v>
      </c>
      <c r="H188" s="17">
        <f t="shared" si="5"/>
        <v>5804.01</v>
      </c>
      <c r="I188" s="18"/>
    </row>
    <row r="189" spans="1:9" x14ac:dyDescent="0.25">
      <c r="A189" s="14" t="s">
        <v>33</v>
      </c>
      <c r="B189" s="14" t="s">
        <v>200</v>
      </c>
      <c r="C189" s="16">
        <v>43249</v>
      </c>
      <c r="D189" s="16" t="s">
        <v>194</v>
      </c>
      <c r="E189" s="14" t="s">
        <v>158</v>
      </c>
      <c r="F189" s="17">
        <v>11.88</v>
      </c>
      <c r="G189" s="14" t="s">
        <v>35</v>
      </c>
      <c r="H189" s="17">
        <f t="shared" si="5"/>
        <v>5811.01</v>
      </c>
      <c r="I189" s="18"/>
    </row>
    <row r="190" spans="1:9" x14ac:dyDescent="0.25">
      <c r="A190" s="14" t="s">
        <v>33</v>
      </c>
      <c r="B190" s="14" t="s">
        <v>200</v>
      </c>
      <c r="C190" s="16">
        <v>43249</v>
      </c>
      <c r="D190" s="16" t="s">
        <v>194</v>
      </c>
      <c r="E190" s="14" t="s">
        <v>152</v>
      </c>
      <c r="F190" s="17">
        <v>6.4</v>
      </c>
      <c r="G190" s="14" t="s">
        <v>35</v>
      </c>
      <c r="H190" s="17">
        <f t="shared" si="5"/>
        <v>5822.89</v>
      </c>
      <c r="I190" s="18"/>
    </row>
    <row r="191" spans="1:9" x14ac:dyDescent="0.25">
      <c r="A191" s="14" t="s">
        <v>33</v>
      </c>
      <c r="B191" s="14" t="s">
        <v>200</v>
      </c>
      <c r="C191" s="16">
        <v>43249</v>
      </c>
      <c r="D191" s="16" t="s">
        <v>194</v>
      </c>
      <c r="E191" s="14" t="s">
        <v>153</v>
      </c>
      <c r="F191" s="17">
        <v>12</v>
      </c>
      <c r="G191" s="14" t="s">
        <v>35</v>
      </c>
      <c r="H191" s="17">
        <f t="shared" si="5"/>
        <v>5829.29</v>
      </c>
      <c r="I191" s="18"/>
    </row>
    <row r="192" spans="1:9" x14ac:dyDescent="0.25">
      <c r="A192" s="14" t="s">
        <v>33</v>
      </c>
      <c r="B192" s="14" t="s">
        <v>200</v>
      </c>
      <c r="C192" s="16">
        <v>43249</v>
      </c>
      <c r="D192" s="16" t="s">
        <v>194</v>
      </c>
      <c r="E192" s="14" t="s">
        <v>159</v>
      </c>
      <c r="F192" s="17">
        <v>23</v>
      </c>
      <c r="G192" s="14" t="s">
        <v>35</v>
      </c>
      <c r="H192" s="17">
        <f t="shared" si="5"/>
        <v>5841.29</v>
      </c>
      <c r="I192" s="18"/>
    </row>
    <row r="193" spans="1:9" x14ac:dyDescent="0.25">
      <c r="A193" s="14" t="s">
        <v>33</v>
      </c>
      <c r="B193" s="14" t="s">
        <v>200</v>
      </c>
      <c r="C193" s="16">
        <v>43249</v>
      </c>
      <c r="D193" s="16" t="s">
        <v>194</v>
      </c>
      <c r="E193" s="14" t="s">
        <v>160</v>
      </c>
      <c r="F193" s="17">
        <v>3.66</v>
      </c>
      <c r="G193" s="14" t="s">
        <v>35</v>
      </c>
      <c r="H193" s="17">
        <f t="shared" si="5"/>
        <v>5864.29</v>
      </c>
      <c r="I193" s="18"/>
    </row>
    <row r="194" spans="1:9" x14ac:dyDescent="0.25">
      <c r="A194" s="14" t="s">
        <v>33</v>
      </c>
      <c r="B194" s="14" t="s">
        <v>200</v>
      </c>
      <c r="C194" s="16">
        <v>43249</v>
      </c>
      <c r="D194" s="16" t="s">
        <v>194</v>
      </c>
      <c r="E194" s="14" t="s">
        <v>161</v>
      </c>
      <c r="F194" s="17">
        <v>20</v>
      </c>
      <c r="G194" s="14" t="s">
        <v>35</v>
      </c>
      <c r="H194" s="17">
        <f t="shared" si="5"/>
        <v>5867.95</v>
      </c>
      <c r="I194" s="18"/>
    </row>
    <row r="195" spans="1:9" x14ac:dyDescent="0.25">
      <c r="A195" s="14" t="s">
        <v>33</v>
      </c>
      <c r="B195" s="14" t="s">
        <v>200</v>
      </c>
      <c r="C195" s="16">
        <v>43249</v>
      </c>
      <c r="D195" s="16" t="s">
        <v>194</v>
      </c>
      <c r="E195" s="14" t="s">
        <v>162</v>
      </c>
      <c r="F195" s="17">
        <v>3.25</v>
      </c>
      <c r="G195" s="14" t="s">
        <v>35</v>
      </c>
      <c r="H195" s="17">
        <f t="shared" si="5"/>
        <v>5887.95</v>
      </c>
      <c r="I195" s="18"/>
    </row>
    <row r="196" spans="1:9" x14ac:dyDescent="0.25">
      <c r="A196" s="14" t="s">
        <v>33</v>
      </c>
      <c r="B196" s="14" t="s">
        <v>200</v>
      </c>
      <c r="C196" s="16">
        <v>43249</v>
      </c>
      <c r="D196" s="16" t="s">
        <v>194</v>
      </c>
      <c r="E196" s="14" t="s">
        <v>152</v>
      </c>
      <c r="F196" s="17">
        <v>6.4</v>
      </c>
      <c r="G196" s="14" t="s">
        <v>35</v>
      </c>
      <c r="H196" s="17">
        <f t="shared" si="5"/>
        <v>5891.2</v>
      </c>
      <c r="I196" s="18"/>
    </row>
    <row r="197" spans="1:9" x14ac:dyDescent="0.25">
      <c r="A197" s="14" t="s">
        <v>33</v>
      </c>
      <c r="B197" s="14" t="s">
        <v>200</v>
      </c>
      <c r="C197" s="16">
        <v>43249</v>
      </c>
      <c r="D197" s="16" t="s">
        <v>194</v>
      </c>
      <c r="E197" s="14" t="s">
        <v>150</v>
      </c>
      <c r="F197" s="17">
        <v>10.75</v>
      </c>
      <c r="G197" s="14" t="s">
        <v>35</v>
      </c>
      <c r="H197" s="17">
        <f t="shared" si="5"/>
        <v>5897.5999999999995</v>
      </c>
      <c r="I197" s="18"/>
    </row>
    <row r="198" spans="1:9" x14ac:dyDescent="0.25">
      <c r="A198" s="14" t="s">
        <v>33</v>
      </c>
      <c r="B198" s="14" t="s">
        <v>200</v>
      </c>
      <c r="C198" s="16">
        <v>43249</v>
      </c>
      <c r="D198" s="16" t="s">
        <v>194</v>
      </c>
      <c r="E198" s="14" t="s">
        <v>162</v>
      </c>
      <c r="F198" s="17">
        <v>6.5</v>
      </c>
      <c r="G198" s="14" t="s">
        <v>35</v>
      </c>
      <c r="H198" s="17">
        <f t="shared" si="5"/>
        <v>5908.3499999999995</v>
      </c>
      <c r="I198" s="18"/>
    </row>
    <row r="199" spans="1:9" x14ac:dyDescent="0.25">
      <c r="A199" s="14" t="s">
        <v>33</v>
      </c>
      <c r="B199" s="14" t="s">
        <v>200</v>
      </c>
      <c r="C199" s="16">
        <v>43249</v>
      </c>
      <c r="D199" s="16" t="s">
        <v>194</v>
      </c>
      <c r="E199" s="14" t="s">
        <v>152</v>
      </c>
      <c r="F199" s="17">
        <v>6</v>
      </c>
      <c r="G199" s="14" t="s">
        <v>35</v>
      </c>
      <c r="H199" s="17">
        <f t="shared" si="5"/>
        <v>5914.8499999999995</v>
      </c>
      <c r="I199" s="18"/>
    </row>
    <row r="200" spans="1:9" x14ac:dyDescent="0.25">
      <c r="A200" s="14" t="s">
        <v>33</v>
      </c>
      <c r="B200" s="14" t="s">
        <v>200</v>
      </c>
      <c r="C200" s="16">
        <v>43249</v>
      </c>
      <c r="D200" s="16" t="s">
        <v>194</v>
      </c>
      <c r="E200" s="14" t="s">
        <v>163</v>
      </c>
      <c r="F200" s="17">
        <v>8.9700000000000006</v>
      </c>
      <c r="G200" s="14" t="s">
        <v>35</v>
      </c>
      <c r="H200" s="17">
        <f t="shared" si="5"/>
        <v>5920.8499999999995</v>
      </c>
      <c r="I200" s="18"/>
    </row>
    <row r="201" spans="1:9" x14ac:dyDescent="0.25">
      <c r="A201" s="14" t="s">
        <v>33</v>
      </c>
      <c r="B201" s="14" t="s">
        <v>200</v>
      </c>
      <c r="C201" s="16">
        <v>43249</v>
      </c>
      <c r="D201" s="16" t="s">
        <v>194</v>
      </c>
      <c r="E201" s="14" t="s">
        <v>164</v>
      </c>
      <c r="F201" s="17">
        <v>3.5</v>
      </c>
      <c r="G201" s="14" t="s">
        <v>35</v>
      </c>
      <c r="H201" s="17">
        <f t="shared" si="5"/>
        <v>5929.82</v>
      </c>
      <c r="I201" s="18"/>
    </row>
    <row r="202" spans="1:9" x14ac:dyDescent="0.25">
      <c r="A202" s="41" t="s">
        <v>33</v>
      </c>
      <c r="B202" s="42" t="s">
        <v>200</v>
      </c>
      <c r="C202" s="43">
        <v>43246</v>
      </c>
      <c r="D202" s="43" t="s">
        <v>193</v>
      </c>
      <c r="E202" s="42" t="s">
        <v>165</v>
      </c>
      <c r="F202" s="44">
        <f>862.95-287.65</f>
        <v>575.30000000000007</v>
      </c>
      <c r="G202" s="42" t="s">
        <v>35</v>
      </c>
      <c r="H202" s="45">
        <f>H204-F202</f>
        <v>5933.32</v>
      </c>
      <c r="I202" s="18" t="s">
        <v>217</v>
      </c>
    </row>
    <row r="203" spans="1:9" x14ac:dyDescent="0.25">
      <c r="A203" s="34" t="s">
        <v>33</v>
      </c>
      <c r="B203" s="35" t="s">
        <v>200</v>
      </c>
      <c r="C203" s="36">
        <v>43246</v>
      </c>
      <c r="D203" s="36" t="s">
        <v>194</v>
      </c>
      <c r="E203" s="35" t="s">
        <v>165</v>
      </c>
      <c r="F203" s="37">
        <v>287.64999999999998</v>
      </c>
      <c r="G203" s="35" t="s">
        <v>35</v>
      </c>
      <c r="H203" s="38">
        <v>5645.67</v>
      </c>
      <c r="I203" s="18"/>
    </row>
    <row r="204" spans="1:9" x14ac:dyDescent="0.25">
      <c r="A204" s="20" t="s">
        <v>33</v>
      </c>
      <c r="B204" s="20" t="s">
        <v>200</v>
      </c>
      <c r="C204" s="21">
        <v>43246</v>
      </c>
      <c r="D204" s="21" t="s">
        <v>193</v>
      </c>
      <c r="E204" s="62" t="s">
        <v>166</v>
      </c>
      <c r="F204" s="63">
        <v>19.809999999999999</v>
      </c>
      <c r="G204" s="62" t="s">
        <v>35</v>
      </c>
      <c r="H204" s="63">
        <f t="shared" si="5"/>
        <v>6508.62</v>
      </c>
      <c r="I204" s="18"/>
    </row>
    <row r="205" spans="1:9" x14ac:dyDescent="0.25">
      <c r="A205" s="20" t="s">
        <v>33</v>
      </c>
      <c r="B205" s="20" t="s">
        <v>200</v>
      </c>
      <c r="C205" s="21">
        <v>43246</v>
      </c>
      <c r="D205" s="21" t="s">
        <v>193</v>
      </c>
      <c r="E205" s="62" t="s">
        <v>166</v>
      </c>
      <c r="F205" s="63">
        <v>19.75</v>
      </c>
      <c r="G205" s="62" t="s">
        <v>35</v>
      </c>
      <c r="H205" s="63">
        <f t="shared" si="5"/>
        <v>6528.43</v>
      </c>
      <c r="I205" s="18"/>
    </row>
    <row r="206" spans="1:9" x14ac:dyDescent="0.25">
      <c r="A206" s="20" t="s">
        <v>33</v>
      </c>
      <c r="B206" s="20" t="s">
        <v>200</v>
      </c>
      <c r="C206" s="21">
        <v>43246</v>
      </c>
      <c r="D206" s="21" t="s">
        <v>193</v>
      </c>
      <c r="E206" s="20" t="s">
        <v>165</v>
      </c>
      <c r="F206" s="22">
        <v>13.99</v>
      </c>
      <c r="G206" s="20" t="s">
        <v>35</v>
      </c>
      <c r="H206" s="22">
        <f t="shared" si="5"/>
        <v>6548.18</v>
      </c>
      <c r="I206" s="18"/>
    </row>
    <row r="207" spans="1:9" x14ac:dyDescent="0.25">
      <c r="A207" s="20" t="s">
        <v>33</v>
      </c>
      <c r="B207" s="20" t="s">
        <v>200</v>
      </c>
      <c r="C207" s="21">
        <v>43246</v>
      </c>
      <c r="D207" s="21" t="s">
        <v>193</v>
      </c>
      <c r="E207" s="62" t="s">
        <v>166</v>
      </c>
      <c r="F207" s="63">
        <v>12.38</v>
      </c>
      <c r="G207" s="62" t="s">
        <v>35</v>
      </c>
      <c r="H207" s="63">
        <f t="shared" si="5"/>
        <v>6562.17</v>
      </c>
      <c r="I207" s="18"/>
    </row>
    <row r="208" spans="1:9" x14ac:dyDescent="0.25">
      <c r="A208" s="20" t="s">
        <v>33</v>
      </c>
      <c r="B208" s="20" t="s">
        <v>200</v>
      </c>
      <c r="C208" s="21">
        <v>43246</v>
      </c>
      <c r="D208" s="21" t="s">
        <v>193</v>
      </c>
      <c r="E208" s="62" t="s">
        <v>167</v>
      </c>
      <c r="F208" s="63">
        <v>12</v>
      </c>
      <c r="G208" s="62" t="s">
        <v>35</v>
      </c>
      <c r="H208" s="63">
        <f t="shared" si="5"/>
        <v>6574.55</v>
      </c>
      <c r="I208" s="18" t="s">
        <v>222</v>
      </c>
    </row>
    <row r="209" spans="1:9" x14ac:dyDescent="0.25">
      <c r="A209" s="20" t="s">
        <v>33</v>
      </c>
      <c r="B209" s="20" t="s">
        <v>200</v>
      </c>
      <c r="C209" s="21">
        <v>43246</v>
      </c>
      <c r="D209" s="21" t="s">
        <v>193</v>
      </c>
      <c r="E209" s="20" t="s">
        <v>166</v>
      </c>
      <c r="F209" s="22">
        <v>11.36</v>
      </c>
      <c r="G209" s="20" t="s">
        <v>35</v>
      </c>
      <c r="H209" s="22">
        <f t="shared" si="5"/>
        <v>6586.55</v>
      </c>
      <c r="I209" s="18"/>
    </row>
    <row r="210" spans="1:9" x14ac:dyDescent="0.25">
      <c r="A210" s="20" t="s">
        <v>33</v>
      </c>
      <c r="B210" s="20" t="s">
        <v>200</v>
      </c>
      <c r="C210" s="21">
        <v>43246</v>
      </c>
      <c r="D210" s="21" t="s">
        <v>193</v>
      </c>
      <c r="E210" s="62" t="s">
        <v>166</v>
      </c>
      <c r="F210" s="63">
        <v>8.59</v>
      </c>
      <c r="G210" s="20" t="s">
        <v>35</v>
      </c>
      <c r="H210" s="22">
        <f t="shared" si="5"/>
        <v>6597.91</v>
      </c>
      <c r="I210" s="18" t="s">
        <v>217</v>
      </c>
    </row>
    <row r="211" spans="1:9" x14ac:dyDescent="0.25">
      <c r="A211" s="20" t="s">
        <v>33</v>
      </c>
      <c r="B211" s="20" t="s">
        <v>200</v>
      </c>
      <c r="C211" s="21">
        <v>43246</v>
      </c>
      <c r="D211" s="21" t="s">
        <v>193</v>
      </c>
      <c r="E211" s="62" t="s">
        <v>166</v>
      </c>
      <c r="F211" s="63">
        <v>7.27</v>
      </c>
      <c r="G211" s="20" t="s">
        <v>35</v>
      </c>
      <c r="H211" s="22">
        <f t="shared" si="5"/>
        <v>6606.5</v>
      </c>
      <c r="I211" s="18" t="s">
        <v>217</v>
      </c>
    </row>
    <row r="212" spans="1:9" x14ac:dyDescent="0.25">
      <c r="A212" s="20" t="s">
        <v>33</v>
      </c>
      <c r="B212" s="20" t="s">
        <v>200</v>
      </c>
      <c r="C212" s="21">
        <v>43246</v>
      </c>
      <c r="D212" s="21" t="s">
        <v>193</v>
      </c>
      <c r="E212" s="20" t="s">
        <v>168</v>
      </c>
      <c r="F212" s="22">
        <v>6.07</v>
      </c>
      <c r="G212" s="20" t="s">
        <v>35</v>
      </c>
      <c r="H212" s="22">
        <f t="shared" si="5"/>
        <v>6613.77</v>
      </c>
      <c r="I212" s="18" t="s">
        <v>217</v>
      </c>
    </row>
    <row r="213" spans="1:9" x14ac:dyDescent="0.25">
      <c r="A213" s="20" t="s">
        <v>33</v>
      </c>
      <c r="B213" s="20" t="s">
        <v>200</v>
      </c>
      <c r="C213" s="21">
        <v>43246</v>
      </c>
      <c r="D213" s="21" t="s">
        <v>193</v>
      </c>
      <c r="E213" s="20" t="s">
        <v>169</v>
      </c>
      <c r="F213" s="19">
        <v>5</v>
      </c>
      <c r="G213" s="20" t="s">
        <v>35</v>
      </c>
      <c r="H213" s="22">
        <f t="shared" si="5"/>
        <v>6619.84</v>
      </c>
      <c r="I213" s="18"/>
    </row>
    <row r="214" spans="1:9" x14ac:dyDescent="0.25">
      <c r="A214" s="14" t="s">
        <v>33</v>
      </c>
      <c r="B214" s="14" t="s">
        <v>200</v>
      </c>
      <c r="C214" s="16">
        <v>43246</v>
      </c>
      <c r="D214" s="16" t="s">
        <v>194</v>
      </c>
      <c r="E214" s="14" t="s">
        <v>170</v>
      </c>
      <c r="F214" s="17">
        <v>4.09</v>
      </c>
      <c r="G214" s="14" t="s">
        <v>35</v>
      </c>
      <c r="H214" s="17">
        <f t="shared" si="5"/>
        <v>6624.84</v>
      </c>
      <c r="I214" s="18" t="s">
        <v>223</v>
      </c>
    </row>
    <row r="215" spans="1:9" x14ac:dyDescent="0.25">
      <c r="A215" s="20" t="s">
        <v>33</v>
      </c>
      <c r="B215" s="20" t="s">
        <v>200</v>
      </c>
      <c r="C215" s="21">
        <v>43246</v>
      </c>
      <c r="D215" s="21" t="s">
        <v>193</v>
      </c>
      <c r="E215" s="62" t="s">
        <v>166</v>
      </c>
      <c r="F215" s="63">
        <v>2</v>
      </c>
      <c r="G215" s="20" t="s">
        <v>35</v>
      </c>
      <c r="H215" s="22">
        <f t="shared" si="5"/>
        <v>6628.93</v>
      </c>
      <c r="I215" s="18" t="s">
        <v>217</v>
      </c>
    </row>
    <row r="216" spans="1:9" x14ac:dyDescent="0.25">
      <c r="A216" s="20" t="s">
        <v>33</v>
      </c>
      <c r="B216" s="20" t="s">
        <v>200</v>
      </c>
      <c r="C216" s="21">
        <v>43246</v>
      </c>
      <c r="D216" s="21" t="s">
        <v>193</v>
      </c>
      <c r="E216" s="62" t="s">
        <v>166</v>
      </c>
      <c r="F216" s="63">
        <v>2</v>
      </c>
      <c r="G216" s="20" t="s">
        <v>35</v>
      </c>
      <c r="H216" s="22">
        <f t="shared" si="5"/>
        <v>6630.93</v>
      </c>
      <c r="I216" s="18" t="s">
        <v>217</v>
      </c>
    </row>
    <row r="217" spans="1:9" x14ac:dyDescent="0.25">
      <c r="A217" s="20" t="s">
        <v>33</v>
      </c>
      <c r="B217" s="20" t="s">
        <v>200</v>
      </c>
      <c r="C217" s="21">
        <v>43246</v>
      </c>
      <c r="D217" s="21" t="s">
        <v>193</v>
      </c>
      <c r="E217" s="62" t="s">
        <v>166</v>
      </c>
      <c r="F217" s="63">
        <v>2</v>
      </c>
      <c r="G217" s="20" t="s">
        <v>35</v>
      </c>
      <c r="H217" s="22">
        <f t="shared" si="5"/>
        <v>6632.93</v>
      </c>
      <c r="I217" s="18" t="s">
        <v>217</v>
      </c>
    </row>
    <row r="218" spans="1:9" x14ac:dyDescent="0.25">
      <c r="A218" s="20" t="s">
        <v>33</v>
      </c>
      <c r="B218" s="20" t="s">
        <v>200</v>
      </c>
      <c r="C218" s="21">
        <v>43246</v>
      </c>
      <c r="D218" s="21" t="s">
        <v>193</v>
      </c>
      <c r="E218" s="62" t="s">
        <v>166</v>
      </c>
      <c r="F218" s="63">
        <v>2</v>
      </c>
      <c r="G218" s="20" t="s">
        <v>35</v>
      </c>
      <c r="H218" s="22">
        <f t="shared" si="5"/>
        <v>6634.93</v>
      </c>
      <c r="I218" s="18" t="s">
        <v>217</v>
      </c>
    </row>
    <row r="219" spans="1:9" x14ac:dyDescent="0.25">
      <c r="A219" s="20" t="s">
        <v>33</v>
      </c>
      <c r="B219" s="20" t="s">
        <v>200</v>
      </c>
      <c r="C219" s="21">
        <v>43246</v>
      </c>
      <c r="D219" s="21" t="s">
        <v>193</v>
      </c>
      <c r="E219" s="20" t="s">
        <v>168</v>
      </c>
      <c r="F219" s="22">
        <v>1.98</v>
      </c>
      <c r="G219" s="20" t="s">
        <v>35</v>
      </c>
      <c r="H219" s="22">
        <f>H220-F219</f>
        <v>6636.93</v>
      </c>
      <c r="I219" s="18" t="s">
        <v>217</v>
      </c>
    </row>
    <row r="220" spans="1:9" x14ac:dyDescent="0.25">
      <c r="A220" s="20" t="s">
        <v>33</v>
      </c>
      <c r="B220" s="20" t="s">
        <v>200</v>
      </c>
      <c r="C220" s="21">
        <v>43245</v>
      </c>
      <c r="D220" s="21" t="s">
        <v>193</v>
      </c>
      <c r="E220" s="20" t="s">
        <v>171</v>
      </c>
      <c r="F220" s="22">
        <v>41.23</v>
      </c>
      <c r="G220" s="20" t="s">
        <v>46</v>
      </c>
      <c r="H220" s="22">
        <v>6638.91</v>
      </c>
      <c r="I220" s="18" t="s">
        <v>217</v>
      </c>
    </row>
    <row r="221" spans="1:9" x14ac:dyDescent="0.25">
      <c r="A221" s="20" t="s">
        <v>33</v>
      </c>
      <c r="B221" s="20" t="s">
        <v>200</v>
      </c>
      <c r="C221" s="21">
        <v>43245</v>
      </c>
      <c r="D221" s="21" t="s">
        <v>193</v>
      </c>
      <c r="E221" s="20" t="s">
        <v>172</v>
      </c>
      <c r="F221" s="22">
        <v>1.7</v>
      </c>
      <c r="G221" s="20" t="s">
        <v>46</v>
      </c>
      <c r="H221" s="22">
        <v>6680.14</v>
      </c>
      <c r="I221" s="18" t="s">
        <v>217</v>
      </c>
    </row>
    <row r="222" spans="1:9" x14ac:dyDescent="0.25">
      <c r="A222" s="20" t="s">
        <v>33</v>
      </c>
      <c r="B222" s="20" t="s">
        <v>200</v>
      </c>
      <c r="C222" s="21">
        <v>43245</v>
      </c>
      <c r="D222" s="21" t="s">
        <v>193</v>
      </c>
      <c r="E222" s="20" t="s">
        <v>172</v>
      </c>
      <c r="F222" s="22">
        <v>5.61</v>
      </c>
      <c r="G222" s="20" t="s">
        <v>46</v>
      </c>
      <c r="H222" s="22">
        <v>6681.84</v>
      </c>
      <c r="I222" s="18" t="s">
        <v>217</v>
      </c>
    </row>
    <row r="223" spans="1:9" x14ac:dyDescent="0.25">
      <c r="A223" s="20" t="s">
        <v>33</v>
      </c>
      <c r="B223" s="20" t="s">
        <v>200</v>
      </c>
      <c r="C223" s="21">
        <v>43245</v>
      </c>
      <c r="D223" s="21" t="s">
        <v>193</v>
      </c>
      <c r="E223" s="62" t="s">
        <v>173</v>
      </c>
      <c r="F223" s="63">
        <v>2</v>
      </c>
      <c r="G223" s="62" t="s">
        <v>46</v>
      </c>
      <c r="H223" s="63">
        <v>6687.45</v>
      </c>
      <c r="I223" s="65" t="s">
        <v>221</v>
      </c>
    </row>
    <row r="224" spans="1:9" x14ac:dyDescent="0.25">
      <c r="A224" s="20" t="s">
        <v>33</v>
      </c>
      <c r="B224" s="20" t="s">
        <v>200</v>
      </c>
      <c r="C224" s="21">
        <v>43245</v>
      </c>
      <c r="D224" s="21" t="s">
        <v>193</v>
      </c>
      <c r="E224" s="62" t="s">
        <v>173</v>
      </c>
      <c r="F224" s="63">
        <v>19.48</v>
      </c>
      <c r="G224" s="62" t="s">
        <v>46</v>
      </c>
      <c r="H224" s="63">
        <v>6689.45</v>
      </c>
      <c r="I224" s="65" t="s">
        <v>221</v>
      </c>
    </row>
    <row r="225" spans="1:9" x14ac:dyDescent="0.25">
      <c r="A225" s="20" t="s">
        <v>33</v>
      </c>
      <c r="B225" s="20" t="s">
        <v>200</v>
      </c>
      <c r="C225" s="21">
        <v>43245</v>
      </c>
      <c r="D225" s="21" t="s">
        <v>193</v>
      </c>
      <c r="E225" s="20" t="s">
        <v>174</v>
      </c>
      <c r="F225" s="22">
        <v>16.09</v>
      </c>
      <c r="G225" s="20" t="s">
        <v>46</v>
      </c>
      <c r="H225" s="22">
        <v>6708.93</v>
      </c>
      <c r="I225" s="18" t="s">
        <v>217</v>
      </c>
    </row>
    <row r="226" spans="1:9" x14ac:dyDescent="0.25">
      <c r="A226" s="20" t="s">
        <v>33</v>
      </c>
      <c r="B226" s="20" t="s">
        <v>200</v>
      </c>
      <c r="C226" s="21">
        <v>43245</v>
      </c>
      <c r="D226" s="21" t="s">
        <v>193</v>
      </c>
      <c r="E226" s="20" t="s">
        <v>175</v>
      </c>
      <c r="F226" s="22">
        <v>575.29999999999995</v>
      </c>
      <c r="G226" s="20" t="s">
        <v>46</v>
      </c>
      <c r="H226" s="22">
        <v>6725.02</v>
      </c>
      <c r="I226" s="18" t="s">
        <v>217</v>
      </c>
    </row>
    <row r="227" spans="1:9" x14ac:dyDescent="0.25">
      <c r="A227" s="20" t="s">
        <v>33</v>
      </c>
      <c r="B227" s="20" t="s">
        <v>200</v>
      </c>
      <c r="C227" s="21">
        <v>43244</v>
      </c>
      <c r="D227" s="21" t="s">
        <v>193</v>
      </c>
      <c r="E227" s="20" t="s">
        <v>176</v>
      </c>
      <c r="F227" s="22">
        <v>33.43</v>
      </c>
      <c r="G227" s="20" t="s">
        <v>46</v>
      </c>
      <c r="H227" s="22">
        <v>7300.32</v>
      </c>
      <c r="I227" s="18" t="s">
        <v>217</v>
      </c>
    </row>
    <row r="228" spans="1:9" x14ac:dyDescent="0.25">
      <c r="A228" s="20" t="s">
        <v>33</v>
      </c>
      <c r="B228" s="20" t="s">
        <v>200</v>
      </c>
      <c r="C228" s="21">
        <v>43244</v>
      </c>
      <c r="D228" s="21" t="s">
        <v>193</v>
      </c>
      <c r="E228" s="62" t="s">
        <v>177</v>
      </c>
      <c r="F228" s="63">
        <v>5</v>
      </c>
      <c r="G228" s="62" t="s">
        <v>46</v>
      </c>
      <c r="H228" s="63">
        <v>7333.75</v>
      </c>
      <c r="I228" s="65" t="s">
        <v>220</v>
      </c>
    </row>
    <row r="229" spans="1:9" x14ac:dyDescent="0.25">
      <c r="A229" s="20" t="s">
        <v>33</v>
      </c>
      <c r="B229" s="20" t="s">
        <v>200</v>
      </c>
      <c r="C229" s="21">
        <v>43244</v>
      </c>
      <c r="D229" s="21" t="s">
        <v>193</v>
      </c>
      <c r="E229" s="62" t="s">
        <v>177</v>
      </c>
      <c r="F229" s="63">
        <v>20.41</v>
      </c>
      <c r="G229" s="62" t="s">
        <v>46</v>
      </c>
      <c r="H229" s="63">
        <v>7338.75</v>
      </c>
      <c r="I229" s="65" t="s">
        <v>220</v>
      </c>
    </row>
    <row r="230" spans="1:9" x14ac:dyDescent="0.25">
      <c r="A230" s="20" t="s">
        <v>33</v>
      </c>
      <c r="B230" s="20" t="s">
        <v>200</v>
      </c>
      <c r="C230" s="21">
        <v>43244</v>
      </c>
      <c r="D230" s="21" t="s">
        <v>193</v>
      </c>
      <c r="E230" s="20" t="s">
        <v>178</v>
      </c>
      <c r="F230" s="22">
        <v>1.7</v>
      </c>
      <c r="G230" s="20" t="s">
        <v>46</v>
      </c>
      <c r="H230" s="22">
        <v>7359.16</v>
      </c>
      <c r="I230" s="18" t="s">
        <v>216</v>
      </c>
    </row>
    <row r="231" spans="1:9" x14ac:dyDescent="0.25">
      <c r="A231" s="14" t="s">
        <v>33</v>
      </c>
      <c r="B231" s="14" t="s">
        <v>200</v>
      </c>
      <c r="C231" s="16">
        <v>43244</v>
      </c>
      <c r="D231" s="16" t="s">
        <v>194</v>
      </c>
      <c r="E231" s="14" t="s">
        <v>179</v>
      </c>
      <c r="F231" s="17">
        <v>3</v>
      </c>
      <c r="G231" s="14" t="s">
        <v>46</v>
      </c>
      <c r="H231" s="17">
        <v>7360.86</v>
      </c>
      <c r="I231" s="18"/>
    </row>
    <row r="232" spans="1:9" x14ac:dyDescent="0.25">
      <c r="A232" s="20" t="s">
        <v>33</v>
      </c>
      <c r="B232" s="20" t="s">
        <v>200</v>
      </c>
      <c r="C232" s="21">
        <v>43244</v>
      </c>
      <c r="D232" s="21" t="s">
        <v>193</v>
      </c>
      <c r="E232" s="20" t="s">
        <v>178</v>
      </c>
      <c r="F232" s="22">
        <v>14.59</v>
      </c>
      <c r="G232" s="20" t="s">
        <v>46</v>
      </c>
      <c r="H232" s="22">
        <v>7363.86</v>
      </c>
      <c r="I232" s="18" t="s">
        <v>216</v>
      </c>
    </row>
    <row r="233" spans="1:9" x14ac:dyDescent="0.25">
      <c r="A233" s="20" t="s">
        <v>33</v>
      </c>
      <c r="B233" s="20" t="s">
        <v>200</v>
      </c>
      <c r="C233" s="21">
        <v>43244</v>
      </c>
      <c r="D233" s="21" t="s">
        <v>193</v>
      </c>
      <c r="E233" s="62" t="s">
        <v>180</v>
      </c>
      <c r="F233" s="63">
        <v>19.05</v>
      </c>
      <c r="G233" s="62" t="s">
        <v>46</v>
      </c>
      <c r="H233" s="63">
        <v>7378.45</v>
      </c>
      <c r="I233" s="65" t="s">
        <v>219</v>
      </c>
    </row>
    <row r="234" spans="1:9" x14ac:dyDescent="0.25">
      <c r="A234" s="20" t="s">
        <v>33</v>
      </c>
      <c r="B234" s="20" t="s">
        <v>200</v>
      </c>
      <c r="C234" s="21">
        <v>43244</v>
      </c>
      <c r="D234" s="21" t="s">
        <v>193</v>
      </c>
      <c r="E234" s="20" t="s">
        <v>181</v>
      </c>
      <c r="F234" s="22">
        <v>16.489999999999998</v>
      </c>
      <c r="G234" s="20" t="s">
        <v>46</v>
      </c>
      <c r="H234" s="22">
        <v>7397.5</v>
      </c>
      <c r="I234" s="18" t="s">
        <v>217</v>
      </c>
    </row>
    <row r="235" spans="1:9" x14ac:dyDescent="0.25">
      <c r="A235" s="20" t="s">
        <v>33</v>
      </c>
      <c r="B235" s="20" t="s">
        <v>200</v>
      </c>
      <c r="C235" s="21">
        <v>43244</v>
      </c>
      <c r="D235" s="21" t="s">
        <v>193</v>
      </c>
      <c r="E235" s="62" t="s">
        <v>182</v>
      </c>
      <c r="F235" s="63">
        <v>10.81</v>
      </c>
      <c r="G235" s="62" t="s">
        <v>46</v>
      </c>
      <c r="H235" s="63">
        <v>7413.99</v>
      </c>
      <c r="I235" s="65" t="s">
        <v>218</v>
      </c>
    </row>
    <row r="236" spans="1:9" x14ac:dyDescent="0.25">
      <c r="A236" s="20" t="s">
        <v>33</v>
      </c>
      <c r="B236" s="20" t="s">
        <v>200</v>
      </c>
      <c r="C236" s="21">
        <v>43244</v>
      </c>
      <c r="D236" s="21" t="s">
        <v>193</v>
      </c>
      <c r="E236" s="62" t="s">
        <v>183</v>
      </c>
      <c r="F236" s="63">
        <v>8.16</v>
      </c>
      <c r="G236" s="62" t="s">
        <v>46</v>
      </c>
      <c r="H236" s="63">
        <v>7424.8</v>
      </c>
      <c r="I236" s="65" t="s">
        <v>218</v>
      </c>
    </row>
    <row r="237" spans="1:9" x14ac:dyDescent="0.25">
      <c r="A237" t="s">
        <v>33</v>
      </c>
      <c r="B237" t="s">
        <v>200</v>
      </c>
      <c r="C237" s="3">
        <v>43243</v>
      </c>
      <c r="D237" s="3" t="s">
        <v>20</v>
      </c>
      <c r="E237" t="s">
        <v>184</v>
      </c>
      <c r="F237" s="5">
        <v>14.99</v>
      </c>
      <c r="G237" t="s">
        <v>46</v>
      </c>
      <c r="H237" s="5">
        <v>7432.96</v>
      </c>
      <c r="I237" s="18" t="s">
        <v>215</v>
      </c>
    </row>
    <row r="238" spans="1:9" x14ac:dyDescent="0.25">
      <c r="A238" s="20" t="s">
        <v>33</v>
      </c>
      <c r="B238" s="20" t="s">
        <v>200</v>
      </c>
      <c r="C238" s="21">
        <v>43243</v>
      </c>
      <c r="D238" s="21" t="s">
        <v>193</v>
      </c>
      <c r="E238" s="62" t="s">
        <v>185</v>
      </c>
      <c r="F238" s="64">
        <v>5</v>
      </c>
      <c r="G238" s="62" t="s">
        <v>46</v>
      </c>
      <c r="H238" s="63">
        <v>7447.95</v>
      </c>
      <c r="I238" s="65" t="s">
        <v>218</v>
      </c>
    </row>
    <row r="239" spans="1:9" x14ac:dyDescent="0.25">
      <c r="A239" s="20" t="s">
        <v>33</v>
      </c>
      <c r="B239" s="20" t="s">
        <v>200</v>
      </c>
      <c r="C239" s="21">
        <v>43243</v>
      </c>
      <c r="D239" s="21" t="s">
        <v>193</v>
      </c>
      <c r="E239" s="62" t="s">
        <v>183</v>
      </c>
      <c r="F239" s="63">
        <v>3.61</v>
      </c>
      <c r="G239" s="62" t="s">
        <v>46</v>
      </c>
      <c r="H239" s="63">
        <v>7452.95</v>
      </c>
      <c r="I239" s="65" t="s">
        <v>218</v>
      </c>
    </row>
    <row r="240" spans="1:9" x14ac:dyDescent="0.25">
      <c r="A240" s="20" t="s">
        <v>33</v>
      </c>
      <c r="B240" s="20" t="s">
        <v>200</v>
      </c>
      <c r="C240" s="21">
        <v>43243</v>
      </c>
      <c r="D240" s="21" t="s">
        <v>193</v>
      </c>
      <c r="E240" s="62" t="s">
        <v>186</v>
      </c>
      <c r="F240" s="63">
        <v>2</v>
      </c>
      <c r="G240" s="62" t="s">
        <v>46</v>
      </c>
      <c r="H240" s="63">
        <v>7456.56</v>
      </c>
      <c r="I240" s="65" t="s">
        <v>218</v>
      </c>
    </row>
    <row r="241" spans="1:9" x14ac:dyDescent="0.25">
      <c r="A241" s="20" t="s">
        <v>33</v>
      </c>
      <c r="B241" s="20" t="s">
        <v>200</v>
      </c>
      <c r="C241" s="21">
        <v>43243</v>
      </c>
      <c r="D241" s="21" t="s">
        <v>193</v>
      </c>
      <c r="E241" s="62" t="s">
        <v>186</v>
      </c>
      <c r="F241" s="63">
        <v>15.26</v>
      </c>
      <c r="G241" s="62" t="s">
        <v>46</v>
      </c>
      <c r="H241" s="63">
        <v>7458.56</v>
      </c>
      <c r="I241" s="65" t="s">
        <v>218</v>
      </c>
    </row>
    <row r="242" spans="1:9" x14ac:dyDescent="0.25">
      <c r="A242" s="20" t="s">
        <v>33</v>
      </c>
      <c r="B242" s="20" t="s">
        <v>200</v>
      </c>
      <c r="C242" s="21">
        <v>43243</v>
      </c>
      <c r="D242" s="21" t="s">
        <v>193</v>
      </c>
      <c r="E242" s="20" t="s">
        <v>187</v>
      </c>
      <c r="F242" s="22">
        <v>18.190000000000001</v>
      </c>
      <c r="G242" s="20" t="s">
        <v>46</v>
      </c>
      <c r="H242" s="22">
        <v>7473.82</v>
      </c>
      <c r="I242" s="18" t="s">
        <v>217</v>
      </c>
    </row>
    <row r="243" spans="1:9" x14ac:dyDescent="0.25">
      <c r="A243" t="s">
        <v>33</v>
      </c>
      <c r="B243" t="s">
        <v>200</v>
      </c>
      <c r="C243" s="3">
        <v>43243</v>
      </c>
      <c r="D243" s="3" t="s">
        <v>195</v>
      </c>
      <c r="E243" t="s">
        <v>188</v>
      </c>
      <c r="F243" s="5">
        <v>6.65</v>
      </c>
      <c r="G243" t="s">
        <v>46</v>
      </c>
      <c r="H243" s="5">
        <v>7492.01</v>
      </c>
      <c r="I243" s="18"/>
    </row>
    <row r="244" spans="1:9" x14ac:dyDescent="0.25">
      <c r="A244" t="s">
        <v>33</v>
      </c>
      <c r="B244" t="s">
        <v>200</v>
      </c>
      <c r="C244" s="3">
        <v>43242</v>
      </c>
      <c r="D244" s="3" t="s">
        <v>17</v>
      </c>
      <c r="E244" t="s">
        <v>189</v>
      </c>
      <c r="F244" s="5">
        <v>33</v>
      </c>
      <c r="G244" t="s">
        <v>46</v>
      </c>
      <c r="H244" s="5">
        <v>7498.66</v>
      </c>
      <c r="I244" s="18"/>
    </row>
    <row r="245" spans="1:9" x14ac:dyDescent="0.25">
      <c r="A245" t="s">
        <v>33</v>
      </c>
      <c r="B245" t="s">
        <v>200</v>
      </c>
      <c r="C245" s="3">
        <v>43241</v>
      </c>
      <c r="D245" s="3" t="s">
        <v>20</v>
      </c>
      <c r="E245" t="s">
        <v>190</v>
      </c>
      <c r="F245" s="5">
        <v>42.78</v>
      </c>
      <c r="G245" t="s">
        <v>46</v>
      </c>
      <c r="H245" s="5">
        <v>7531.66</v>
      </c>
      <c r="I245" s="18"/>
    </row>
    <row r="246" spans="1:9" x14ac:dyDescent="0.25">
      <c r="A246" t="s">
        <v>33</v>
      </c>
      <c r="B246" t="s">
        <v>200</v>
      </c>
      <c r="C246" s="3">
        <v>43241</v>
      </c>
      <c r="D246" s="3" t="s">
        <v>20</v>
      </c>
      <c r="E246" t="s">
        <v>34</v>
      </c>
      <c r="F246" s="5">
        <v>41.38</v>
      </c>
      <c r="G246" t="s">
        <v>35</v>
      </c>
      <c r="H246" s="5">
        <v>7552.82</v>
      </c>
    </row>
    <row r="247" spans="1:9" x14ac:dyDescent="0.25">
      <c r="A247" t="s">
        <v>33</v>
      </c>
      <c r="B247" t="s">
        <v>200</v>
      </c>
      <c r="C247" s="3">
        <v>43241</v>
      </c>
      <c r="D247" s="3" t="s">
        <v>207</v>
      </c>
      <c r="E247" t="s">
        <v>36</v>
      </c>
      <c r="F247" s="5">
        <v>52.96</v>
      </c>
      <c r="G247" t="s">
        <v>35</v>
      </c>
      <c r="H247" s="5">
        <v>7594.2</v>
      </c>
    </row>
    <row r="248" spans="1:9" x14ac:dyDescent="0.25">
      <c r="A248" t="s">
        <v>33</v>
      </c>
      <c r="B248" t="s">
        <v>200</v>
      </c>
      <c r="C248" s="3">
        <v>43241</v>
      </c>
      <c r="D248" s="3" t="s">
        <v>207</v>
      </c>
      <c r="E248" t="s">
        <v>37</v>
      </c>
      <c r="F248" s="5">
        <v>5.89</v>
      </c>
      <c r="G248" t="s">
        <v>35</v>
      </c>
      <c r="H248" s="5">
        <v>7647.16</v>
      </c>
    </row>
    <row r="249" spans="1:9" x14ac:dyDescent="0.25">
      <c r="A249" t="s">
        <v>33</v>
      </c>
      <c r="B249" t="s">
        <v>200</v>
      </c>
      <c r="C249" s="3">
        <v>43241</v>
      </c>
      <c r="D249" s="3" t="s">
        <v>207</v>
      </c>
      <c r="E249" t="s">
        <v>38</v>
      </c>
      <c r="F249" s="5">
        <v>50.24</v>
      </c>
      <c r="G249" t="s">
        <v>35</v>
      </c>
      <c r="H249" s="5">
        <v>7653.05</v>
      </c>
    </row>
    <row r="250" spans="1:9" x14ac:dyDescent="0.25">
      <c r="A250" t="s">
        <v>33</v>
      </c>
      <c r="B250" t="s">
        <v>200</v>
      </c>
      <c r="C250" s="3">
        <v>43241</v>
      </c>
      <c r="D250" s="3" t="s">
        <v>17</v>
      </c>
      <c r="E250" t="s">
        <v>39</v>
      </c>
      <c r="F250" s="5">
        <v>28.62</v>
      </c>
      <c r="G250" t="s">
        <v>35</v>
      </c>
      <c r="H250" s="5">
        <v>7703.29</v>
      </c>
    </row>
    <row r="251" spans="1:9" x14ac:dyDescent="0.25">
      <c r="A251" t="s">
        <v>33</v>
      </c>
      <c r="B251" t="s">
        <v>200</v>
      </c>
      <c r="C251" s="3">
        <v>43241</v>
      </c>
      <c r="D251" s="3" t="s">
        <v>18</v>
      </c>
      <c r="E251" t="s">
        <v>40</v>
      </c>
      <c r="F251" s="5">
        <v>2.25</v>
      </c>
      <c r="G251" t="s">
        <v>35</v>
      </c>
      <c r="H251" s="5">
        <v>7731.91</v>
      </c>
    </row>
    <row r="252" spans="1:9" x14ac:dyDescent="0.25">
      <c r="A252" t="s">
        <v>33</v>
      </c>
      <c r="B252" t="s">
        <v>200</v>
      </c>
      <c r="C252" s="3">
        <v>43241</v>
      </c>
      <c r="D252" s="3" t="s">
        <v>16</v>
      </c>
      <c r="E252" t="s">
        <v>41</v>
      </c>
      <c r="F252" s="5">
        <v>30.11</v>
      </c>
      <c r="G252" t="s">
        <v>35</v>
      </c>
      <c r="H252" s="5">
        <v>7734.16</v>
      </c>
    </row>
    <row r="253" spans="1:9" x14ac:dyDescent="0.25">
      <c r="A253" t="s">
        <v>33</v>
      </c>
      <c r="B253" t="s">
        <v>200</v>
      </c>
      <c r="C253" s="3">
        <v>43241</v>
      </c>
      <c r="D253" s="3" t="s">
        <v>19</v>
      </c>
      <c r="E253" t="s">
        <v>42</v>
      </c>
      <c r="F253" s="5">
        <v>4.8499999999999996</v>
      </c>
      <c r="G253" t="s">
        <v>35</v>
      </c>
      <c r="H253" s="5">
        <v>7764.2699999999995</v>
      </c>
    </row>
    <row r="254" spans="1:9" x14ac:dyDescent="0.25">
      <c r="A254" t="s">
        <v>33</v>
      </c>
      <c r="B254" t="s">
        <v>200</v>
      </c>
      <c r="C254" s="3">
        <v>43241</v>
      </c>
      <c r="D254" s="3" t="s">
        <v>19</v>
      </c>
      <c r="E254" t="s">
        <v>43</v>
      </c>
      <c r="F254" s="5">
        <v>4.55</v>
      </c>
      <c r="G254" t="s">
        <v>35</v>
      </c>
      <c r="H254" s="5">
        <v>7769.12</v>
      </c>
    </row>
    <row r="255" spans="1:9" x14ac:dyDescent="0.25">
      <c r="A255" t="s">
        <v>33</v>
      </c>
      <c r="B255" t="s">
        <v>200</v>
      </c>
      <c r="C255" s="3">
        <v>43239</v>
      </c>
      <c r="D255" s="3" t="s">
        <v>20</v>
      </c>
      <c r="E255" t="s">
        <v>44</v>
      </c>
      <c r="F255" s="5">
        <v>28</v>
      </c>
      <c r="G255" t="s">
        <v>35</v>
      </c>
      <c r="H255" s="5">
        <v>7773.67</v>
      </c>
    </row>
    <row r="256" spans="1:9" x14ac:dyDescent="0.25">
      <c r="A256" t="s">
        <v>33</v>
      </c>
      <c r="B256" t="s">
        <v>200</v>
      </c>
      <c r="C256" s="3">
        <v>43238</v>
      </c>
      <c r="D256" s="3" t="s">
        <v>19</v>
      </c>
      <c r="E256" t="s">
        <v>45</v>
      </c>
      <c r="F256" s="5">
        <v>3.48</v>
      </c>
      <c r="G256" t="s">
        <v>46</v>
      </c>
      <c r="H256" s="5">
        <v>7801.67</v>
      </c>
    </row>
    <row r="257" spans="1:8" x14ac:dyDescent="0.25">
      <c r="A257" t="s">
        <v>33</v>
      </c>
      <c r="B257" t="s">
        <v>200</v>
      </c>
      <c r="C257" s="3">
        <v>43238</v>
      </c>
      <c r="D257" s="3" t="s">
        <v>17</v>
      </c>
      <c r="E257" t="s">
        <v>47</v>
      </c>
      <c r="F257" s="5">
        <v>27.52</v>
      </c>
      <c r="G257" t="s">
        <v>46</v>
      </c>
      <c r="H257" s="5">
        <v>7805.15</v>
      </c>
    </row>
    <row r="258" spans="1:8" x14ac:dyDescent="0.25">
      <c r="A258" t="s">
        <v>33</v>
      </c>
      <c r="B258" t="s">
        <v>200</v>
      </c>
      <c r="C258" s="3">
        <v>43238</v>
      </c>
      <c r="D258" s="3" t="s">
        <v>19</v>
      </c>
      <c r="E258" t="s">
        <v>48</v>
      </c>
      <c r="F258" s="5">
        <v>1.86</v>
      </c>
      <c r="G258" t="s">
        <v>46</v>
      </c>
      <c r="H258" s="5">
        <v>7832.67</v>
      </c>
    </row>
    <row r="259" spans="1:8" x14ac:dyDescent="0.25">
      <c r="A259" s="9" t="s">
        <v>49</v>
      </c>
      <c r="B259" s="9" t="s">
        <v>200</v>
      </c>
      <c r="C259" s="10">
        <v>43238</v>
      </c>
      <c r="D259" s="10" t="s">
        <v>196</v>
      </c>
      <c r="E259" s="9" t="s">
        <v>50</v>
      </c>
      <c r="F259" s="11">
        <v>-3455.28</v>
      </c>
      <c r="G259" s="9" t="s">
        <v>51</v>
      </c>
      <c r="H259" s="11">
        <v>7834.53</v>
      </c>
    </row>
    <row r="260" spans="1:8" x14ac:dyDescent="0.25">
      <c r="A260" t="s">
        <v>33</v>
      </c>
      <c r="B260" t="s">
        <v>200</v>
      </c>
      <c r="C260" s="3">
        <v>43237</v>
      </c>
      <c r="D260" s="3" t="s">
        <v>15</v>
      </c>
      <c r="E260" t="s">
        <v>52</v>
      </c>
      <c r="F260" s="5">
        <v>18.97</v>
      </c>
      <c r="G260" t="s">
        <v>46</v>
      </c>
      <c r="H260" s="5">
        <v>4379.25</v>
      </c>
    </row>
    <row r="261" spans="1:8" x14ac:dyDescent="0.25">
      <c r="A261" t="s">
        <v>33</v>
      </c>
      <c r="B261" t="s">
        <v>200</v>
      </c>
      <c r="C261" s="3">
        <v>43237</v>
      </c>
      <c r="D261" s="3" t="s">
        <v>207</v>
      </c>
      <c r="E261" t="s">
        <v>53</v>
      </c>
      <c r="F261" s="5">
        <v>16.55</v>
      </c>
      <c r="G261" t="s">
        <v>46</v>
      </c>
      <c r="H261" s="5">
        <v>4398.22</v>
      </c>
    </row>
    <row r="262" spans="1:8" x14ac:dyDescent="0.25">
      <c r="A262" t="s">
        <v>33</v>
      </c>
      <c r="B262" t="s">
        <v>200</v>
      </c>
      <c r="C262" s="3">
        <v>43237</v>
      </c>
      <c r="D262" s="3" t="s">
        <v>207</v>
      </c>
      <c r="E262" t="s">
        <v>54</v>
      </c>
      <c r="F262" s="5">
        <v>7</v>
      </c>
      <c r="G262" t="s">
        <v>46</v>
      </c>
      <c r="H262" s="5">
        <v>4414.7700000000004</v>
      </c>
    </row>
    <row r="263" spans="1:8" x14ac:dyDescent="0.25">
      <c r="A263" t="s">
        <v>33</v>
      </c>
      <c r="B263" t="s">
        <v>200</v>
      </c>
      <c r="C263" s="3">
        <v>43236</v>
      </c>
      <c r="D263" s="3" t="s">
        <v>20</v>
      </c>
      <c r="E263" t="s">
        <v>55</v>
      </c>
      <c r="F263" s="5">
        <v>24.44</v>
      </c>
      <c r="G263" t="s">
        <v>46</v>
      </c>
      <c r="H263" s="5">
        <v>4421.7700000000004</v>
      </c>
    </row>
    <row r="264" spans="1:8" x14ac:dyDescent="0.25">
      <c r="A264" t="s">
        <v>33</v>
      </c>
      <c r="B264" t="s">
        <v>200</v>
      </c>
      <c r="C264" s="3">
        <v>43236</v>
      </c>
      <c r="D264" s="3" t="s">
        <v>193</v>
      </c>
      <c r="E264" t="s">
        <v>56</v>
      </c>
      <c r="F264" s="5">
        <v>4.3499999999999996</v>
      </c>
      <c r="G264" t="s">
        <v>46</v>
      </c>
      <c r="H264" s="5">
        <v>4446.21</v>
      </c>
    </row>
    <row r="265" spans="1:8" x14ac:dyDescent="0.25">
      <c r="A265" t="s">
        <v>33</v>
      </c>
      <c r="B265" t="s">
        <v>200</v>
      </c>
      <c r="C265" s="3">
        <v>43236</v>
      </c>
      <c r="D265" s="3" t="s">
        <v>193</v>
      </c>
      <c r="E265" t="s">
        <v>56</v>
      </c>
      <c r="F265" s="5">
        <v>1.6</v>
      </c>
      <c r="G265" t="s">
        <v>46</v>
      </c>
      <c r="H265" s="5">
        <v>4450.5600000000004</v>
      </c>
    </row>
    <row r="266" spans="1:8" x14ac:dyDescent="0.25">
      <c r="A266" t="s">
        <v>33</v>
      </c>
      <c r="B266" t="s">
        <v>200</v>
      </c>
      <c r="C266" s="3">
        <v>43235</v>
      </c>
      <c r="D266" s="3" t="s">
        <v>12</v>
      </c>
      <c r="E266" t="s">
        <v>57</v>
      </c>
      <c r="F266" s="5">
        <v>100</v>
      </c>
      <c r="G266" t="s">
        <v>58</v>
      </c>
      <c r="H266" s="5">
        <v>4452.16</v>
      </c>
    </row>
    <row r="267" spans="1:8" x14ac:dyDescent="0.25">
      <c r="A267" t="s">
        <v>33</v>
      </c>
      <c r="B267" t="s">
        <v>200</v>
      </c>
      <c r="C267" s="3">
        <v>43235</v>
      </c>
      <c r="D267" s="3" t="s">
        <v>15</v>
      </c>
      <c r="E267" t="s">
        <v>59</v>
      </c>
      <c r="F267" s="5">
        <v>40.380000000000003</v>
      </c>
      <c r="G267" t="s">
        <v>46</v>
      </c>
      <c r="H267" s="5">
        <v>4552.16</v>
      </c>
    </row>
    <row r="268" spans="1:8" x14ac:dyDescent="0.25">
      <c r="A268" t="s">
        <v>33</v>
      </c>
      <c r="B268" t="s">
        <v>200</v>
      </c>
      <c r="C268" s="3">
        <v>43235</v>
      </c>
      <c r="D268" s="3" t="s">
        <v>193</v>
      </c>
      <c r="E268" t="s">
        <v>60</v>
      </c>
      <c r="F268" s="5">
        <v>30</v>
      </c>
      <c r="G268" t="s">
        <v>46</v>
      </c>
      <c r="H268" s="5">
        <v>4592.54</v>
      </c>
    </row>
    <row r="269" spans="1:8" x14ac:dyDescent="0.25">
      <c r="A269" t="s">
        <v>33</v>
      </c>
      <c r="B269" t="s">
        <v>200</v>
      </c>
      <c r="C269" s="3">
        <v>43235</v>
      </c>
      <c r="D269" s="3" t="s">
        <v>193</v>
      </c>
      <c r="E269" t="s">
        <v>61</v>
      </c>
      <c r="F269" s="5">
        <v>34.14</v>
      </c>
      <c r="G269" t="s">
        <v>46</v>
      </c>
      <c r="H269" s="5">
        <v>4622.54</v>
      </c>
    </row>
    <row r="270" spans="1:8" x14ac:dyDescent="0.25">
      <c r="A270" t="s">
        <v>33</v>
      </c>
      <c r="B270" t="s">
        <v>200</v>
      </c>
      <c r="C270" s="3">
        <v>43235</v>
      </c>
      <c r="D270" s="3" t="s">
        <v>193</v>
      </c>
      <c r="E270" t="s">
        <v>62</v>
      </c>
      <c r="F270" s="5">
        <v>149.47999999999999</v>
      </c>
      <c r="G270" t="s">
        <v>46</v>
      </c>
      <c r="H270" s="5">
        <v>4656.68</v>
      </c>
    </row>
    <row r="271" spans="1:8" x14ac:dyDescent="0.25">
      <c r="A271" t="s">
        <v>33</v>
      </c>
      <c r="B271" t="s">
        <v>200</v>
      </c>
      <c r="C271" s="3">
        <v>43235</v>
      </c>
      <c r="D271" s="3" t="s">
        <v>17</v>
      </c>
      <c r="E271" t="s">
        <v>63</v>
      </c>
      <c r="F271" s="5">
        <v>34.68</v>
      </c>
      <c r="G271" t="s">
        <v>46</v>
      </c>
      <c r="H271" s="5">
        <v>4806.16</v>
      </c>
    </row>
    <row r="272" spans="1:8" x14ac:dyDescent="0.25">
      <c r="A272" t="s">
        <v>33</v>
      </c>
      <c r="B272" t="s">
        <v>200</v>
      </c>
      <c r="C272" s="3">
        <v>43234</v>
      </c>
      <c r="D272" s="3" t="s">
        <v>193</v>
      </c>
      <c r="E272" t="s">
        <v>64</v>
      </c>
      <c r="F272" s="5">
        <v>2.73</v>
      </c>
      <c r="G272" t="s">
        <v>46</v>
      </c>
      <c r="H272" s="5">
        <v>4840.84</v>
      </c>
    </row>
    <row r="273" spans="1:8" x14ac:dyDescent="0.25">
      <c r="A273" t="s">
        <v>33</v>
      </c>
      <c r="B273" t="s">
        <v>200</v>
      </c>
      <c r="C273" s="3">
        <v>43234</v>
      </c>
      <c r="D273" s="3" t="s">
        <v>193</v>
      </c>
      <c r="E273" t="s">
        <v>65</v>
      </c>
      <c r="F273" s="5">
        <v>12.69</v>
      </c>
      <c r="G273" t="s">
        <v>46</v>
      </c>
      <c r="H273" s="5">
        <v>4843.57</v>
      </c>
    </row>
    <row r="274" spans="1:8" x14ac:dyDescent="0.25">
      <c r="A274" t="s">
        <v>33</v>
      </c>
      <c r="B274" t="s">
        <v>200</v>
      </c>
      <c r="C274" s="3">
        <v>43234</v>
      </c>
      <c r="D274" s="3" t="s">
        <v>16</v>
      </c>
      <c r="E274" t="s">
        <v>66</v>
      </c>
      <c r="F274" s="5">
        <v>36.700000000000003</v>
      </c>
      <c r="G274" t="s">
        <v>46</v>
      </c>
      <c r="H274" s="5">
        <v>4856.26</v>
      </c>
    </row>
    <row r="275" spans="1:8" x14ac:dyDescent="0.25">
      <c r="A275" t="s">
        <v>33</v>
      </c>
      <c r="B275" t="s">
        <v>200</v>
      </c>
      <c r="C275" s="3">
        <v>43234</v>
      </c>
      <c r="D275" s="3" t="s">
        <v>19</v>
      </c>
      <c r="E275" t="s">
        <v>67</v>
      </c>
      <c r="F275" s="5">
        <v>2.6</v>
      </c>
      <c r="G275" t="s">
        <v>46</v>
      </c>
      <c r="H275" s="5">
        <v>4892.96</v>
      </c>
    </row>
    <row r="276" spans="1:8" x14ac:dyDescent="0.25">
      <c r="A276" t="s">
        <v>33</v>
      </c>
      <c r="B276" t="s">
        <v>200</v>
      </c>
      <c r="C276" s="3">
        <v>43234</v>
      </c>
      <c r="D276" s="3" t="s">
        <v>15</v>
      </c>
      <c r="E276" t="s">
        <v>68</v>
      </c>
      <c r="F276" s="5">
        <v>35.51</v>
      </c>
      <c r="G276" t="s">
        <v>46</v>
      </c>
      <c r="H276" s="5">
        <v>4895.5600000000004</v>
      </c>
    </row>
    <row r="277" spans="1:8" x14ac:dyDescent="0.25">
      <c r="A277" t="s">
        <v>33</v>
      </c>
      <c r="B277" t="s">
        <v>200</v>
      </c>
      <c r="C277" s="3">
        <v>43234</v>
      </c>
      <c r="D277" s="3" t="s">
        <v>207</v>
      </c>
      <c r="E277" t="s">
        <v>69</v>
      </c>
      <c r="F277" s="5">
        <v>6.95</v>
      </c>
      <c r="G277" t="s">
        <v>46</v>
      </c>
      <c r="H277" s="5">
        <v>4931.07</v>
      </c>
    </row>
    <row r="278" spans="1:8" x14ac:dyDescent="0.25">
      <c r="A278" t="s">
        <v>33</v>
      </c>
      <c r="B278" t="s">
        <v>200</v>
      </c>
      <c r="C278" s="3">
        <v>43234</v>
      </c>
      <c r="D278" s="3" t="s">
        <v>19</v>
      </c>
      <c r="E278" t="s">
        <v>70</v>
      </c>
      <c r="F278" s="5">
        <v>4.55</v>
      </c>
      <c r="G278" t="s">
        <v>46</v>
      </c>
      <c r="H278" s="5">
        <v>4938.0200000000004</v>
      </c>
    </row>
    <row r="279" spans="1:8" x14ac:dyDescent="0.25">
      <c r="A279" t="s">
        <v>33</v>
      </c>
      <c r="B279" t="s">
        <v>200</v>
      </c>
      <c r="C279" s="3">
        <v>43231</v>
      </c>
      <c r="D279" s="3" t="s">
        <v>198</v>
      </c>
      <c r="E279" t="s">
        <v>71</v>
      </c>
      <c r="F279" s="5">
        <v>22.75</v>
      </c>
      <c r="G279" t="s">
        <v>46</v>
      </c>
      <c r="H279" s="5">
        <v>4942.57</v>
      </c>
    </row>
    <row r="280" spans="1:8" x14ac:dyDescent="0.25">
      <c r="A280" t="s">
        <v>33</v>
      </c>
      <c r="B280" t="s">
        <v>200</v>
      </c>
      <c r="C280" s="3">
        <v>43231</v>
      </c>
      <c r="D280" s="3" t="s">
        <v>17</v>
      </c>
      <c r="E280" t="s">
        <v>72</v>
      </c>
      <c r="F280" s="5">
        <v>27.94</v>
      </c>
      <c r="G280" t="s">
        <v>46</v>
      </c>
      <c r="H280" s="5">
        <v>4965.32</v>
      </c>
    </row>
    <row r="281" spans="1:8" x14ac:dyDescent="0.25">
      <c r="A281" t="s">
        <v>33</v>
      </c>
      <c r="B281" t="s">
        <v>200</v>
      </c>
      <c r="C281" s="3">
        <v>43230</v>
      </c>
      <c r="D281" s="3" t="s">
        <v>15</v>
      </c>
      <c r="E281" t="s">
        <v>73</v>
      </c>
      <c r="F281" s="5">
        <v>23.67</v>
      </c>
      <c r="G281" t="s">
        <v>46</v>
      </c>
      <c r="H281" s="5">
        <v>4993.26</v>
      </c>
    </row>
    <row r="282" spans="1:8" x14ac:dyDescent="0.25">
      <c r="A282" t="s">
        <v>33</v>
      </c>
      <c r="B282" t="s">
        <v>200</v>
      </c>
      <c r="C282" s="3">
        <v>43230</v>
      </c>
      <c r="D282" s="3" t="s">
        <v>207</v>
      </c>
      <c r="E282" t="s">
        <v>74</v>
      </c>
      <c r="F282" s="5">
        <v>16.55</v>
      </c>
      <c r="G282" t="s">
        <v>46</v>
      </c>
      <c r="H282" s="5">
        <v>5016.93</v>
      </c>
    </row>
    <row r="283" spans="1:8" x14ac:dyDescent="0.25">
      <c r="A283" t="s">
        <v>33</v>
      </c>
      <c r="B283" t="s">
        <v>200</v>
      </c>
      <c r="C283" s="3">
        <v>43229</v>
      </c>
      <c r="D283" s="3" t="s">
        <v>12</v>
      </c>
      <c r="E283" t="s">
        <v>75</v>
      </c>
      <c r="F283" s="5">
        <v>100</v>
      </c>
      <c r="G283" t="s">
        <v>58</v>
      </c>
      <c r="H283" s="5">
        <v>5033.4799999999996</v>
      </c>
    </row>
    <row r="284" spans="1:8" x14ac:dyDescent="0.25">
      <c r="A284" t="s">
        <v>33</v>
      </c>
      <c r="B284" t="s">
        <v>200</v>
      </c>
      <c r="C284" s="3">
        <v>43229</v>
      </c>
      <c r="D284" s="3" t="s">
        <v>17</v>
      </c>
      <c r="E284" t="s">
        <v>76</v>
      </c>
      <c r="F284" s="5">
        <v>42.16</v>
      </c>
      <c r="G284" t="s">
        <v>46</v>
      </c>
      <c r="H284" s="5">
        <v>5133.4799999999996</v>
      </c>
    </row>
    <row r="285" spans="1:8" x14ac:dyDescent="0.25">
      <c r="A285" t="s">
        <v>33</v>
      </c>
      <c r="B285" t="s">
        <v>200</v>
      </c>
      <c r="C285" s="3">
        <v>43229</v>
      </c>
      <c r="D285" s="3" t="s">
        <v>17</v>
      </c>
      <c r="E285" t="s">
        <v>77</v>
      </c>
      <c r="F285" s="5">
        <v>14</v>
      </c>
      <c r="G285" t="s">
        <v>46</v>
      </c>
      <c r="H285" s="5">
        <v>5175.6400000000003</v>
      </c>
    </row>
    <row r="286" spans="1:8" x14ac:dyDescent="0.25">
      <c r="A286" t="s">
        <v>33</v>
      </c>
      <c r="B286" t="s">
        <v>200</v>
      </c>
      <c r="C286" s="3">
        <v>43228</v>
      </c>
      <c r="D286" s="3" t="s">
        <v>197</v>
      </c>
      <c r="E286" t="s">
        <v>78</v>
      </c>
      <c r="F286" s="5">
        <v>40</v>
      </c>
      <c r="G286" t="s">
        <v>46</v>
      </c>
      <c r="H286" s="5">
        <v>5189.6400000000003</v>
      </c>
    </row>
    <row r="287" spans="1:8" x14ac:dyDescent="0.25">
      <c r="A287" t="s">
        <v>33</v>
      </c>
      <c r="B287" t="s">
        <v>200</v>
      </c>
      <c r="C287" s="3">
        <v>43228</v>
      </c>
      <c r="D287" s="3" t="s">
        <v>15</v>
      </c>
      <c r="E287" t="s">
        <v>79</v>
      </c>
      <c r="F287" s="5">
        <v>11.34</v>
      </c>
      <c r="G287" t="s">
        <v>46</v>
      </c>
      <c r="H287" s="5">
        <v>5229.6400000000003</v>
      </c>
    </row>
    <row r="288" spans="1:8" x14ac:dyDescent="0.25">
      <c r="A288" t="s">
        <v>33</v>
      </c>
      <c r="B288" t="s">
        <v>200</v>
      </c>
      <c r="C288" s="3">
        <v>43228</v>
      </c>
      <c r="D288" s="3" t="s">
        <v>17</v>
      </c>
      <c r="E288" t="s">
        <v>80</v>
      </c>
      <c r="F288" s="5">
        <v>14.92</v>
      </c>
      <c r="G288" t="s">
        <v>46</v>
      </c>
      <c r="H288" s="5">
        <v>5240.9799999999996</v>
      </c>
    </row>
    <row r="289" spans="1:8" x14ac:dyDescent="0.25">
      <c r="A289" t="s">
        <v>33</v>
      </c>
      <c r="B289" t="s">
        <v>200</v>
      </c>
      <c r="C289" s="3">
        <v>43228</v>
      </c>
      <c r="D289" s="3" t="s">
        <v>17</v>
      </c>
      <c r="E289" t="s">
        <v>81</v>
      </c>
      <c r="F289" s="5">
        <v>31.56</v>
      </c>
      <c r="G289" t="s">
        <v>46</v>
      </c>
      <c r="H289" s="5">
        <v>5255.9</v>
      </c>
    </row>
    <row r="290" spans="1:8" x14ac:dyDescent="0.25">
      <c r="A290" s="24" t="s">
        <v>33</v>
      </c>
      <c r="B290" s="25" t="s">
        <v>200</v>
      </c>
      <c r="C290" s="26">
        <v>43227</v>
      </c>
      <c r="D290" s="26" t="s">
        <v>15</v>
      </c>
      <c r="E290" s="25" t="s">
        <v>82</v>
      </c>
      <c r="F290" s="27">
        <f>45.01-20</f>
        <v>25.009999999999998</v>
      </c>
      <c r="G290" s="25" t="s">
        <v>46</v>
      </c>
      <c r="H290" s="28">
        <v>5287.46</v>
      </c>
    </row>
    <row r="291" spans="1:8" x14ac:dyDescent="0.25">
      <c r="A291" s="29" t="s">
        <v>33</v>
      </c>
      <c r="B291" s="30" t="s">
        <v>200</v>
      </c>
      <c r="C291" s="31">
        <v>43227</v>
      </c>
      <c r="D291" s="31" t="s">
        <v>197</v>
      </c>
      <c r="E291" s="30" t="s">
        <v>82</v>
      </c>
      <c r="F291" s="32">
        <v>20</v>
      </c>
      <c r="G291" s="30" t="s">
        <v>46</v>
      </c>
      <c r="H291" s="33">
        <v>5287.46</v>
      </c>
    </row>
    <row r="292" spans="1:8" x14ac:dyDescent="0.25">
      <c r="A292" t="s">
        <v>33</v>
      </c>
      <c r="B292" t="s">
        <v>200</v>
      </c>
      <c r="C292" s="3">
        <v>43227</v>
      </c>
      <c r="D292" s="3" t="s">
        <v>18</v>
      </c>
      <c r="E292" t="s">
        <v>83</v>
      </c>
      <c r="F292" s="5">
        <v>4</v>
      </c>
      <c r="G292" t="s">
        <v>46</v>
      </c>
      <c r="H292" s="5">
        <v>5332.47</v>
      </c>
    </row>
    <row r="293" spans="1:8" x14ac:dyDescent="0.25">
      <c r="A293" t="s">
        <v>33</v>
      </c>
      <c r="B293" t="s">
        <v>200</v>
      </c>
      <c r="C293" s="3">
        <v>43227</v>
      </c>
      <c r="D293" s="3" t="s">
        <v>19</v>
      </c>
      <c r="E293" t="s">
        <v>84</v>
      </c>
      <c r="F293" s="5">
        <v>2.6</v>
      </c>
      <c r="G293" t="s">
        <v>46</v>
      </c>
      <c r="H293" s="5">
        <v>5336.47</v>
      </c>
    </row>
    <row r="294" spans="1:8" x14ac:dyDescent="0.25">
      <c r="A294" t="s">
        <v>33</v>
      </c>
      <c r="B294" t="s">
        <v>200</v>
      </c>
      <c r="C294" s="3">
        <v>43227</v>
      </c>
      <c r="D294" s="3" t="s">
        <v>19</v>
      </c>
      <c r="E294" t="s">
        <v>84</v>
      </c>
      <c r="F294" s="5">
        <v>2.6</v>
      </c>
      <c r="G294" t="s">
        <v>46</v>
      </c>
      <c r="H294" s="5">
        <v>5339.07</v>
      </c>
    </row>
    <row r="295" spans="1:8" x14ac:dyDescent="0.25">
      <c r="A295" t="s">
        <v>33</v>
      </c>
      <c r="B295" t="s">
        <v>200</v>
      </c>
      <c r="C295" s="3">
        <v>43227</v>
      </c>
      <c r="D295" s="3" t="s">
        <v>207</v>
      </c>
      <c r="E295" t="s">
        <v>85</v>
      </c>
      <c r="F295" s="5">
        <v>26.81</v>
      </c>
      <c r="G295" t="s">
        <v>46</v>
      </c>
      <c r="H295" s="5">
        <v>5341.67</v>
      </c>
    </row>
    <row r="296" spans="1:8" x14ac:dyDescent="0.25">
      <c r="A296" s="24" t="s">
        <v>33</v>
      </c>
      <c r="B296" s="25" t="s">
        <v>200</v>
      </c>
      <c r="C296" s="26">
        <v>43227</v>
      </c>
      <c r="D296" s="26" t="s">
        <v>15</v>
      </c>
      <c r="E296" s="25" t="s">
        <v>86</v>
      </c>
      <c r="F296" s="27">
        <f>52.09-20</f>
        <v>32.090000000000003</v>
      </c>
      <c r="G296" s="25" t="s">
        <v>46</v>
      </c>
      <c r="H296" s="28">
        <v>5368.48</v>
      </c>
    </row>
    <row r="297" spans="1:8" x14ac:dyDescent="0.25">
      <c r="A297" s="29" t="s">
        <v>33</v>
      </c>
      <c r="B297" s="30" t="s">
        <v>200</v>
      </c>
      <c r="C297" s="31">
        <v>43227</v>
      </c>
      <c r="D297" s="31" t="s">
        <v>197</v>
      </c>
      <c r="E297" s="30" t="s">
        <v>86</v>
      </c>
      <c r="F297" s="32">
        <v>20</v>
      </c>
      <c r="G297" s="30" t="s">
        <v>46</v>
      </c>
      <c r="H297" s="33">
        <v>5368.48</v>
      </c>
    </row>
    <row r="298" spans="1:8" x14ac:dyDescent="0.25">
      <c r="A298" t="s">
        <v>33</v>
      </c>
      <c r="B298" t="s">
        <v>200</v>
      </c>
      <c r="C298" s="3">
        <v>43227</v>
      </c>
      <c r="D298" s="3" t="s">
        <v>19</v>
      </c>
      <c r="E298" t="s">
        <v>87</v>
      </c>
      <c r="F298" s="5">
        <v>3.75</v>
      </c>
      <c r="G298" t="s">
        <v>46</v>
      </c>
      <c r="H298" s="5">
        <v>5420.57</v>
      </c>
    </row>
    <row r="299" spans="1:8" x14ac:dyDescent="0.25">
      <c r="A299" t="s">
        <v>33</v>
      </c>
      <c r="B299" t="s">
        <v>200</v>
      </c>
      <c r="C299" s="3">
        <v>43227</v>
      </c>
      <c r="D299" s="3" t="s">
        <v>19</v>
      </c>
      <c r="E299" t="s">
        <v>88</v>
      </c>
      <c r="F299" s="5">
        <v>4.55</v>
      </c>
      <c r="G299" t="s">
        <v>46</v>
      </c>
      <c r="H299" s="5">
        <v>5424.32</v>
      </c>
    </row>
    <row r="300" spans="1:8" x14ac:dyDescent="0.25">
      <c r="A300" t="s">
        <v>33</v>
      </c>
      <c r="B300" t="s">
        <v>200</v>
      </c>
      <c r="C300" s="3">
        <v>43227</v>
      </c>
      <c r="D300" s="3" t="s">
        <v>17</v>
      </c>
      <c r="E300" t="s">
        <v>89</v>
      </c>
      <c r="F300" s="5">
        <v>46.13</v>
      </c>
      <c r="G300" t="s">
        <v>46</v>
      </c>
      <c r="H300" s="5">
        <v>5428.87</v>
      </c>
    </row>
    <row r="301" spans="1:8" x14ac:dyDescent="0.25">
      <c r="A301" t="s">
        <v>33</v>
      </c>
      <c r="B301" t="s">
        <v>200</v>
      </c>
      <c r="C301" s="3">
        <v>43224</v>
      </c>
      <c r="D301" s="3" t="s">
        <v>16</v>
      </c>
      <c r="E301" t="s">
        <v>90</v>
      </c>
      <c r="F301" s="5">
        <v>40.04</v>
      </c>
      <c r="G301" t="s">
        <v>46</v>
      </c>
      <c r="H301" s="5">
        <v>5475</v>
      </c>
    </row>
    <row r="302" spans="1:8" x14ac:dyDescent="0.25">
      <c r="A302" s="24" t="s">
        <v>33</v>
      </c>
      <c r="B302" s="25" t="s">
        <v>200</v>
      </c>
      <c r="C302" s="26">
        <v>43224</v>
      </c>
      <c r="D302" s="26" t="s">
        <v>15</v>
      </c>
      <c r="E302" s="25" t="s">
        <v>91</v>
      </c>
      <c r="F302" s="27">
        <f>29.36-20</f>
        <v>9.36</v>
      </c>
      <c r="G302" s="25" t="s">
        <v>46</v>
      </c>
      <c r="H302" s="28">
        <v>5515.04</v>
      </c>
    </row>
    <row r="303" spans="1:8" x14ac:dyDescent="0.25">
      <c r="A303" s="29" t="s">
        <v>33</v>
      </c>
      <c r="B303" s="30" t="s">
        <v>200</v>
      </c>
      <c r="C303" s="31">
        <v>43224</v>
      </c>
      <c r="D303" s="31" t="s">
        <v>197</v>
      </c>
      <c r="E303" s="30" t="s">
        <v>91</v>
      </c>
      <c r="F303" s="32">
        <v>20</v>
      </c>
      <c r="G303" s="30" t="s">
        <v>46</v>
      </c>
      <c r="H303" s="33">
        <v>5515.04</v>
      </c>
    </row>
    <row r="304" spans="1:8" x14ac:dyDescent="0.25">
      <c r="A304" t="s">
        <v>33</v>
      </c>
      <c r="B304" t="s">
        <v>200</v>
      </c>
      <c r="C304" s="3">
        <v>43224</v>
      </c>
      <c r="D304" s="3" t="s">
        <v>207</v>
      </c>
      <c r="E304" t="s">
        <v>92</v>
      </c>
      <c r="F304" s="5">
        <v>77.3</v>
      </c>
      <c r="G304" t="s">
        <v>46</v>
      </c>
      <c r="H304" s="5">
        <v>5544.4</v>
      </c>
    </row>
    <row r="305" spans="1:9" x14ac:dyDescent="0.25">
      <c r="A305" s="6" t="s">
        <v>93</v>
      </c>
      <c r="B305" s="6" t="s">
        <v>200</v>
      </c>
      <c r="C305" s="7">
        <v>43224</v>
      </c>
      <c r="D305" s="7" t="s">
        <v>196</v>
      </c>
      <c r="E305" s="6" t="s">
        <v>94</v>
      </c>
      <c r="F305" s="8">
        <v>-1000</v>
      </c>
      <c r="G305" s="6" t="s">
        <v>95</v>
      </c>
      <c r="H305" s="8">
        <v>5621.7</v>
      </c>
    </row>
    <row r="306" spans="1:9" x14ac:dyDescent="0.25">
      <c r="A306" t="s">
        <v>33</v>
      </c>
      <c r="B306" t="s">
        <v>200</v>
      </c>
      <c r="C306" s="3">
        <v>43222</v>
      </c>
      <c r="D306" s="3" t="s">
        <v>19</v>
      </c>
      <c r="E306" t="s">
        <v>96</v>
      </c>
      <c r="F306" s="5">
        <v>3.48</v>
      </c>
      <c r="G306" t="s">
        <v>46</v>
      </c>
      <c r="H306" s="5">
        <v>4621.7</v>
      </c>
    </row>
    <row r="307" spans="1:9" x14ac:dyDescent="0.25">
      <c r="A307" t="s">
        <v>33</v>
      </c>
      <c r="B307" t="s">
        <v>200</v>
      </c>
      <c r="C307" s="3">
        <v>43222</v>
      </c>
      <c r="D307" s="3" t="s">
        <v>20</v>
      </c>
      <c r="E307" t="s">
        <v>97</v>
      </c>
      <c r="F307" s="5">
        <v>2</v>
      </c>
      <c r="G307" t="s">
        <v>46</v>
      </c>
      <c r="H307" s="5">
        <v>4625.18</v>
      </c>
    </row>
    <row r="308" spans="1:9" x14ac:dyDescent="0.25">
      <c r="A308" t="s">
        <v>33</v>
      </c>
      <c r="B308" t="s">
        <v>200</v>
      </c>
      <c r="C308" s="3">
        <v>43221</v>
      </c>
      <c r="D308" s="3" t="s">
        <v>19</v>
      </c>
      <c r="E308" t="s">
        <v>98</v>
      </c>
      <c r="F308" s="5">
        <v>5.83</v>
      </c>
      <c r="G308" t="s">
        <v>46</v>
      </c>
      <c r="H308" s="5">
        <v>4627.18</v>
      </c>
    </row>
    <row r="309" spans="1:9" x14ac:dyDescent="0.25">
      <c r="A309" t="s">
        <v>33</v>
      </c>
      <c r="B309" t="s">
        <v>200</v>
      </c>
      <c r="C309" s="3">
        <v>43221</v>
      </c>
      <c r="D309" s="3" t="s">
        <v>17</v>
      </c>
      <c r="E309" t="s">
        <v>99</v>
      </c>
      <c r="F309" s="5">
        <v>17</v>
      </c>
      <c r="G309" t="s">
        <v>46</v>
      </c>
      <c r="H309" s="5">
        <v>4633.01</v>
      </c>
    </row>
    <row r="310" spans="1:9" x14ac:dyDescent="0.25">
      <c r="A310" t="s">
        <v>33</v>
      </c>
      <c r="B310" t="s">
        <v>200</v>
      </c>
      <c r="C310" s="3">
        <v>43221</v>
      </c>
      <c r="D310" s="3" t="s">
        <v>19</v>
      </c>
      <c r="E310" t="s">
        <v>100</v>
      </c>
      <c r="F310" s="5">
        <v>2.6</v>
      </c>
      <c r="G310" t="s">
        <v>46</v>
      </c>
      <c r="H310" s="5">
        <v>4650.01</v>
      </c>
    </row>
    <row r="311" spans="1:9" x14ac:dyDescent="0.25">
      <c r="A311" t="s">
        <v>33</v>
      </c>
      <c r="B311" t="s">
        <v>200</v>
      </c>
      <c r="C311" s="3">
        <v>43221</v>
      </c>
      <c r="D311" s="3" t="s">
        <v>19</v>
      </c>
      <c r="E311" t="s">
        <v>101</v>
      </c>
      <c r="F311" s="5">
        <v>5.09</v>
      </c>
      <c r="G311" t="s">
        <v>46</v>
      </c>
      <c r="H311" s="5">
        <v>4652.6099999999997</v>
      </c>
    </row>
    <row r="312" spans="1:9" x14ac:dyDescent="0.25">
      <c r="A312" t="s">
        <v>33</v>
      </c>
      <c r="B312" t="s">
        <v>200</v>
      </c>
      <c r="C312" s="3">
        <v>43221</v>
      </c>
      <c r="D312" s="3" t="s">
        <v>18</v>
      </c>
      <c r="E312" t="s">
        <v>102</v>
      </c>
      <c r="F312" s="5">
        <v>12</v>
      </c>
      <c r="G312" t="s">
        <v>46</v>
      </c>
      <c r="H312" s="5">
        <v>4657.7</v>
      </c>
    </row>
    <row r="313" spans="1:9" x14ac:dyDescent="0.25">
      <c r="A313" t="s">
        <v>33</v>
      </c>
      <c r="B313" t="s">
        <v>200</v>
      </c>
      <c r="C313" s="3">
        <v>43221</v>
      </c>
      <c r="D313" s="3" t="s">
        <v>17</v>
      </c>
      <c r="E313" t="s">
        <v>103</v>
      </c>
      <c r="F313" s="5">
        <v>24</v>
      </c>
      <c r="G313" t="s">
        <v>46</v>
      </c>
      <c r="H313" s="5">
        <v>4669.7</v>
      </c>
    </row>
    <row r="314" spans="1:9" x14ac:dyDescent="0.25">
      <c r="A314" s="6" t="s">
        <v>49</v>
      </c>
      <c r="B314" s="6" t="s">
        <v>201</v>
      </c>
      <c r="C314" s="7">
        <v>43220</v>
      </c>
      <c r="D314" s="7" t="s">
        <v>210</v>
      </c>
      <c r="E314" s="6" t="s">
        <v>104</v>
      </c>
      <c r="F314" s="8">
        <v>-0.01</v>
      </c>
      <c r="G314" s="6" t="s">
        <v>105</v>
      </c>
      <c r="H314" s="8">
        <v>4693.7</v>
      </c>
    </row>
    <row r="315" spans="1:9" x14ac:dyDescent="0.25">
      <c r="A315" t="s">
        <v>33</v>
      </c>
      <c r="B315" t="s">
        <v>201</v>
      </c>
      <c r="C315" s="3">
        <v>43220</v>
      </c>
      <c r="D315" s="3" t="s">
        <v>192</v>
      </c>
      <c r="E315" t="s">
        <v>106</v>
      </c>
      <c r="F315" s="5">
        <v>437.54</v>
      </c>
      <c r="G315" t="s">
        <v>107</v>
      </c>
      <c r="H315" s="5">
        <v>4693.6899999999996</v>
      </c>
    </row>
    <row r="316" spans="1:9" x14ac:dyDescent="0.25">
      <c r="A316" t="s">
        <v>33</v>
      </c>
      <c r="B316" t="s">
        <v>201</v>
      </c>
      <c r="C316" s="3">
        <v>43220</v>
      </c>
      <c r="D316" s="3" t="s">
        <v>15</v>
      </c>
      <c r="E316" t="s">
        <v>108</v>
      </c>
      <c r="F316" s="5">
        <v>47.11</v>
      </c>
      <c r="G316" t="s">
        <v>46</v>
      </c>
      <c r="H316" s="5">
        <v>5131.2299999999996</v>
      </c>
    </row>
    <row r="317" spans="1:9" x14ac:dyDescent="0.25">
      <c r="A317" t="s">
        <v>33</v>
      </c>
      <c r="B317" t="s">
        <v>201</v>
      </c>
      <c r="C317" s="3">
        <v>43220</v>
      </c>
      <c r="D317" s="3" t="s">
        <v>17</v>
      </c>
      <c r="E317" t="s">
        <v>109</v>
      </c>
      <c r="F317" s="5">
        <v>21.02</v>
      </c>
      <c r="G317" t="s">
        <v>46</v>
      </c>
      <c r="H317" s="5">
        <v>5178.34</v>
      </c>
    </row>
    <row r="318" spans="1:9" x14ac:dyDescent="0.25">
      <c r="A318" s="24" t="s">
        <v>33</v>
      </c>
      <c r="B318" s="25" t="s">
        <v>201</v>
      </c>
      <c r="C318" s="26">
        <v>43220</v>
      </c>
      <c r="D318" s="26" t="s">
        <v>12</v>
      </c>
      <c r="E318" s="25" t="s">
        <v>110</v>
      </c>
      <c r="F318" s="27">
        <v>100</v>
      </c>
      <c r="G318" s="25" t="s">
        <v>58</v>
      </c>
      <c r="H318" s="28">
        <v>5199.3599999999997</v>
      </c>
      <c r="I318" t="s">
        <v>12</v>
      </c>
    </row>
    <row r="319" spans="1:9" x14ac:dyDescent="0.25">
      <c r="A319" s="29" t="s">
        <v>33</v>
      </c>
      <c r="B319" s="30" t="s">
        <v>201</v>
      </c>
      <c r="C319" s="31">
        <v>43220</v>
      </c>
      <c r="D319" s="31" t="s">
        <v>12</v>
      </c>
      <c r="E319" s="30" t="s">
        <v>110</v>
      </c>
      <c r="F319" s="32">
        <v>20</v>
      </c>
      <c r="G319" s="30" t="s">
        <v>58</v>
      </c>
      <c r="H319" s="33">
        <v>5199.3599999999997</v>
      </c>
      <c r="I319" t="s">
        <v>202</v>
      </c>
    </row>
    <row r="320" spans="1:9" x14ac:dyDescent="0.25">
      <c r="A320" t="s">
        <v>33</v>
      </c>
      <c r="B320" t="s">
        <v>201</v>
      </c>
      <c r="C320" s="3">
        <v>43220</v>
      </c>
      <c r="D320" s="3" t="s">
        <v>16</v>
      </c>
      <c r="E320" t="s">
        <v>111</v>
      </c>
      <c r="F320" s="5">
        <v>36.82</v>
      </c>
      <c r="G320" t="s">
        <v>46</v>
      </c>
      <c r="H320" s="5">
        <v>5319.36</v>
      </c>
    </row>
    <row r="321" spans="1:8" x14ac:dyDescent="0.25">
      <c r="A321" t="s">
        <v>33</v>
      </c>
      <c r="B321" t="s">
        <v>201</v>
      </c>
      <c r="C321" s="3">
        <v>43220</v>
      </c>
      <c r="D321" s="3" t="s">
        <v>17</v>
      </c>
      <c r="E321" t="s">
        <v>112</v>
      </c>
      <c r="F321" s="5">
        <v>35.74</v>
      </c>
      <c r="G321" t="s">
        <v>46</v>
      </c>
      <c r="H321" s="5">
        <v>5356.18</v>
      </c>
    </row>
    <row r="322" spans="1:8" x14ac:dyDescent="0.25">
      <c r="A322" t="s">
        <v>33</v>
      </c>
      <c r="B322" t="s">
        <v>201</v>
      </c>
      <c r="C322" s="3">
        <v>43220</v>
      </c>
      <c r="D322" s="3" t="s">
        <v>16</v>
      </c>
      <c r="E322" t="s">
        <v>113</v>
      </c>
      <c r="F322" s="5">
        <v>7.42</v>
      </c>
      <c r="G322" t="s">
        <v>46</v>
      </c>
      <c r="H322" s="5">
        <v>5391.92</v>
      </c>
    </row>
    <row r="323" spans="1:8" x14ac:dyDescent="0.25">
      <c r="A323" t="s">
        <v>33</v>
      </c>
      <c r="B323" t="s">
        <v>201</v>
      </c>
      <c r="C323" s="3">
        <v>43220</v>
      </c>
      <c r="D323" s="3" t="s">
        <v>19</v>
      </c>
      <c r="E323" t="s">
        <v>114</v>
      </c>
      <c r="F323" s="5">
        <v>3.75</v>
      </c>
      <c r="G323" t="s">
        <v>46</v>
      </c>
      <c r="H323" s="5">
        <v>5399.34</v>
      </c>
    </row>
    <row r="324" spans="1:8" x14ac:dyDescent="0.25">
      <c r="A324" t="s">
        <v>33</v>
      </c>
      <c r="B324" t="s">
        <v>201</v>
      </c>
      <c r="C324" s="3">
        <v>43220</v>
      </c>
      <c r="D324" s="3" t="s">
        <v>19</v>
      </c>
      <c r="E324" t="s">
        <v>115</v>
      </c>
      <c r="F324" s="5">
        <v>3.75</v>
      </c>
      <c r="G324" t="s">
        <v>46</v>
      </c>
      <c r="H324" s="5">
        <v>5403.09</v>
      </c>
    </row>
    <row r="325" spans="1:8" x14ac:dyDescent="0.25">
      <c r="A325" t="s">
        <v>33</v>
      </c>
      <c r="B325" t="s">
        <v>201</v>
      </c>
      <c r="C325" s="3">
        <v>43220</v>
      </c>
      <c r="D325" s="3" t="s">
        <v>19</v>
      </c>
      <c r="E325" t="s">
        <v>116</v>
      </c>
      <c r="F325" s="5">
        <v>4.01</v>
      </c>
      <c r="G325" t="s">
        <v>46</v>
      </c>
      <c r="H325" s="5">
        <v>5406.84</v>
      </c>
    </row>
    <row r="326" spans="1:8" x14ac:dyDescent="0.25">
      <c r="A326" t="s">
        <v>33</v>
      </c>
      <c r="B326" t="s">
        <v>201</v>
      </c>
      <c r="C326" s="3">
        <v>43220</v>
      </c>
      <c r="D326" s="3" t="s">
        <v>19</v>
      </c>
      <c r="E326" t="s">
        <v>117</v>
      </c>
      <c r="F326" s="5">
        <v>4.76</v>
      </c>
      <c r="G326" t="s">
        <v>46</v>
      </c>
      <c r="H326" s="5">
        <v>5410.85</v>
      </c>
    </row>
    <row r="327" spans="1:8" x14ac:dyDescent="0.25">
      <c r="A327" t="s">
        <v>33</v>
      </c>
      <c r="B327" t="s">
        <v>201</v>
      </c>
      <c r="C327" s="3">
        <v>43217</v>
      </c>
      <c r="D327" s="3" t="s">
        <v>17</v>
      </c>
      <c r="E327" t="s">
        <v>118</v>
      </c>
      <c r="F327" s="5">
        <v>38.92</v>
      </c>
      <c r="G327" t="s">
        <v>46</v>
      </c>
      <c r="H327" s="5">
        <v>5415.61</v>
      </c>
    </row>
    <row r="328" spans="1:8" x14ac:dyDescent="0.25">
      <c r="A328" t="s">
        <v>33</v>
      </c>
      <c r="B328" t="s">
        <v>201</v>
      </c>
      <c r="C328" s="3">
        <v>43216</v>
      </c>
      <c r="D328" s="3" t="s">
        <v>207</v>
      </c>
      <c r="E328" t="s">
        <v>119</v>
      </c>
      <c r="F328" s="5">
        <v>24.38</v>
      </c>
      <c r="G328" t="s">
        <v>46</v>
      </c>
      <c r="H328" s="5">
        <v>5454.53</v>
      </c>
    </row>
    <row r="329" spans="1:8" x14ac:dyDescent="0.25">
      <c r="A329" t="s">
        <v>33</v>
      </c>
      <c r="B329" t="s">
        <v>201</v>
      </c>
      <c r="C329" s="3">
        <v>43215</v>
      </c>
      <c r="D329" s="3" t="s">
        <v>16</v>
      </c>
      <c r="E329" t="s">
        <v>120</v>
      </c>
      <c r="F329" s="5">
        <v>26.43</v>
      </c>
      <c r="G329" t="s">
        <v>46</v>
      </c>
      <c r="H329" s="5">
        <v>5478.91</v>
      </c>
    </row>
    <row r="330" spans="1:8" x14ac:dyDescent="0.25">
      <c r="A330" t="s">
        <v>33</v>
      </c>
      <c r="B330" t="s">
        <v>201</v>
      </c>
      <c r="C330" s="3">
        <v>43215</v>
      </c>
      <c r="D330" s="3" t="s">
        <v>20</v>
      </c>
      <c r="E330" t="s">
        <v>121</v>
      </c>
      <c r="F330" s="5">
        <v>24.66</v>
      </c>
      <c r="G330" t="s">
        <v>46</v>
      </c>
      <c r="H330" s="5">
        <v>5505.34</v>
      </c>
    </row>
    <row r="331" spans="1:8" x14ac:dyDescent="0.25">
      <c r="A331" t="s">
        <v>33</v>
      </c>
      <c r="B331" t="s">
        <v>201</v>
      </c>
      <c r="C331" s="3">
        <v>43214</v>
      </c>
      <c r="D331" s="3" t="s">
        <v>197</v>
      </c>
      <c r="E331" t="s">
        <v>122</v>
      </c>
      <c r="F331" s="5">
        <v>62.75</v>
      </c>
      <c r="G331" t="s">
        <v>58</v>
      </c>
      <c r="H331" s="5">
        <v>5530</v>
      </c>
    </row>
    <row r="332" spans="1:8" x14ac:dyDescent="0.25">
      <c r="A332" s="6" t="s">
        <v>49</v>
      </c>
      <c r="B332" s="6" t="s">
        <v>201</v>
      </c>
      <c r="C332" s="7">
        <v>43214</v>
      </c>
      <c r="D332" s="7" t="s">
        <v>20</v>
      </c>
      <c r="E332" s="6" t="s">
        <v>123</v>
      </c>
      <c r="F332" s="8">
        <v>-2.75</v>
      </c>
      <c r="G332" s="6" t="s">
        <v>105</v>
      </c>
      <c r="H332" s="8">
        <v>5592.75</v>
      </c>
    </row>
    <row r="333" spans="1:8" x14ac:dyDescent="0.25">
      <c r="A333" t="s">
        <v>33</v>
      </c>
      <c r="B333" t="s">
        <v>201</v>
      </c>
      <c r="C333" s="3">
        <v>43213</v>
      </c>
      <c r="D333" s="3" t="s">
        <v>197</v>
      </c>
      <c r="E333" t="s">
        <v>124</v>
      </c>
      <c r="F333" s="5">
        <v>60</v>
      </c>
      <c r="G333" t="s">
        <v>58</v>
      </c>
      <c r="H333" s="5">
        <v>5590</v>
      </c>
    </row>
    <row r="334" spans="1:8" x14ac:dyDescent="0.25">
      <c r="A334" t="s">
        <v>33</v>
      </c>
      <c r="B334" t="s">
        <v>201</v>
      </c>
      <c r="C334" s="3">
        <v>43213</v>
      </c>
      <c r="D334" s="3" t="s">
        <v>12</v>
      </c>
      <c r="E334" t="s">
        <v>125</v>
      </c>
      <c r="F334" s="5">
        <v>100</v>
      </c>
      <c r="G334" t="s">
        <v>58</v>
      </c>
      <c r="H334" s="5">
        <v>5650</v>
      </c>
    </row>
    <row r="335" spans="1:8" x14ac:dyDescent="0.25">
      <c r="A335" t="s">
        <v>33</v>
      </c>
      <c r="B335" t="s">
        <v>201</v>
      </c>
      <c r="C335" s="3">
        <v>43213</v>
      </c>
      <c r="D335" s="3" t="s">
        <v>12</v>
      </c>
      <c r="E335" t="s">
        <v>126</v>
      </c>
      <c r="F335" s="5">
        <v>100</v>
      </c>
      <c r="G335" t="s">
        <v>58</v>
      </c>
      <c r="H335" s="5">
        <v>5750</v>
      </c>
    </row>
    <row r="336" spans="1:8" x14ac:dyDescent="0.25">
      <c r="A336" s="6" t="s">
        <v>49</v>
      </c>
      <c r="B336" s="6" t="s">
        <v>201</v>
      </c>
      <c r="C336" s="7">
        <v>43213</v>
      </c>
      <c r="D336" s="7" t="s">
        <v>208</v>
      </c>
      <c r="E336" s="6" t="s">
        <v>127</v>
      </c>
      <c r="F336" s="8">
        <v>-4500</v>
      </c>
      <c r="G336" s="6" t="s">
        <v>128</v>
      </c>
      <c r="H336" s="8">
        <v>5850</v>
      </c>
    </row>
    <row r="337" spans="1:8" x14ac:dyDescent="0.25">
      <c r="A337" s="6" t="s">
        <v>49</v>
      </c>
      <c r="B337" s="6" t="s">
        <v>201</v>
      </c>
      <c r="C337" s="7">
        <v>43213</v>
      </c>
      <c r="D337" s="7" t="s">
        <v>209</v>
      </c>
      <c r="E337" s="6" t="s">
        <v>129</v>
      </c>
      <c r="F337" s="8">
        <v>-1350</v>
      </c>
      <c r="G337" s="6" t="s">
        <v>130</v>
      </c>
      <c r="H337" s="8">
        <v>1350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B8E7-9CC0-438F-A121-AA92E566EBD8}">
  <sheetPr>
    <tabColor theme="1" tint="0.499984740745262"/>
  </sheetPr>
  <dimension ref="A1:H155"/>
  <sheetViews>
    <sheetView zoomScale="90" zoomScaleNormal="90" workbookViewId="0">
      <pane ySplit="1" topLeftCell="A2" activePane="bottomLeft" state="frozen"/>
      <selection activeCell="E26" sqref="E26"/>
      <selection pane="bottomLeft" activeCell="E26" sqref="E26"/>
    </sheetView>
  </sheetViews>
  <sheetFormatPr defaultRowHeight="15" x14ac:dyDescent="0.25"/>
  <cols>
    <col min="2" max="2" width="12.140625" bestFit="1" customWidth="1"/>
    <col min="3" max="3" width="12.140625" customWidth="1"/>
    <col min="4" max="4" width="68.42578125" customWidth="1"/>
    <col min="5" max="5" width="8.7109375" bestFit="1" customWidth="1"/>
    <col min="6" max="6" width="16.5703125" bestFit="1" customWidth="1"/>
    <col min="7" max="7" width="9" bestFit="1" customWidth="1"/>
    <col min="8" max="8" width="13.85546875" bestFit="1" customWidth="1"/>
  </cols>
  <sheetData>
    <row r="1" spans="1:8" x14ac:dyDescent="0.25">
      <c r="A1" s="4" t="s">
        <v>26</v>
      </c>
      <c r="B1" s="4" t="s">
        <v>27</v>
      </c>
      <c r="C1" s="4" t="s">
        <v>30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</row>
    <row r="2" spans="1:8" x14ac:dyDescent="0.25">
      <c r="A2" t="s">
        <v>33</v>
      </c>
      <c r="B2" s="93">
        <v>43319</v>
      </c>
      <c r="C2" s="93"/>
      <c r="D2" t="s">
        <v>43</v>
      </c>
      <c r="E2">
        <v>-4.2300000000000004</v>
      </c>
      <c r="F2" t="s">
        <v>35</v>
      </c>
      <c r="G2">
        <v>8143.8400000000011</v>
      </c>
    </row>
    <row r="3" spans="1:8" x14ac:dyDescent="0.25">
      <c r="A3" t="s">
        <v>33</v>
      </c>
      <c r="B3" s="93">
        <v>43319</v>
      </c>
      <c r="C3" s="93"/>
      <c r="D3" t="s">
        <v>350</v>
      </c>
      <c r="E3">
        <v>-4.49</v>
      </c>
      <c r="F3" t="s">
        <v>35</v>
      </c>
      <c r="G3">
        <v>8148.0700000000006</v>
      </c>
    </row>
    <row r="4" spans="1:8" x14ac:dyDescent="0.25">
      <c r="A4" t="s">
        <v>33</v>
      </c>
      <c r="B4" s="93">
        <v>43319</v>
      </c>
      <c r="C4" s="94"/>
      <c r="D4" s="95" t="s">
        <v>359</v>
      </c>
      <c r="E4" s="96">
        <v>-172.8</v>
      </c>
      <c r="F4" t="s">
        <v>35</v>
      </c>
      <c r="G4">
        <v>8152.56</v>
      </c>
    </row>
    <row r="5" spans="1:8" x14ac:dyDescent="0.25">
      <c r="A5" t="s">
        <v>33</v>
      </c>
      <c r="B5" s="93">
        <v>43319</v>
      </c>
      <c r="C5" s="93"/>
      <c r="D5" t="s">
        <v>360</v>
      </c>
      <c r="E5">
        <v>-30</v>
      </c>
      <c r="F5" t="s">
        <v>35</v>
      </c>
      <c r="G5">
        <v>8325.36</v>
      </c>
    </row>
    <row r="6" spans="1:8" x14ac:dyDescent="0.25">
      <c r="A6" t="s">
        <v>33</v>
      </c>
      <c r="B6" s="93">
        <v>43319</v>
      </c>
      <c r="C6" s="94"/>
      <c r="D6" s="95" t="s">
        <v>361</v>
      </c>
      <c r="E6" s="97">
        <v>-27</v>
      </c>
      <c r="F6" t="s">
        <v>35</v>
      </c>
      <c r="G6">
        <v>8355.36</v>
      </c>
    </row>
    <row r="7" spans="1:8" x14ac:dyDescent="0.25">
      <c r="A7" t="s">
        <v>33</v>
      </c>
      <c r="B7" s="93">
        <v>43319</v>
      </c>
      <c r="C7" s="93"/>
      <c r="D7" t="s">
        <v>362</v>
      </c>
      <c r="E7">
        <v>-22.47</v>
      </c>
      <c r="F7" t="s">
        <v>35</v>
      </c>
      <c r="G7">
        <v>8382.36</v>
      </c>
    </row>
    <row r="8" spans="1:8" x14ac:dyDescent="0.25">
      <c r="A8" t="s">
        <v>33</v>
      </c>
      <c r="B8" s="93">
        <v>43319</v>
      </c>
      <c r="C8" s="93"/>
      <c r="D8" t="s">
        <v>363</v>
      </c>
      <c r="E8">
        <v>-14.72</v>
      </c>
      <c r="F8" t="s">
        <v>35</v>
      </c>
      <c r="G8">
        <v>8404.83</v>
      </c>
    </row>
    <row r="9" spans="1:8" x14ac:dyDescent="0.25">
      <c r="A9" t="s">
        <v>33</v>
      </c>
      <c r="B9" s="93">
        <v>43318</v>
      </c>
      <c r="C9" s="93"/>
      <c r="D9" t="s">
        <v>364</v>
      </c>
      <c r="E9">
        <v>-298</v>
      </c>
      <c r="F9" t="s">
        <v>107</v>
      </c>
      <c r="G9">
        <v>8419.5499999999993</v>
      </c>
    </row>
    <row r="10" spans="1:8" x14ac:dyDescent="0.25">
      <c r="A10" t="s">
        <v>33</v>
      </c>
      <c r="B10" s="93">
        <v>43318</v>
      </c>
      <c r="C10" s="93"/>
      <c r="D10" t="s">
        <v>365</v>
      </c>
      <c r="E10">
        <v>-4.2300000000000004</v>
      </c>
      <c r="F10" t="s">
        <v>46</v>
      </c>
      <c r="G10">
        <v>8717.5499999999993</v>
      </c>
    </row>
    <row r="11" spans="1:8" x14ac:dyDescent="0.25">
      <c r="A11" t="s">
        <v>33</v>
      </c>
      <c r="B11" s="93">
        <v>43318</v>
      </c>
      <c r="C11" s="93"/>
      <c r="D11" t="s">
        <v>366</v>
      </c>
      <c r="E11">
        <v>-26.9</v>
      </c>
      <c r="F11" t="s">
        <v>46</v>
      </c>
      <c r="G11">
        <v>8721.7800000000007</v>
      </c>
    </row>
    <row r="12" spans="1:8" x14ac:dyDescent="0.25">
      <c r="A12" t="s">
        <v>33</v>
      </c>
      <c r="B12" s="93">
        <v>43318</v>
      </c>
      <c r="C12" s="93"/>
      <c r="D12" t="s">
        <v>367</v>
      </c>
      <c r="E12">
        <v>-22.99</v>
      </c>
      <c r="F12" t="s">
        <v>46</v>
      </c>
      <c r="G12">
        <v>8748.68</v>
      </c>
    </row>
    <row r="13" spans="1:8" x14ac:dyDescent="0.25">
      <c r="A13" t="s">
        <v>33</v>
      </c>
      <c r="B13" s="93">
        <v>43318</v>
      </c>
      <c r="C13" s="93"/>
      <c r="D13" t="s">
        <v>368</v>
      </c>
      <c r="E13">
        <v>-80.5</v>
      </c>
      <c r="F13" t="s">
        <v>46</v>
      </c>
      <c r="G13">
        <v>8771.67</v>
      </c>
    </row>
    <row r="14" spans="1:8" x14ac:dyDescent="0.25">
      <c r="A14" t="s">
        <v>33</v>
      </c>
      <c r="B14" s="93">
        <v>43318</v>
      </c>
      <c r="C14" s="93"/>
      <c r="D14" t="s">
        <v>369</v>
      </c>
      <c r="E14">
        <v>-7.96</v>
      </c>
      <c r="F14" t="s">
        <v>46</v>
      </c>
      <c r="G14">
        <v>8852.17</v>
      </c>
    </row>
    <row r="15" spans="1:8" x14ac:dyDescent="0.25">
      <c r="A15" t="s">
        <v>33</v>
      </c>
      <c r="B15" s="93">
        <v>43318</v>
      </c>
      <c r="C15" s="93"/>
      <c r="D15" t="s">
        <v>370</v>
      </c>
      <c r="E15">
        <v>-200</v>
      </c>
      <c r="F15" t="s">
        <v>58</v>
      </c>
      <c r="G15">
        <v>8860.1299999999992</v>
      </c>
    </row>
    <row r="16" spans="1:8" x14ac:dyDescent="0.25">
      <c r="A16" t="s">
        <v>33</v>
      </c>
      <c r="B16" s="93">
        <v>43318</v>
      </c>
      <c r="C16" s="93"/>
      <c r="D16" t="s">
        <v>371</v>
      </c>
      <c r="E16">
        <v>-12.81</v>
      </c>
      <c r="F16" t="s">
        <v>46</v>
      </c>
      <c r="G16">
        <v>9060.1299999999992</v>
      </c>
    </row>
    <row r="17" spans="1:7" x14ac:dyDescent="0.25">
      <c r="A17" t="s">
        <v>33</v>
      </c>
      <c r="B17" s="93">
        <v>43318</v>
      </c>
      <c r="C17" s="93"/>
      <c r="D17" t="s">
        <v>372</v>
      </c>
      <c r="E17">
        <v>-25.67</v>
      </c>
      <c r="F17" t="s">
        <v>46</v>
      </c>
      <c r="G17">
        <v>9072.94</v>
      </c>
    </row>
    <row r="18" spans="1:7" x14ac:dyDescent="0.25">
      <c r="A18" t="s">
        <v>33</v>
      </c>
      <c r="B18" s="93">
        <v>43318</v>
      </c>
      <c r="C18" s="94"/>
      <c r="D18" s="95" t="s">
        <v>373</v>
      </c>
      <c r="E18" s="95">
        <v>-519.17999999999995</v>
      </c>
      <c r="F18" t="s">
        <v>46</v>
      </c>
      <c r="G18">
        <v>9098.61</v>
      </c>
    </row>
    <row r="19" spans="1:7" x14ac:dyDescent="0.25">
      <c r="A19" t="s">
        <v>93</v>
      </c>
      <c r="B19" s="93">
        <v>43318</v>
      </c>
      <c r="C19" s="93"/>
      <c r="D19" t="s">
        <v>374</v>
      </c>
      <c r="E19">
        <v>850</v>
      </c>
      <c r="F19" t="s">
        <v>95</v>
      </c>
      <c r="G19">
        <v>9617.7900000000009</v>
      </c>
    </row>
    <row r="20" spans="1:7" x14ac:dyDescent="0.25">
      <c r="A20" t="s">
        <v>33</v>
      </c>
      <c r="B20" s="93">
        <v>43315</v>
      </c>
      <c r="C20" s="93"/>
      <c r="D20" t="s">
        <v>375</v>
      </c>
      <c r="E20">
        <v>-5.19</v>
      </c>
      <c r="F20" t="s">
        <v>46</v>
      </c>
      <c r="G20">
        <v>8767.7900000000009</v>
      </c>
    </row>
    <row r="21" spans="1:7" x14ac:dyDescent="0.25">
      <c r="A21" t="s">
        <v>33</v>
      </c>
      <c r="B21" s="93">
        <v>43315</v>
      </c>
      <c r="C21" s="93"/>
      <c r="D21" t="s">
        <v>376</v>
      </c>
      <c r="E21">
        <v>-31.95</v>
      </c>
      <c r="F21" t="s">
        <v>46</v>
      </c>
      <c r="G21">
        <v>8772.98</v>
      </c>
    </row>
    <row r="22" spans="1:7" x14ac:dyDescent="0.25">
      <c r="A22" t="s">
        <v>33</v>
      </c>
      <c r="B22" s="93">
        <v>43314</v>
      </c>
      <c r="C22" s="93"/>
      <c r="D22" t="s">
        <v>377</v>
      </c>
      <c r="E22">
        <v>-828.15</v>
      </c>
      <c r="F22" t="s">
        <v>107</v>
      </c>
      <c r="G22">
        <v>8804.93</v>
      </c>
    </row>
    <row r="23" spans="1:7" x14ac:dyDescent="0.25">
      <c r="A23" t="s">
        <v>33</v>
      </c>
      <c r="B23" s="93">
        <v>43314</v>
      </c>
      <c r="C23" s="93"/>
      <c r="D23" t="s">
        <v>378</v>
      </c>
      <c r="E23">
        <v>-11.95</v>
      </c>
      <c r="F23" t="s">
        <v>46</v>
      </c>
      <c r="G23">
        <v>9633.08</v>
      </c>
    </row>
    <row r="24" spans="1:7" x14ac:dyDescent="0.25">
      <c r="A24" t="s">
        <v>33</v>
      </c>
      <c r="B24" s="93">
        <v>43314</v>
      </c>
      <c r="C24" s="93"/>
      <c r="D24" t="s">
        <v>379</v>
      </c>
      <c r="E24">
        <v>-10.8</v>
      </c>
      <c r="F24" t="s">
        <v>46</v>
      </c>
      <c r="G24">
        <v>9645.0300000000007</v>
      </c>
    </row>
    <row r="25" spans="1:7" x14ac:dyDescent="0.25">
      <c r="A25" t="s">
        <v>33</v>
      </c>
      <c r="B25" s="93">
        <v>43313</v>
      </c>
      <c r="C25" s="93"/>
      <c r="D25" t="s">
        <v>380</v>
      </c>
      <c r="E25">
        <v>-40.08</v>
      </c>
      <c r="F25" t="s">
        <v>46</v>
      </c>
      <c r="G25">
        <v>9655.83</v>
      </c>
    </row>
    <row r="26" spans="1:7" x14ac:dyDescent="0.25">
      <c r="A26" t="s">
        <v>33</v>
      </c>
      <c r="B26" s="93">
        <v>43313</v>
      </c>
      <c r="C26" s="93"/>
      <c r="D26" t="s">
        <v>381</v>
      </c>
      <c r="E26">
        <v>-16.3</v>
      </c>
      <c r="F26" t="s">
        <v>46</v>
      </c>
      <c r="G26">
        <v>9695.91</v>
      </c>
    </row>
    <row r="27" spans="1:7" x14ac:dyDescent="0.25">
      <c r="A27" t="s">
        <v>33</v>
      </c>
      <c r="B27" s="93">
        <v>43313</v>
      </c>
      <c r="C27" s="93"/>
      <c r="D27" t="s">
        <v>382</v>
      </c>
      <c r="E27">
        <v>-14.84</v>
      </c>
      <c r="F27" t="s">
        <v>46</v>
      </c>
      <c r="G27">
        <v>9712.2099999999991</v>
      </c>
    </row>
    <row r="28" spans="1:7" x14ac:dyDescent="0.25">
      <c r="A28" t="s">
        <v>49</v>
      </c>
      <c r="B28" s="93">
        <v>43312</v>
      </c>
      <c r="C28" s="93"/>
      <c r="D28" t="s">
        <v>104</v>
      </c>
      <c r="E28">
        <v>0.09</v>
      </c>
      <c r="F28" t="s">
        <v>105</v>
      </c>
      <c r="G28">
        <v>9727.0499999999993</v>
      </c>
    </row>
    <row r="29" spans="1:7" x14ac:dyDescent="0.25">
      <c r="A29" t="s">
        <v>33</v>
      </c>
      <c r="B29" s="93">
        <v>43312</v>
      </c>
      <c r="C29" s="93"/>
      <c r="D29" t="s">
        <v>383</v>
      </c>
      <c r="E29">
        <v>-116.57</v>
      </c>
      <c r="F29" t="s">
        <v>46</v>
      </c>
      <c r="G29">
        <v>9726.9599999999991</v>
      </c>
    </row>
    <row r="30" spans="1:7" x14ac:dyDescent="0.25">
      <c r="A30" t="s">
        <v>33</v>
      </c>
      <c r="B30" s="93">
        <v>43312</v>
      </c>
      <c r="C30" s="93"/>
      <c r="D30" t="s">
        <v>384</v>
      </c>
      <c r="E30">
        <v>-11.08</v>
      </c>
      <c r="F30" t="s">
        <v>46</v>
      </c>
      <c r="G30">
        <v>9843.5300000000007</v>
      </c>
    </row>
    <row r="31" spans="1:7" x14ac:dyDescent="0.25">
      <c r="A31" t="s">
        <v>33</v>
      </c>
      <c r="B31" s="93">
        <v>43312</v>
      </c>
      <c r="C31" s="93"/>
      <c r="D31" t="s">
        <v>385</v>
      </c>
      <c r="E31">
        <v>-33.619999999999997</v>
      </c>
      <c r="F31" t="s">
        <v>46</v>
      </c>
      <c r="G31">
        <v>9854.61</v>
      </c>
    </row>
    <row r="32" spans="1:7" x14ac:dyDescent="0.25">
      <c r="A32" t="s">
        <v>33</v>
      </c>
      <c r="B32" s="93">
        <v>43311</v>
      </c>
      <c r="C32" s="93"/>
      <c r="D32" t="s">
        <v>106</v>
      </c>
      <c r="E32">
        <v>-437.54</v>
      </c>
      <c r="F32" t="s">
        <v>107</v>
      </c>
      <c r="G32">
        <v>9888.23</v>
      </c>
    </row>
    <row r="33" spans="1:7" x14ac:dyDescent="0.25">
      <c r="A33" t="s">
        <v>33</v>
      </c>
      <c r="B33" s="93">
        <v>43311</v>
      </c>
      <c r="C33" s="93"/>
      <c r="D33" t="s">
        <v>386</v>
      </c>
      <c r="E33">
        <v>-20.72</v>
      </c>
      <c r="F33" t="s">
        <v>46</v>
      </c>
      <c r="G33">
        <v>10325.77</v>
      </c>
    </row>
    <row r="34" spans="1:7" x14ac:dyDescent="0.25">
      <c r="A34" t="s">
        <v>33</v>
      </c>
      <c r="B34" s="93">
        <v>43311</v>
      </c>
      <c r="C34" s="93"/>
      <c r="D34" t="s">
        <v>387</v>
      </c>
      <c r="E34">
        <v>-1100</v>
      </c>
      <c r="F34" t="s">
        <v>35</v>
      </c>
      <c r="G34">
        <v>10346.49</v>
      </c>
    </row>
    <row r="35" spans="1:7" x14ac:dyDescent="0.25">
      <c r="A35" t="s">
        <v>33</v>
      </c>
      <c r="B35" s="93">
        <v>43311</v>
      </c>
      <c r="C35" s="93"/>
      <c r="D35" t="s">
        <v>388</v>
      </c>
      <c r="E35">
        <v>-14.96</v>
      </c>
      <c r="F35" t="s">
        <v>46</v>
      </c>
      <c r="G35">
        <v>11446.49</v>
      </c>
    </row>
    <row r="36" spans="1:7" x14ac:dyDescent="0.25">
      <c r="A36" t="s">
        <v>33</v>
      </c>
      <c r="B36" s="93">
        <v>43311</v>
      </c>
      <c r="C36" s="93"/>
      <c r="D36" t="s">
        <v>389</v>
      </c>
      <c r="E36">
        <v>-5.34</v>
      </c>
      <c r="F36" t="s">
        <v>46</v>
      </c>
      <c r="G36">
        <v>11461.45</v>
      </c>
    </row>
    <row r="37" spans="1:7" x14ac:dyDescent="0.25">
      <c r="A37" t="s">
        <v>33</v>
      </c>
      <c r="B37" s="93">
        <v>43311</v>
      </c>
      <c r="C37" s="93"/>
      <c r="D37" t="s">
        <v>390</v>
      </c>
      <c r="E37">
        <v>-31.8</v>
      </c>
      <c r="F37" t="s">
        <v>46</v>
      </c>
      <c r="G37">
        <v>11466.79</v>
      </c>
    </row>
    <row r="38" spans="1:7" x14ac:dyDescent="0.25">
      <c r="A38" t="s">
        <v>33</v>
      </c>
      <c r="B38" s="93">
        <v>43311</v>
      </c>
      <c r="C38" s="93"/>
      <c r="D38" t="s">
        <v>391</v>
      </c>
      <c r="E38">
        <v>-211.92</v>
      </c>
      <c r="F38" t="s">
        <v>46</v>
      </c>
      <c r="G38">
        <v>11498.59</v>
      </c>
    </row>
    <row r="39" spans="1:7" x14ac:dyDescent="0.25">
      <c r="A39" t="s">
        <v>33</v>
      </c>
      <c r="B39" s="93">
        <v>43311</v>
      </c>
      <c r="C39" s="93"/>
      <c r="D39" t="s">
        <v>392</v>
      </c>
      <c r="E39">
        <v>-253.34</v>
      </c>
      <c r="F39" t="s">
        <v>46</v>
      </c>
      <c r="G39">
        <v>11710.51</v>
      </c>
    </row>
    <row r="40" spans="1:7" x14ac:dyDescent="0.25">
      <c r="A40" t="s">
        <v>33</v>
      </c>
      <c r="B40" s="93">
        <v>43311</v>
      </c>
      <c r="C40" s="93"/>
      <c r="D40" t="s">
        <v>393</v>
      </c>
      <c r="E40">
        <v>-13.9</v>
      </c>
      <c r="F40" t="s">
        <v>46</v>
      </c>
      <c r="G40">
        <v>11963.85</v>
      </c>
    </row>
    <row r="41" spans="1:7" x14ac:dyDescent="0.25">
      <c r="A41" t="s">
        <v>33</v>
      </c>
      <c r="B41" s="93">
        <v>43311</v>
      </c>
      <c r="C41" s="93"/>
      <c r="D41" t="s">
        <v>394</v>
      </c>
      <c r="E41">
        <v>-4.2300000000000004</v>
      </c>
      <c r="F41" t="s">
        <v>46</v>
      </c>
      <c r="G41">
        <v>11977.75</v>
      </c>
    </row>
    <row r="42" spans="1:7" x14ac:dyDescent="0.25">
      <c r="A42" t="s">
        <v>33</v>
      </c>
      <c r="B42" s="93">
        <v>43311</v>
      </c>
      <c r="C42" s="93"/>
      <c r="D42" t="s">
        <v>395</v>
      </c>
      <c r="E42">
        <v>-7.96</v>
      </c>
      <c r="F42" t="s">
        <v>46</v>
      </c>
      <c r="G42">
        <v>11981.98</v>
      </c>
    </row>
    <row r="43" spans="1:7" x14ac:dyDescent="0.25">
      <c r="A43" t="s">
        <v>33</v>
      </c>
      <c r="B43" s="93">
        <v>43311</v>
      </c>
      <c r="C43" s="93"/>
      <c r="D43" t="s">
        <v>396</v>
      </c>
      <c r="E43">
        <v>-35.090000000000003</v>
      </c>
      <c r="F43" t="s">
        <v>46</v>
      </c>
      <c r="G43">
        <v>11989.94</v>
      </c>
    </row>
    <row r="44" spans="1:7" x14ac:dyDescent="0.25">
      <c r="A44" t="s">
        <v>33</v>
      </c>
      <c r="B44" s="93">
        <v>43311</v>
      </c>
      <c r="C44" s="93"/>
      <c r="D44" t="s">
        <v>397</v>
      </c>
      <c r="E44">
        <v>-120</v>
      </c>
      <c r="F44" t="s">
        <v>58</v>
      </c>
      <c r="G44">
        <v>12025.03</v>
      </c>
    </row>
    <row r="45" spans="1:7" x14ac:dyDescent="0.25">
      <c r="A45" t="s">
        <v>33</v>
      </c>
      <c r="B45" s="93">
        <v>43311</v>
      </c>
      <c r="C45" s="93"/>
      <c r="D45" t="s">
        <v>398</v>
      </c>
      <c r="E45">
        <v>-34.22</v>
      </c>
      <c r="F45" t="s">
        <v>46</v>
      </c>
      <c r="G45">
        <v>12145.03</v>
      </c>
    </row>
    <row r="46" spans="1:7" x14ac:dyDescent="0.25">
      <c r="A46" t="s">
        <v>33</v>
      </c>
      <c r="B46" s="93">
        <v>43311</v>
      </c>
      <c r="C46" s="93"/>
      <c r="D46" t="s">
        <v>399</v>
      </c>
      <c r="E46">
        <v>-4.2300000000000004</v>
      </c>
      <c r="F46" t="s">
        <v>46</v>
      </c>
      <c r="G46">
        <v>12179.25</v>
      </c>
    </row>
    <row r="47" spans="1:7" x14ac:dyDescent="0.25">
      <c r="A47" t="s">
        <v>33</v>
      </c>
      <c r="B47" s="93">
        <v>43311</v>
      </c>
      <c r="C47" s="93"/>
      <c r="D47" t="s">
        <v>400</v>
      </c>
      <c r="E47">
        <v>-9.6199999999999992</v>
      </c>
      <c r="F47" t="s">
        <v>46</v>
      </c>
      <c r="G47">
        <v>12183.48</v>
      </c>
    </row>
    <row r="48" spans="1:7" x14ac:dyDescent="0.25">
      <c r="A48" t="s">
        <v>93</v>
      </c>
      <c r="B48" s="93">
        <v>43311</v>
      </c>
      <c r="C48" s="93"/>
      <c r="D48" t="s">
        <v>401</v>
      </c>
      <c r="E48">
        <v>400</v>
      </c>
      <c r="F48" t="s">
        <v>95</v>
      </c>
      <c r="G48">
        <v>12193.1</v>
      </c>
    </row>
    <row r="49" spans="1:7" x14ac:dyDescent="0.25">
      <c r="A49" t="s">
        <v>33</v>
      </c>
      <c r="B49" s="93">
        <v>43308</v>
      </c>
      <c r="C49" s="93"/>
      <c r="D49" t="s">
        <v>402</v>
      </c>
      <c r="E49">
        <v>-30.3</v>
      </c>
      <c r="F49" t="s">
        <v>46</v>
      </c>
      <c r="G49">
        <v>11793.1</v>
      </c>
    </row>
    <row r="50" spans="1:7" x14ac:dyDescent="0.25">
      <c r="A50" t="s">
        <v>33</v>
      </c>
      <c r="B50" s="93">
        <v>43308</v>
      </c>
      <c r="C50" s="93"/>
      <c r="D50" t="s">
        <v>403</v>
      </c>
      <c r="E50">
        <v>-30.99</v>
      </c>
      <c r="F50" t="s">
        <v>46</v>
      </c>
      <c r="G50">
        <v>11823.4</v>
      </c>
    </row>
    <row r="51" spans="1:7" x14ac:dyDescent="0.25">
      <c r="A51" t="s">
        <v>33</v>
      </c>
      <c r="B51" s="93">
        <v>43308</v>
      </c>
      <c r="C51" s="93"/>
      <c r="D51" t="s">
        <v>404</v>
      </c>
      <c r="E51">
        <v>-95.35</v>
      </c>
      <c r="F51" t="s">
        <v>46</v>
      </c>
      <c r="G51">
        <v>11854.39</v>
      </c>
    </row>
    <row r="52" spans="1:7" x14ac:dyDescent="0.25">
      <c r="A52" t="s">
        <v>49</v>
      </c>
      <c r="B52" s="93">
        <v>43308</v>
      </c>
      <c r="C52" s="93"/>
      <c r="D52" t="s">
        <v>50</v>
      </c>
      <c r="E52">
        <v>63.31</v>
      </c>
      <c r="F52" t="s">
        <v>51</v>
      </c>
      <c r="G52">
        <v>11949.74</v>
      </c>
    </row>
    <row r="53" spans="1:7" x14ac:dyDescent="0.25">
      <c r="A53" t="s">
        <v>49</v>
      </c>
      <c r="B53" s="93">
        <v>43308</v>
      </c>
      <c r="C53" s="93"/>
      <c r="D53" t="s">
        <v>50</v>
      </c>
      <c r="E53">
        <v>3455.28</v>
      </c>
      <c r="F53" t="s">
        <v>51</v>
      </c>
      <c r="G53">
        <v>11886.43</v>
      </c>
    </row>
    <row r="54" spans="1:7" x14ac:dyDescent="0.25">
      <c r="A54" t="s">
        <v>33</v>
      </c>
      <c r="B54" s="93">
        <v>43307</v>
      </c>
      <c r="C54" s="93"/>
      <c r="D54" t="s">
        <v>405</v>
      </c>
      <c r="E54">
        <v>-6</v>
      </c>
      <c r="F54" t="s">
        <v>46</v>
      </c>
      <c r="G54">
        <v>8431.15</v>
      </c>
    </row>
    <row r="55" spans="1:7" x14ac:dyDescent="0.25">
      <c r="A55" t="s">
        <v>33</v>
      </c>
      <c r="B55" s="93">
        <v>43306</v>
      </c>
      <c r="C55" s="93"/>
      <c r="D55" t="s">
        <v>406</v>
      </c>
      <c r="E55">
        <v>-4.49</v>
      </c>
      <c r="F55" t="s">
        <v>46</v>
      </c>
      <c r="G55">
        <v>8437.15</v>
      </c>
    </row>
    <row r="56" spans="1:7" x14ac:dyDescent="0.25">
      <c r="A56" t="s">
        <v>33</v>
      </c>
      <c r="B56" s="93">
        <v>43306</v>
      </c>
      <c r="C56" s="93"/>
      <c r="D56" t="s">
        <v>407</v>
      </c>
      <c r="E56">
        <v>-3.17</v>
      </c>
      <c r="F56" t="s">
        <v>46</v>
      </c>
      <c r="G56">
        <v>8441.64</v>
      </c>
    </row>
    <row r="57" spans="1:7" x14ac:dyDescent="0.25">
      <c r="A57" t="s">
        <v>33</v>
      </c>
      <c r="B57" s="93">
        <v>43306</v>
      </c>
      <c r="C57" s="93"/>
      <c r="D57" t="s">
        <v>408</v>
      </c>
      <c r="E57">
        <v>-9.3000000000000007</v>
      </c>
      <c r="F57" t="s">
        <v>46</v>
      </c>
      <c r="G57">
        <v>8444.81</v>
      </c>
    </row>
    <row r="58" spans="1:7" x14ac:dyDescent="0.25">
      <c r="A58" t="s">
        <v>33</v>
      </c>
      <c r="B58" s="93">
        <v>43306</v>
      </c>
      <c r="C58" s="93"/>
      <c r="D58" t="s">
        <v>408</v>
      </c>
      <c r="E58">
        <v>-17.309999999999999</v>
      </c>
      <c r="F58" t="s">
        <v>46</v>
      </c>
      <c r="G58">
        <v>8454.11</v>
      </c>
    </row>
    <row r="59" spans="1:7" x14ac:dyDescent="0.25">
      <c r="A59" t="s">
        <v>33</v>
      </c>
      <c r="B59" s="93">
        <v>43306</v>
      </c>
      <c r="C59" s="93"/>
      <c r="D59" t="s">
        <v>409</v>
      </c>
      <c r="E59">
        <v>-13.52</v>
      </c>
      <c r="F59" t="s">
        <v>46</v>
      </c>
      <c r="G59">
        <v>8471.42</v>
      </c>
    </row>
    <row r="60" spans="1:7" x14ac:dyDescent="0.25">
      <c r="A60" t="s">
        <v>33</v>
      </c>
      <c r="B60" s="93">
        <v>43306</v>
      </c>
      <c r="C60" s="93"/>
      <c r="D60" t="s">
        <v>410</v>
      </c>
      <c r="E60">
        <v>-13.31</v>
      </c>
      <c r="F60" t="s">
        <v>46</v>
      </c>
      <c r="G60">
        <v>8484.94</v>
      </c>
    </row>
    <row r="61" spans="1:7" x14ac:dyDescent="0.25">
      <c r="A61" t="s">
        <v>33</v>
      </c>
      <c r="B61" s="93">
        <v>43305</v>
      </c>
      <c r="C61" s="93"/>
      <c r="D61" t="s">
        <v>411</v>
      </c>
      <c r="E61">
        <v>-35</v>
      </c>
      <c r="F61" t="s">
        <v>46</v>
      </c>
      <c r="G61">
        <v>8498.25</v>
      </c>
    </row>
    <row r="62" spans="1:7" x14ac:dyDescent="0.25">
      <c r="A62" t="s">
        <v>33</v>
      </c>
      <c r="B62" s="93">
        <v>43305</v>
      </c>
      <c r="C62" s="93"/>
      <c r="D62" t="s">
        <v>412</v>
      </c>
      <c r="E62">
        <v>-74.069999999999993</v>
      </c>
      <c r="F62" t="s">
        <v>46</v>
      </c>
      <c r="G62">
        <v>8533.25</v>
      </c>
    </row>
    <row r="63" spans="1:7" x14ac:dyDescent="0.25">
      <c r="A63" t="s">
        <v>33</v>
      </c>
      <c r="B63" s="93">
        <v>43305</v>
      </c>
      <c r="C63" s="93"/>
      <c r="D63" t="s">
        <v>413</v>
      </c>
      <c r="E63">
        <v>-37.92</v>
      </c>
      <c r="F63" t="s">
        <v>46</v>
      </c>
      <c r="G63">
        <v>8607.32</v>
      </c>
    </row>
    <row r="64" spans="1:7" x14ac:dyDescent="0.25">
      <c r="A64" t="s">
        <v>33</v>
      </c>
      <c r="B64" s="93">
        <v>43305</v>
      </c>
      <c r="C64" s="93"/>
      <c r="D64" t="s">
        <v>414</v>
      </c>
      <c r="E64">
        <v>-1300</v>
      </c>
      <c r="F64" t="s">
        <v>415</v>
      </c>
      <c r="G64">
        <v>8645.24</v>
      </c>
    </row>
    <row r="65" spans="1:7" x14ac:dyDescent="0.25">
      <c r="A65" t="s">
        <v>33</v>
      </c>
      <c r="B65" s="93">
        <v>43304</v>
      </c>
      <c r="C65" s="93"/>
      <c r="D65" t="s">
        <v>416</v>
      </c>
      <c r="E65">
        <v>-57.15</v>
      </c>
      <c r="F65" t="s">
        <v>46</v>
      </c>
      <c r="G65">
        <v>9945.24</v>
      </c>
    </row>
    <row r="66" spans="1:7" x14ac:dyDescent="0.25">
      <c r="A66" t="s">
        <v>33</v>
      </c>
      <c r="B66" s="93">
        <v>43304</v>
      </c>
      <c r="C66" s="93"/>
      <c r="D66" t="s">
        <v>417</v>
      </c>
      <c r="E66">
        <v>-4.9800000000000004</v>
      </c>
      <c r="F66" t="s">
        <v>46</v>
      </c>
      <c r="G66">
        <v>10002.39</v>
      </c>
    </row>
    <row r="67" spans="1:7" x14ac:dyDescent="0.25">
      <c r="A67" t="s">
        <v>33</v>
      </c>
      <c r="B67" s="93">
        <v>43304</v>
      </c>
      <c r="C67" s="93"/>
      <c r="D67" t="s">
        <v>418</v>
      </c>
      <c r="E67">
        <v>-55.58</v>
      </c>
      <c r="F67" t="s">
        <v>46</v>
      </c>
      <c r="G67">
        <v>10007.370000000001</v>
      </c>
    </row>
    <row r="68" spans="1:7" x14ac:dyDescent="0.25">
      <c r="A68" t="s">
        <v>33</v>
      </c>
      <c r="B68" s="93">
        <v>43304</v>
      </c>
      <c r="C68" s="93"/>
      <c r="D68" t="s">
        <v>419</v>
      </c>
      <c r="E68">
        <v>-87.79</v>
      </c>
      <c r="F68" t="s">
        <v>46</v>
      </c>
      <c r="G68">
        <v>10062.950000000001</v>
      </c>
    </row>
    <row r="69" spans="1:7" x14ac:dyDescent="0.25">
      <c r="A69" t="s">
        <v>33</v>
      </c>
      <c r="B69" s="93">
        <v>43304</v>
      </c>
      <c r="C69" s="93"/>
      <c r="D69" t="s">
        <v>420</v>
      </c>
      <c r="E69">
        <v>-7.42</v>
      </c>
      <c r="F69" t="s">
        <v>46</v>
      </c>
      <c r="G69">
        <v>10150.74</v>
      </c>
    </row>
    <row r="70" spans="1:7" x14ac:dyDescent="0.25">
      <c r="A70" t="s">
        <v>33</v>
      </c>
      <c r="B70" s="93">
        <v>43304</v>
      </c>
      <c r="C70" s="93"/>
      <c r="D70" t="s">
        <v>421</v>
      </c>
      <c r="E70">
        <v>-1020.75</v>
      </c>
      <c r="F70" t="s">
        <v>46</v>
      </c>
      <c r="G70">
        <v>10158.16</v>
      </c>
    </row>
    <row r="71" spans="1:7" x14ac:dyDescent="0.25">
      <c r="A71" t="s">
        <v>33</v>
      </c>
      <c r="B71" s="93">
        <v>43304</v>
      </c>
      <c r="C71" s="93"/>
      <c r="D71" t="s">
        <v>422</v>
      </c>
      <c r="E71">
        <v>-2.23</v>
      </c>
      <c r="F71" t="s">
        <v>46</v>
      </c>
      <c r="G71">
        <v>11178.91</v>
      </c>
    </row>
    <row r="72" spans="1:7" x14ac:dyDescent="0.25">
      <c r="A72" t="s">
        <v>33</v>
      </c>
      <c r="B72" s="93">
        <v>43304</v>
      </c>
      <c r="C72" s="93"/>
      <c r="D72" t="s">
        <v>423</v>
      </c>
      <c r="E72">
        <v>-3.75</v>
      </c>
      <c r="F72" t="s">
        <v>46</v>
      </c>
      <c r="G72">
        <v>11181.14</v>
      </c>
    </row>
    <row r="73" spans="1:7" x14ac:dyDescent="0.25">
      <c r="A73" t="s">
        <v>33</v>
      </c>
      <c r="B73" s="93">
        <v>43304</v>
      </c>
      <c r="C73" s="93"/>
      <c r="D73" t="s">
        <v>424</v>
      </c>
      <c r="E73">
        <v>-4.2300000000000004</v>
      </c>
      <c r="F73" t="s">
        <v>46</v>
      </c>
      <c r="G73">
        <v>11184.89</v>
      </c>
    </row>
    <row r="74" spans="1:7" x14ac:dyDescent="0.25">
      <c r="A74" t="s">
        <v>33</v>
      </c>
      <c r="B74" s="93">
        <v>43304</v>
      </c>
      <c r="C74" s="93"/>
      <c r="D74" t="s">
        <v>425</v>
      </c>
      <c r="E74">
        <v>-33.729999999999997</v>
      </c>
      <c r="F74" t="s">
        <v>46</v>
      </c>
      <c r="G74">
        <v>11189.12</v>
      </c>
    </row>
    <row r="75" spans="1:7" x14ac:dyDescent="0.25">
      <c r="A75" t="s">
        <v>33</v>
      </c>
      <c r="B75" s="93">
        <v>43304</v>
      </c>
      <c r="C75" s="93"/>
      <c r="D75" t="s">
        <v>426</v>
      </c>
      <c r="E75">
        <v>-5</v>
      </c>
      <c r="F75" t="s">
        <v>46</v>
      </c>
      <c r="G75">
        <v>11222.85</v>
      </c>
    </row>
    <row r="76" spans="1:7" x14ac:dyDescent="0.25">
      <c r="A76" t="s">
        <v>33</v>
      </c>
      <c r="B76" s="93">
        <v>43304</v>
      </c>
      <c r="C76" s="93"/>
      <c r="D76" t="s">
        <v>427</v>
      </c>
      <c r="E76">
        <v>11.37</v>
      </c>
      <c r="F76" t="s">
        <v>46</v>
      </c>
      <c r="G76">
        <v>11227.85</v>
      </c>
    </row>
    <row r="77" spans="1:7" x14ac:dyDescent="0.25">
      <c r="A77" t="s">
        <v>33</v>
      </c>
      <c r="B77" s="93">
        <v>43301</v>
      </c>
      <c r="C77" s="93"/>
      <c r="D77" t="s">
        <v>428</v>
      </c>
      <c r="E77">
        <v>-40</v>
      </c>
      <c r="F77" t="s">
        <v>46</v>
      </c>
      <c r="G77">
        <v>11216.48</v>
      </c>
    </row>
    <row r="78" spans="1:7" x14ac:dyDescent="0.25">
      <c r="A78" t="s">
        <v>33</v>
      </c>
      <c r="B78" s="93">
        <v>43301</v>
      </c>
      <c r="C78" s="93"/>
      <c r="D78" t="s">
        <v>429</v>
      </c>
      <c r="E78">
        <v>-29.6</v>
      </c>
      <c r="F78" t="s">
        <v>46</v>
      </c>
      <c r="G78">
        <v>11256.48</v>
      </c>
    </row>
    <row r="79" spans="1:7" x14ac:dyDescent="0.25">
      <c r="A79" t="s">
        <v>49</v>
      </c>
      <c r="B79" s="93">
        <v>43301</v>
      </c>
      <c r="C79" s="93"/>
      <c r="D79" t="s">
        <v>430</v>
      </c>
      <c r="E79">
        <v>1300</v>
      </c>
      <c r="F79" t="s">
        <v>130</v>
      </c>
      <c r="G79">
        <v>11286.08</v>
      </c>
    </row>
    <row r="80" spans="1:7" x14ac:dyDescent="0.25">
      <c r="A80" t="s">
        <v>33</v>
      </c>
      <c r="B80" s="93">
        <v>43300</v>
      </c>
      <c r="C80" s="93"/>
      <c r="D80" t="s">
        <v>431</v>
      </c>
      <c r="E80">
        <v>-5.23</v>
      </c>
      <c r="F80" t="s">
        <v>46</v>
      </c>
      <c r="G80">
        <v>9986.08</v>
      </c>
    </row>
    <row r="81" spans="1:8" x14ac:dyDescent="0.25">
      <c r="A81" t="s">
        <v>432</v>
      </c>
      <c r="B81" s="93">
        <v>43299</v>
      </c>
      <c r="C81" s="93"/>
      <c r="D81" t="s">
        <v>433</v>
      </c>
      <c r="E81">
        <v>-30</v>
      </c>
      <c r="F81" t="s">
        <v>434</v>
      </c>
      <c r="G81">
        <v>9991.31</v>
      </c>
      <c r="H81">
        <v>4102</v>
      </c>
    </row>
    <row r="82" spans="1:8" x14ac:dyDescent="0.25">
      <c r="A82" t="s">
        <v>33</v>
      </c>
      <c r="B82" s="93">
        <v>43299</v>
      </c>
      <c r="C82" s="93"/>
      <c r="D82" t="s">
        <v>435</v>
      </c>
      <c r="E82">
        <v>-10.3</v>
      </c>
      <c r="F82" t="s">
        <v>46</v>
      </c>
      <c r="G82">
        <v>10021.31</v>
      </c>
    </row>
    <row r="83" spans="1:8" x14ac:dyDescent="0.25">
      <c r="A83" t="s">
        <v>33</v>
      </c>
      <c r="B83" s="93">
        <v>43299</v>
      </c>
      <c r="C83" s="93"/>
      <c r="D83" t="s">
        <v>436</v>
      </c>
      <c r="E83">
        <v>-4.2300000000000004</v>
      </c>
      <c r="F83" t="s">
        <v>46</v>
      </c>
      <c r="G83">
        <v>10031.61</v>
      </c>
    </row>
    <row r="84" spans="1:8" x14ac:dyDescent="0.25">
      <c r="A84" t="s">
        <v>33</v>
      </c>
      <c r="B84" s="93">
        <v>43299</v>
      </c>
      <c r="C84" s="93"/>
      <c r="D84" t="s">
        <v>437</v>
      </c>
      <c r="E84">
        <v>-100</v>
      </c>
      <c r="F84" t="s">
        <v>438</v>
      </c>
      <c r="G84">
        <v>10035.84</v>
      </c>
    </row>
    <row r="85" spans="1:8" x14ac:dyDescent="0.25">
      <c r="A85" t="s">
        <v>33</v>
      </c>
      <c r="B85" s="93">
        <v>43299</v>
      </c>
      <c r="C85" s="93"/>
      <c r="D85" t="s">
        <v>439</v>
      </c>
      <c r="E85">
        <v>-25.67</v>
      </c>
      <c r="F85" t="s">
        <v>46</v>
      </c>
      <c r="G85">
        <v>10135.84</v>
      </c>
    </row>
    <row r="86" spans="1:8" x14ac:dyDescent="0.25">
      <c r="A86" t="s">
        <v>33</v>
      </c>
      <c r="B86" s="93">
        <v>43299</v>
      </c>
      <c r="C86" s="93"/>
      <c r="D86" t="s">
        <v>440</v>
      </c>
      <c r="E86">
        <v>-1</v>
      </c>
      <c r="F86" t="s">
        <v>46</v>
      </c>
      <c r="G86">
        <v>10161.51</v>
      </c>
    </row>
    <row r="87" spans="1:8" x14ac:dyDescent="0.25">
      <c r="A87" t="s">
        <v>33</v>
      </c>
      <c r="B87" s="93">
        <v>43299</v>
      </c>
      <c r="C87" s="93"/>
      <c r="D87" t="s">
        <v>441</v>
      </c>
      <c r="E87">
        <v>-13.77</v>
      </c>
      <c r="F87" t="s">
        <v>46</v>
      </c>
      <c r="G87">
        <v>10162.51</v>
      </c>
    </row>
    <row r="88" spans="1:8" x14ac:dyDescent="0.25">
      <c r="A88" t="s">
        <v>33</v>
      </c>
      <c r="B88" s="93">
        <v>43298</v>
      </c>
      <c r="C88" s="93"/>
      <c r="D88" t="s">
        <v>442</v>
      </c>
      <c r="E88">
        <v>-17.510000000000002</v>
      </c>
      <c r="F88" t="s">
        <v>107</v>
      </c>
      <c r="G88">
        <v>10176.280000000001</v>
      </c>
    </row>
    <row r="89" spans="1:8" x14ac:dyDescent="0.25">
      <c r="A89" t="s">
        <v>33</v>
      </c>
      <c r="B89" s="93">
        <v>43298</v>
      </c>
      <c r="C89" s="93"/>
      <c r="D89" t="s">
        <v>443</v>
      </c>
      <c r="E89">
        <v>-39.25</v>
      </c>
      <c r="F89" t="s">
        <v>46</v>
      </c>
      <c r="G89">
        <v>10193.790000000001</v>
      </c>
    </row>
    <row r="90" spans="1:8" x14ac:dyDescent="0.25">
      <c r="A90" t="s">
        <v>33</v>
      </c>
      <c r="B90" s="93">
        <v>43298</v>
      </c>
      <c r="C90" s="93"/>
      <c r="D90" t="s">
        <v>444</v>
      </c>
      <c r="E90">
        <v>-4.2300000000000004</v>
      </c>
      <c r="F90" t="s">
        <v>46</v>
      </c>
      <c r="G90">
        <v>10233.040000000001</v>
      </c>
    </row>
    <row r="91" spans="1:8" x14ac:dyDescent="0.25">
      <c r="A91" t="s">
        <v>33</v>
      </c>
      <c r="B91" s="93">
        <v>43298</v>
      </c>
      <c r="C91" s="93"/>
      <c r="D91" t="s">
        <v>445</v>
      </c>
      <c r="E91">
        <v>-12.45</v>
      </c>
      <c r="F91" t="s">
        <v>46</v>
      </c>
      <c r="G91">
        <v>10237.27</v>
      </c>
    </row>
    <row r="92" spans="1:8" x14ac:dyDescent="0.25">
      <c r="A92" t="s">
        <v>33</v>
      </c>
      <c r="B92" s="93">
        <v>43298</v>
      </c>
      <c r="C92" s="94"/>
      <c r="D92" s="95" t="s">
        <v>446</v>
      </c>
      <c r="E92" s="96">
        <v>-146.19999999999999</v>
      </c>
      <c r="F92" t="s">
        <v>46</v>
      </c>
      <c r="G92">
        <v>10249.719999999999</v>
      </c>
    </row>
    <row r="93" spans="1:8" x14ac:dyDescent="0.25">
      <c r="A93" t="s">
        <v>33</v>
      </c>
      <c r="B93" s="93">
        <v>43298</v>
      </c>
      <c r="C93" s="94"/>
      <c r="D93" s="95" t="s">
        <v>446</v>
      </c>
      <c r="E93" s="96">
        <v>-146.19999999999999</v>
      </c>
      <c r="F93" t="s">
        <v>46</v>
      </c>
      <c r="G93">
        <v>10395.92</v>
      </c>
    </row>
    <row r="94" spans="1:8" x14ac:dyDescent="0.25">
      <c r="A94" t="s">
        <v>33</v>
      </c>
      <c r="B94" s="93">
        <v>43298</v>
      </c>
      <c r="C94" s="94"/>
      <c r="D94" s="95" t="s">
        <v>447</v>
      </c>
      <c r="E94" s="96">
        <v>-194.8</v>
      </c>
      <c r="F94" t="s">
        <v>46</v>
      </c>
      <c r="G94">
        <v>10542.12</v>
      </c>
    </row>
    <row r="95" spans="1:8" x14ac:dyDescent="0.25">
      <c r="A95" t="s">
        <v>33</v>
      </c>
      <c r="B95" s="93">
        <v>43298</v>
      </c>
      <c r="C95" s="94"/>
      <c r="D95" s="95" t="s">
        <v>447</v>
      </c>
      <c r="E95" s="96">
        <v>-194.8</v>
      </c>
      <c r="F95" t="s">
        <v>46</v>
      </c>
      <c r="G95">
        <v>10736.92</v>
      </c>
    </row>
    <row r="96" spans="1:8" x14ac:dyDescent="0.25">
      <c r="A96" t="s">
        <v>33</v>
      </c>
      <c r="B96" s="93">
        <v>43298</v>
      </c>
      <c r="C96" s="93"/>
      <c r="D96" t="s">
        <v>448</v>
      </c>
      <c r="E96">
        <v>-30.5</v>
      </c>
      <c r="F96" t="s">
        <v>46</v>
      </c>
      <c r="G96">
        <v>10931.72</v>
      </c>
    </row>
    <row r="97" spans="1:7" x14ac:dyDescent="0.25">
      <c r="A97" t="s">
        <v>33</v>
      </c>
      <c r="B97" s="93">
        <v>43297</v>
      </c>
      <c r="C97" s="93"/>
      <c r="D97" t="s">
        <v>449</v>
      </c>
      <c r="E97">
        <v>-5.66</v>
      </c>
      <c r="F97" t="s">
        <v>46</v>
      </c>
      <c r="G97">
        <v>10962.22</v>
      </c>
    </row>
    <row r="98" spans="1:7" x14ac:dyDescent="0.25">
      <c r="A98" t="s">
        <v>33</v>
      </c>
      <c r="B98" s="93">
        <v>43297</v>
      </c>
      <c r="C98" s="93"/>
      <c r="D98" t="s">
        <v>449</v>
      </c>
      <c r="E98">
        <v>-48</v>
      </c>
      <c r="F98" t="s">
        <v>46</v>
      </c>
      <c r="G98">
        <v>10967.88</v>
      </c>
    </row>
    <row r="99" spans="1:7" x14ac:dyDescent="0.25">
      <c r="A99" t="s">
        <v>33</v>
      </c>
      <c r="B99" s="93">
        <v>43297</v>
      </c>
      <c r="C99" s="93"/>
      <c r="D99" t="s">
        <v>450</v>
      </c>
      <c r="E99">
        <v>-4.2300000000000004</v>
      </c>
      <c r="F99" t="s">
        <v>46</v>
      </c>
      <c r="G99">
        <v>11015.88</v>
      </c>
    </row>
    <row r="100" spans="1:7" x14ac:dyDescent="0.25">
      <c r="A100" t="s">
        <v>33</v>
      </c>
      <c r="B100" s="93">
        <v>43297</v>
      </c>
      <c r="C100" s="93"/>
      <c r="D100" t="s">
        <v>451</v>
      </c>
      <c r="E100">
        <v>-22.99</v>
      </c>
      <c r="F100" t="s">
        <v>46</v>
      </c>
      <c r="G100">
        <v>11020.11</v>
      </c>
    </row>
    <row r="101" spans="1:7" x14ac:dyDescent="0.25">
      <c r="A101" t="s">
        <v>33</v>
      </c>
      <c r="B101" s="93">
        <v>43297</v>
      </c>
      <c r="C101" s="93"/>
      <c r="D101" t="s">
        <v>452</v>
      </c>
      <c r="E101">
        <v>-40</v>
      </c>
      <c r="F101" t="s">
        <v>46</v>
      </c>
      <c r="G101">
        <v>11043.1</v>
      </c>
    </row>
    <row r="102" spans="1:7" x14ac:dyDescent="0.25">
      <c r="A102" t="s">
        <v>33</v>
      </c>
      <c r="B102" s="93">
        <v>43297</v>
      </c>
      <c r="C102" s="93"/>
      <c r="D102" t="s">
        <v>453</v>
      </c>
      <c r="E102">
        <v>-7.97</v>
      </c>
      <c r="F102" t="s">
        <v>46</v>
      </c>
      <c r="G102">
        <v>11083.1</v>
      </c>
    </row>
    <row r="103" spans="1:7" x14ac:dyDescent="0.25">
      <c r="A103" t="s">
        <v>33</v>
      </c>
      <c r="B103" s="93">
        <v>43297</v>
      </c>
      <c r="C103" s="93"/>
      <c r="D103" t="s">
        <v>454</v>
      </c>
      <c r="E103">
        <v>-7.96</v>
      </c>
      <c r="F103" t="s">
        <v>46</v>
      </c>
      <c r="G103">
        <v>11091.07</v>
      </c>
    </row>
    <row r="104" spans="1:7" x14ac:dyDescent="0.25">
      <c r="A104" t="s">
        <v>33</v>
      </c>
      <c r="B104" s="93">
        <v>43297</v>
      </c>
      <c r="C104" s="93"/>
      <c r="D104" t="s">
        <v>455</v>
      </c>
      <c r="E104">
        <v>-40.78</v>
      </c>
      <c r="F104" t="s">
        <v>46</v>
      </c>
      <c r="G104">
        <v>11099.03</v>
      </c>
    </row>
    <row r="105" spans="1:7" x14ac:dyDescent="0.25">
      <c r="A105" t="s">
        <v>33</v>
      </c>
      <c r="B105" s="93">
        <v>43297</v>
      </c>
      <c r="C105" s="93"/>
      <c r="D105" t="s">
        <v>456</v>
      </c>
      <c r="E105">
        <v>-23</v>
      </c>
      <c r="F105" t="s">
        <v>46</v>
      </c>
      <c r="G105">
        <v>11139.81</v>
      </c>
    </row>
    <row r="106" spans="1:7" x14ac:dyDescent="0.25">
      <c r="A106" t="s">
        <v>33</v>
      </c>
      <c r="B106" s="93">
        <v>43297</v>
      </c>
      <c r="C106" s="93"/>
      <c r="D106" t="s">
        <v>457</v>
      </c>
      <c r="E106">
        <v>-4.2300000000000004</v>
      </c>
      <c r="F106" t="s">
        <v>46</v>
      </c>
      <c r="G106">
        <v>11162.81</v>
      </c>
    </row>
    <row r="107" spans="1:7" x14ac:dyDescent="0.25">
      <c r="A107" t="s">
        <v>33</v>
      </c>
      <c r="B107" s="93">
        <v>43297</v>
      </c>
      <c r="C107" s="93"/>
      <c r="D107" t="s">
        <v>458</v>
      </c>
      <c r="E107">
        <v>-43.45</v>
      </c>
      <c r="F107" t="s">
        <v>46</v>
      </c>
      <c r="G107">
        <v>11167.04</v>
      </c>
    </row>
    <row r="108" spans="1:7" x14ac:dyDescent="0.25">
      <c r="A108" t="s">
        <v>33</v>
      </c>
      <c r="B108" s="93">
        <v>43294</v>
      </c>
      <c r="C108" s="93"/>
      <c r="D108" t="s">
        <v>459</v>
      </c>
      <c r="E108">
        <v>-7.58</v>
      </c>
      <c r="F108" t="s">
        <v>46</v>
      </c>
      <c r="G108">
        <v>11210.49</v>
      </c>
    </row>
    <row r="109" spans="1:7" x14ac:dyDescent="0.25">
      <c r="A109" t="s">
        <v>33</v>
      </c>
      <c r="B109" s="93">
        <v>43294</v>
      </c>
      <c r="C109" s="93"/>
      <c r="D109" t="s">
        <v>460</v>
      </c>
      <c r="E109">
        <v>-5</v>
      </c>
      <c r="F109" t="s">
        <v>35</v>
      </c>
      <c r="G109">
        <v>11218.07</v>
      </c>
    </row>
    <row r="110" spans="1:7" x14ac:dyDescent="0.25">
      <c r="A110" t="s">
        <v>33</v>
      </c>
      <c r="B110" s="93">
        <v>43294</v>
      </c>
      <c r="C110" s="93"/>
      <c r="D110" t="s">
        <v>461</v>
      </c>
      <c r="E110">
        <v>-17.309999999999999</v>
      </c>
      <c r="F110" t="s">
        <v>46</v>
      </c>
      <c r="G110">
        <v>11223.07</v>
      </c>
    </row>
    <row r="111" spans="1:7" x14ac:dyDescent="0.25">
      <c r="A111" t="s">
        <v>49</v>
      </c>
      <c r="B111" s="93">
        <v>43294</v>
      </c>
      <c r="C111" s="93"/>
      <c r="D111" t="s">
        <v>50</v>
      </c>
      <c r="E111">
        <v>3455.28</v>
      </c>
      <c r="F111" t="s">
        <v>51</v>
      </c>
      <c r="G111">
        <v>11240.38</v>
      </c>
    </row>
    <row r="112" spans="1:7" x14ac:dyDescent="0.25">
      <c r="A112" t="s">
        <v>33</v>
      </c>
      <c r="B112" s="93">
        <v>43293</v>
      </c>
      <c r="C112" s="93"/>
      <c r="D112" t="s">
        <v>462</v>
      </c>
      <c r="E112">
        <v>-30.41</v>
      </c>
      <c r="F112" t="s">
        <v>46</v>
      </c>
      <c r="G112">
        <v>7785.1</v>
      </c>
    </row>
    <row r="113" spans="1:7" x14ac:dyDescent="0.25">
      <c r="A113" t="s">
        <v>33</v>
      </c>
      <c r="B113" s="93">
        <v>43293</v>
      </c>
      <c r="C113" s="93"/>
      <c r="D113" t="s">
        <v>463</v>
      </c>
      <c r="E113">
        <v>-27.55</v>
      </c>
      <c r="F113" t="s">
        <v>46</v>
      </c>
      <c r="G113">
        <v>7815.51</v>
      </c>
    </row>
    <row r="114" spans="1:7" x14ac:dyDescent="0.25">
      <c r="A114" t="s">
        <v>33</v>
      </c>
      <c r="B114" s="93">
        <v>43293</v>
      </c>
      <c r="C114" s="93"/>
      <c r="D114" t="s">
        <v>464</v>
      </c>
      <c r="E114">
        <v>-4.82</v>
      </c>
      <c r="F114" t="s">
        <v>46</v>
      </c>
      <c r="G114">
        <v>7843.06</v>
      </c>
    </row>
    <row r="115" spans="1:7" x14ac:dyDescent="0.25">
      <c r="A115" t="s">
        <v>33</v>
      </c>
      <c r="B115" s="93">
        <v>43292</v>
      </c>
      <c r="C115" s="93"/>
      <c r="D115" t="s">
        <v>465</v>
      </c>
      <c r="E115">
        <v>-12.47</v>
      </c>
      <c r="F115" t="s">
        <v>46</v>
      </c>
      <c r="G115">
        <v>7847.88</v>
      </c>
    </row>
    <row r="116" spans="1:7" x14ac:dyDescent="0.25">
      <c r="A116" t="s">
        <v>33</v>
      </c>
      <c r="B116" s="93">
        <v>43292</v>
      </c>
      <c r="C116" s="93"/>
      <c r="D116" t="s">
        <v>466</v>
      </c>
      <c r="E116">
        <v>-65.739999999999995</v>
      </c>
      <c r="F116" t="s">
        <v>46</v>
      </c>
      <c r="G116">
        <v>7860.35</v>
      </c>
    </row>
    <row r="117" spans="1:7" x14ac:dyDescent="0.25">
      <c r="A117" t="s">
        <v>33</v>
      </c>
      <c r="B117" s="93">
        <v>43292</v>
      </c>
      <c r="C117" s="93"/>
      <c r="D117" t="s">
        <v>467</v>
      </c>
      <c r="E117">
        <v>-29.16</v>
      </c>
      <c r="F117" t="s">
        <v>46</v>
      </c>
      <c r="G117">
        <v>7926.09</v>
      </c>
    </row>
    <row r="118" spans="1:7" x14ac:dyDescent="0.25">
      <c r="A118" t="s">
        <v>33</v>
      </c>
      <c r="B118" s="93">
        <v>43291</v>
      </c>
      <c r="C118" s="93"/>
      <c r="D118" t="s">
        <v>468</v>
      </c>
      <c r="E118">
        <v>-14.5</v>
      </c>
      <c r="F118" t="s">
        <v>46</v>
      </c>
      <c r="G118">
        <v>7955.25</v>
      </c>
    </row>
    <row r="119" spans="1:7" x14ac:dyDescent="0.25">
      <c r="A119" t="s">
        <v>33</v>
      </c>
      <c r="B119" s="93">
        <v>43290</v>
      </c>
      <c r="C119" s="93"/>
      <c r="D119" t="s">
        <v>469</v>
      </c>
      <c r="E119">
        <v>-27.91</v>
      </c>
      <c r="F119" t="s">
        <v>46</v>
      </c>
      <c r="G119">
        <v>7969.75</v>
      </c>
    </row>
    <row r="120" spans="1:7" x14ac:dyDescent="0.25">
      <c r="A120" t="s">
        <v>33</v>
      </c>
      <c r="B120" s="93">
        <v>43290</v>
      </c>
      <c r="C120" s="93"/>
      <c r="D120" t="s">
        <v>470</v>
      </c>
      <c r="E120">
        <v>-37.79</v>
      </c>
      <c r="F120" t="s">
        <v>46</v>
      </c>
      <c r="G120">
        <v>7997.66</v>
      </c>
    </row>
    <row r="121" spans="1:7" x14ac:dyDescent="0.25">
      <c r="A121" t="s">
        <v>33</v>
      </c>
      <c r="B121" s="93">
        <v>43290</v>
      </c>
      <c r="C121" s="93"/>
      <c r="D121" t="s">
        <v>471</v>
      </c>
      <c r="E121">
        <v>-906.79</v>
      </c>
      <c r="F121" t="s">
        <v>46</v>
      </c>
      <c r="G121">
        <v>8035.45</v>
      </c>
    </row>
    <row r="122" spans="1:7" x14ac:dyDescent="0.25">
      <c r="A122" t="s">
        <v>33</v>
      </c>
      <c r="B122" s="93">
        <v>43290</v>
      </c>
      <c r="C122" s="93"/>
      <c r="D122" t="s">
        <v>472</v>
      </c>
      <c r="E122">
        <v>-17.45</v>
      </c>
      <c r="F122" t="s">
        <v>46</v>
      </c>
      <c r="G122">
        <v>8942.24</v>
      </c>
    </row>
    <row r="123" spans="1:7" x14ac:dyDescent="0.25">
      <c r="A123" t="s">
        <v>33</v>
      </c>
      <c r="B123" s="93">
        <v>43290</v>
      </c>
      <c r="C123" s="93"/>
      <c r="D123" t="s">
        <v>473</v>
      </c>
      <c r="E123">
        <v>-30.1</v>
      </c>
      <c r="F123" t="s">
        <v>46</v>
      </c>
      <c r="G123">
        <v>8959.69</v>
      </c>
    </row>
    <row r="124" spans="1:7" x14ac:dyDescent="0.25">
      <c r="A124" t="s">
        <v>33</v>
      </c>
      <c r="B124" s="93">
        <v>43290</v>
      </c>
      <c r="C124" s="93"/>
      <c r="D124" t="s">
        <v>474</v>
      </c>
      <c r="E124">
        <v>-41.41</v>
      </c>
      <c r="F124" t="s">
        <v>46</v>
      </c>
      <c r="G124">
        <v>8989.7900000000009</v>
      </c>
    </row>
    <row r="125" spans="1:7" x14ac:dyDescent="0.25">
      <c r="A125" t="s">
        <v>33</v>
      </c>
      <c r="B125" s="93">
        <v>43290</v>
      </c>
      <c r="C125" s="93"/>
      <c r="D125" t="s">
        <v>475</v>
      </c>
      <c r="E125">
        <v>-40</v>
      </c>
      <c r="F125" t="s">
        <v>58</v>
      </c>
      <c r="G125">
        <v>9031.2000000000007</v>
      </c>
    </row>
    <row r="126" spans="1:7" x14ac:dyDescent="0.25">
      <c r="A126" t="s">
        <v>33</v>
      </c>
      <c r="B126" s="93">
        <v>43290</v>
      </c>
      <c r="C126" s="93"/>
      <c r="D126" t="s">
        <v>476</v>
      </c>
      <c r="E126">
        <v>-4.87</v>
      </c>
      <c r="F126" t="s">
        <v>46</v>
      </c>
      <c r="G126">
        <v>9071.2000000000007</v>
      </c>
    </row>
    <row r="127" spans="1:7" x14ac:dyDescent="0.25">
      <c r="A127" t="s">
        <v>33</v>
      </c>
      <c r="B127" s="93">
        <v>43287</v>
      </c>
      <c r="C127" s="93"/>
      <c r="D127" t="s">
        <v>477</v>
      </c>
      <c r="E127">
        <v>-24.64</v>
      </c>
      <c r="F127" t="s">
        <v>46</v>
      </c>
      <c r="G127">
        <v>9076.07</v>
      </c>
    </row>
    <row r="128" spans="1:7" x14ac:dyDescent="0.25">
      <c r="A128" t="s">
        <v>33</v>
      </c>
      <c r="B128" s="93">
        <v>43287</v>
      </c>
      <c r="C128" s="93"/>
      <c r="D128" t="s">
        <v>478</v>
      </c>
      <c r="E128">
        <v>-4.2300000000000004</v>
      </c>
      <c r="F128" t="s">
        <v>46</v>
      </c>
      <c r="G128">
        <v>9100.7099999999991</v>
      </c>
    </row>
    <row r="129" spans="1:7" x14ac:dyDescent="0.25">
      <c r="A129" t="s">
        <v>33</v>
      </c>
      <c r="B129" s="93">
        <v>43287</v>
      </c>
      <c r="C129" s="93"/>
      <c r="D129" t="s">
        <v>479</v>
      </c>
      <c r="E129">
        <v>-25.67</v>
      </c>
      <c r="F129" t="s">
        <v>46</v>
      </c>
      <c r="G129">
        <v>9104.94</v>
      </c>
    </row>
    <row r="130" spans="1:7" x14ac:dyDescent="0.25">
      <c r="A130" t="s">
        <v>33</v>
      </c>
      <c r="B130" s="93">
        <v>43287</v>
      </c>
      <c r="C130" s="93"/>
      <c r="D130" t="s">
        <v>480</v>
      </c>
      <c r="E130">
        <v>-4.82</v>
      </c>
      <c r="F130" t="s">
        <v>46</v>
      </c>
      <c r="G130">
        <v>9130.61</v>
      </c>
    </row>
    <row r="131" spans="1:7" x14ac:dyDescent="0.25">
      <c r="A131" t="s">
        <v>33</v>
      </c>
      <c r="B131" s="93">
        <v>43286</v>
      </c>
      <c r="C131" s="93"/>
      <c r="D131" t="s">
        <v>364</v>
      </c>
      <c r="E131">
        <v>-298</v>
      </c>
      <c r="F131" t="s">
        <v>107</v>
      </c>
      <c r="G131">
        <v>9135.43</v>
      </c>
    </row>
    <row r="132" spans="1:7" x14ac:dyDescent="0.25">
      <c r="A132" t="s">
        <v>33</v>
      </c>
      <c r="B132" s="93">
        <v>43286</v>
      </c>
      <c r="C132" s="93"/>
      <c r="D132" t="s">
        <v>481</v>
      </c>
      <c r="E132">
        <v>-57.19</v>
      </c>
      <c r="F132" t="s">
        <v>46</v>
      </c>
      <c r="G132">
        <v>9433.43</v>
      </c>
    </row>
    <row r="133" spans="1:7" x14ac:dyDescent="0.25">
      <c r="A133" t="s">
        <v>33</v>
      </c>
      <c r="B133" s="93">
        <v>43286</v>
      </c>
      <c r="C133" s="93"/>
      <c r="D133" t="s">
        <v>482</v>
      </c>
      <c r="E133">
        <v>-20.03</v>
      </c>
      <c r="F133" t="s">
        <v>46</v>
      </c>
      <c r="G133">
        <v>9490.6200000000008</v>
      </c>
    </row>
    <row r="134" spans="1:7" x14ac:dyDescent="0.25">
      <c r="A134" t="s">
        <v>33</v>
      </c>
      <c r="B134" s="93">
        <v>43286</v>
      </c>
      <c r="C134" s="93"/>
      <c r="D134" t="s">
        <v>483</v>
      </c>
      <c r="E134">
        <v>-10.55</v>
      </c>
      <c r="F134" t="s">
        <v>46</v>
      </c>
      <c r="G134">
        <v>9510.65</v>
      </c>
    </row>
    <row r="135" spans="1:7" x14ac:dyDescent="0.25">
      <c r="A135" t="s">
        <v>33</v>
      </c>
      <c r="B135" s="93">
        <v>43286</v>
      </c>
      <c r="C135" s="93"/>
      <c r="D135" t="s">
        <v>484</v>
      </c>
      <c r="E135">
        <v>-4.2300000000000004</v>
      </c>
      <c r="F135" t="s">
        <v>46</v>
      </c>
      <c r="G135">
        <v>9521.2000000000007</v>
      </c>
    </row>
    <row r="136" spans="1:7" x14ac:dyDescent="0.25">
      <c r="A136" t="s">
        <v>33</v>
      </c>
      <c r="B136" s="93">
        <v>43286</v>
      </c>
      <c r="C136" s="93"/>
      <c r="D136" t="s">
        <v>485</v>
      </c>
      <c r="E136">
        <v>-12.6</v>
      </c>
      <c r="F136" t="s">
        <v>46</v>
      </c>
      <c r="G136">
        <v>9525.43</v>
      </c>
    </row>
    <row r="137" spans="1:7" x14ac:dyDescent="0.25">
      <c r="A137" t="s">
        <v>33</v>
      </c>
      <c r="B137" s="93">
        <v>43286</v>
      </c>
      <c r="C137" s="93"/>
      <c r="D137" t="s">
        <v>486</v>
      </c>
      <c r="E137">
        <v>-4.2300000000000004</v>
      </c>
      <c r="F137" t="s">
        <v>46</v>
      </c>
      <c r="G137">
        <v>9538.0300000000007</v>
      </c>
    </row>
    <row r="138" spans="1:7" x14ac:dyDescent="0.25">
      <c r="A138" t="s">
        <v>33</v>
      </c>
      <c r="B138" s="93">
        <v>43286</v>
      </c>
      <c r="C138" s="93"/>
      <c r="D138" t="s">
        <v>487</v>
      </c>
      <c r="E138">
        <v>-6.15</v>
      </c>
      <c r="F138" t="s">
        <v>46</v>
      </c>
      <c r="G138">
        <v>9542.26</v>
      </c>
    </row>
    <row r="139" spans="1:7" x14ac:dyDescent="0.25">
      <c r="A139" t="s">
        <v>33</v>
      </c>
      <c r="B139" s="93">
        <v>43286</v>
      </c>
      <c r="C139" s="93"/>
      <c r="D139" t="s">
        <v>488</v>
      </c>
      <c r="E139">
        <v>-25.94</v>
      </c>
      <c r="F139" t="s">
        <v>46</v>
      </c>
      <c r="G139">
        <v>9548.41</v>
      </c>
    </row>
    <row r="140" spans="1:7" x14ac:dyDescent="0.25">
      <c r="A140" t="s">
        <v>33</v>
      </c>
      <c r="B140" s="93">
        <v>43284</v>
      </c>
      <c r="C140" s="93"/>
      <c r="D140" t="s">
        <v>377</v>
      </c>
      <c r="E140">
        <v>-828.15</v>
      </c>
      <c r="F140" t="s">
        <v>107</v>
      </c>
      <c r="G140">
        <v>9574.35</v>
      </c>
    </row>
    <row r="141" spans="1:7" x14ac:dyDescent="0.25">
      <c r="A141" t="s">
        <v>33</v>
      </c>
      <c r="B141" s="93">
        <v>43284</v>
      </c>
      <c r="C141" s="93"/>
      <c r="D141" t="s">
        <v>489</v>
      </c>
      <c r="E141">
        <v>-64.66</v>
      </c>
      <c r="F141" t="s">
        <v>46</v>
      </c>
      <c r="G141">
        <v>10402.5</v>
      </c>
    </row>
    <row r="142" spans="1:7" x14ac:dyDescent="0.25">
      <c r="A142" t="s">
        <v>33</v>
      </c>
      <c r="B142" s="93">
        <v>43284</v>
      </c>
      <c r="C142" s="93"/>
      <c r="D142" t="s">
        <v>490</v>
      </c>
      <c r="E142">
        <v>-43.34</v>
      </c>
      <c r="F142" t="s">
        <v>46</v>
      </c>
      <c r="G142">
        <v>10467.16</v>
      </c>
    </row>
    <row r="143" spans="1:7" x14ac:dyDescent="0.25">
      <c r="A143" t="s">
        <v>33</v>
      </c>
      <c r="B143" s="93">
        <v>43283</v>
      </c>
      <c r="C143" s="93"/>
      <c r="D143" t="s">
        <v>491</v>
      </c>
      <c r="E143">
        <v>-21.21</v>
      </c>
      <c r="F143" t="s">
        <v>46</v>
      </c>
      <c r="G143">
        <v>10510.5</v>
      </c>
    </row>
    <row r="144" spans="1:7" x14ac:dyDescent="0.25">
      <c r="A144" t="s">
        <v>33</v>
      </c>
      <c r="B144" s="93">
        <v>43283</v>
      </c>
      <c r="C144" s="93"/>
      <c r="D144" t="s">
        <v>492</v>
      </c>
      <c r="E144">
        <v>-75</v>
      </c>
      <c r="F144" t="s">
        <v>128</v>
      </c>
      <c r="G144">
        <v>10531.71</v>
      </c>
    </row>
    <row r="145" spans="1:7" x14ac:dyDescent="0.25">
      <c r="A145" t="s">
        <v>33</v>
      </c>
      <c r="B145" s="93">
        <v>43283</v>
      </c>
      <c r="C145" s="93"/>
      <c r="D145" t="s">
        <v>493</v>
      </c>
      <c r="E145">
        <v>-41.41</v>
      </c>
      <c r="F145" t="s">
        <v>46</v>
      </c>
      <c r="G145">
        <v>10606.71</v>
      </c>
    </row>
    <row r="146" spans="1:7" x14ac:dyDescent="0.25">
      <c r="A146" t="s">
        <v>33</v>
      </c>
      <c r="B146" s="93">
        <v>43283</v>
      </c>
      <c r="C146" s="93"/>
      <c r="D146" t="s">
        <v>494</v>
      </c>
      <c r="E146">
        <v>-58.04</v>
      </c>
      <c r="F146" t="s">
        <v>46</v>
      </c>
      <c r="G146">
        <v>10648.12</v>
      </c>
    </row>
    <row r="147" spans="1:7" x14ac:dyDescent="0.25">
      <c r="A147" t="s">
        <v>33</v>
      </c>
      <c r="B147" s="93">
        <v>43283</v>
      </c>
      <c r="C147" s="93"/>
      <c r="D147" t="s">
        <v>495</v>
      </c>
      <c r="E147">
        <v>-21.39</v>
      </c>
      <c r="F147" t="s">
        <v>46</v>
      </c>
      <c r="G147">
        <v>10706.16</v>
      </c>
    </row>
    <row r="148" spans="1:7" x14ac:dyDescent="0.25">
      <c r="A148" t="s">
        <v>33</v>
      </c>
      <c r="B148" s="93">
        <v>43283</v>
      </c>
      <c r="C148" s="93"/>
      <c r="D148" t="s">
        <v>496</v>
      </c>
      <c r="E148">
        <v>-4.2300000000000004</v>
      </c>
      <c r="F148" t="s">
        <v>46</v>
      </c>
      <c r="G148">
        <v>10727.55</v>
      </c>
    </row>
    <row r="149" spans="1:7" x14ac:dyDescent="0.25">
      <c r="A149" t="s">
        <v>33</v>
      </c>
      <c r="B149" s="93">
        <v>43283</v>
      </c>
      <c r="C149" s="93"/>
      <c r="D149" t="s">
        <v>497</v>
      </c>
      <c r="E149">
        <v>-7.99</v>
      </c>
      <c r="F149" t="s">
        <v>46</v>
      </c>
      <c r="G149">
        <v>10731.78</v>
      </c>
    </row>
    <row r="150" spans="1:7" x14ac:dyDescent="0.25">
      <c r="A150" t="s">
        <v>33</v>
      </c>
      <c r="B150" s="93">
        <v>43283</v>
      </c>
      <c r="C150" s="93"/>
      <c r="D150" t="s">
        <v>498</v>
      </c>
      <c r="E150">
        <v>-4.01</v>
      </c>
      <c r="F150" t="s">
        <v>46</v>
      </c>
      <c r="G150">
        <v>10739.77</v>
      </c>
    </row>
    <row r="151" spans="1:7" x14ac:dyDescent="0.25">
      <c r="A151" t="s">
        <v>33</v>
      </c>
      <c r="B151" s="93">
        <v>43283</v>
      </c>
      <c r="C151" s="93"/>
      <c r="D151" t="s">
        <v>499</v>
      </c>
      <c r="E151">
        <v>-284.23</v>
      </c>
      <c r="F151" t="s">
        <v>46</v>
      </c>
      <c r="G151">
        <v>10743.78</v>
      </c>
    </row>
    <row r="152" spans="1:7" x14ac:dyDescent="0.25">
      <c r="A152" t="s">
        <v>33</v>
      </c>
      <c r="B152" s="93">
        <v>43283</v>
      </c>
      <c r="C152" s="93"/>
      <c r="D152" t="s">
        <v>500</v>
      </c>
      <c r="E152">
        <v>-74.650000000000006</v>
      </c>
      <c r="F152" t="s">
        <v>46</v>
      </c>
      <c r="G152">
        <v>11028.01</v>
      </c>
    </row>
    <row r="153" spans="1:7" x14ac:dyDescent="0.25">
      <c r="A153" t="s">
        <v>33</v>
      </c>
      <c r="B153" s="93">
        <v>43283</v>
      </c>
      <c r="C153" s="93"/>
      <c r="D153" t="s">
        <v>501</v>
      </c>
      <c r="E153">
        <v>-1700</v>
      </c>
      <c r="F153" t="s">
        <v>35</v>
      </c>
      <c r="G153">
        <v>11102.66</v>
      </c>
    </row>
    <row r="154" spans="1:7" x14ac:dyDescent="0.25">
      <c r="A154" t="s">
        <v>33</v>
      </c>
      <c r="B154" s="93">
        <v>43283</v>
      </c>
      <c r="C154" s="93"/>
      <c r="D154" t="s">
        <v>502</v>
      </c>
      <c r="E154">
        <v>-25.67</v>
      </c>
      <c r="F154" t="s">
        <v>46</v>
      </c>
      <c r="G154">
        <v>12802.66</v>
      </c>
    </row>
    <row r="155" spans="1:7" x14ac:dyDescent="0.25">
      <c r="A155" t="s">
        <v>49</v>
      </c>
      <c r="B155" s="93">
        <v>43283</v>
      </c>
      <c r="C155" s="93"/>
      <c r="D155" t="s">
        <v>503</v>
      </c>
      <c r="E155">
        <v>1857.84</v>
      </c>
      <c r="F155" t="s">
        <v>130</v>
      </c>
      <c r="G155">
        <v>12828.33</v>
      </c>
    </row>
  </sheetData>
  <autoFilter ref="A1:H155" xr:uid="{DA902554-B428-4DBE-AD51-53A8527FE91D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 tint="0.499984740745262"/>
    <pageSetUpPr fitToPage="1"/>
  </sheetPr>
  <dimension ref="A1:BC57"/>
  <sheetViews>
    <sheetView showGridLines="0" zoomScale="85" zoomScaleNormal="85" workbookViewId="0">
      <selection activeCell="E26" sqref="E26"/>
    </sheetView>
  </sheetViews>
  <sheetFormatPr defaultRowHeight="15" x14ac:dyDescent="0.25"/>
  <cols>
    <col min="1" max="1" width="3.28515625" customWidth="1"/>
    <col min="2" max="2" width="18.7109375" customWidth="1"/>
    <col min="3" max="3" width="8.28515625" customWidth="1"/>
    <col min="4" max="4" width="2.42578125" customWidth="1"/>
    <col min="5" max="5" width="8.28515625" customWidth="1"/>
    <col min="6" max="6" width="2.42578125" customWidth="1"/>
    <col min="7" max="7" width="8.28515625" customWidth="1"/>
    <col min="8" max="8" width="6.42578125" customWidth="1"/>
    <col min="9" max="9" width="8.28515625" customWidth="1"/>
    <col min="10" max="10" width="2.42578125" customWidth="1"/>
    <col min="11" max="11" width="8.28515625" customWidth="1"/>
    <col min="12" max="12" width="2.42578125" customWidth="1"/>
    <col min="13" max="13" width="8.28515625" customWidth="1"/>
    <col min="14" max="14" width="6.42578125" customWidth="1"/>
    <col min="15" max="15" width="8.28515625" customWidth="1"/>
    <col min="16" max="16" width="2.42578125" customWidth="1"/>
    <col min="17" max="17" width="8.28515625" customWidth="1"/>
    <col min="18" max="18" width="2.42578125" customWidth="1"/>
    <col min="19" max="19" width="8.28515625" customWidth="1"/>
    <col min="20" max="20" width="6.42578125" customWidth="1"/>
    <col min="21" max="21" width="8.28515625" customWidth="1"/>
    <col min="22" max="22" width="2.42578125" customWidth="1"/>
    <col min="23" max="23" width="8.28515625" customWidth="1"/>
    <col min="24" max="24" width="2.42578125" customWidth="1"/>
    <col min="25" max="25" width="8.28515625" customWidth="1"/>
    <col min="26" max="26" width="6.42578125" customWidth="1"/>
    <col min="27" max="27" width="8.28515625" customWidth="1"/>
    <col min="28" max="28" width="2.42578125" customWidth="1"/>
    <col min="29" max="29" width="8.28515625" customWidth="1"/>
    <col min="30" max="30" width="2.42578125" customWidth="1"/>
    <col min="31" max="31" width="8.28515625" customWidth="1"/>
    <col min="32" max="32" width="6.42578125" customWidth="1"/>
    <col min="33" max="33" width="8.28515625" customWidth="1"/>
    <col min="34" max="34" width="2.42578125" customWidth="1"/>
    <col min="35" max="35" width="8.28515625" customWidth="1"/>
    <col min="36" max="36" width="2.42578125" customWidth="1"/>
    <col min="37" max="37" width="8.28515625" customWidth="1"/>
    <col min="38" max="38" width="6.42578125" customWidth="1"/>
    <col min="39" max="39" width="8.28515625" customWidth="1"/>
    <col min="40" max="40" width="2.42578125" customWidth="1"/>
    <col min="41" max="41" width="8.28515625" customWidth="1"/>
    <col min="42" max="42" width="2.42578125" customWidth="1"/>
    <col min="43" max="43" width="8.28515625" customWidth="1"/>
    <col min="44" max="44" width="6.42578125" customWidth="1"/>
    <col min="45" max="45" width="8.28515625" customWidth="1"/>
    <col min="46" max="46" width="2.42578125" customWidth="1"/>
    <col min="47" max="47" width="8.28515625" customWidth="1"/>
    <col min="48" max="48" width="2.42578125" customWidth="1"/>
    <col min="49" max="49" width="8.28515625" customWidth="1"/>
    <col min="50" max="50" width="6.42578125" customWidth="1"/>
    <col min="51" max="51" width="8.28515625" customWidth="1"/>
    <col min="52" max="52" width="2.42578125" customWidth="1"/>
    <col min="53" max="53" width="8.28515625" customWidth="1"/>
    <col min="54" max="54" width="2.42578125" customWidth="1"/>
    <col min="55" max="55" width="8.28515625" customWidth="1"/>
  </cols>
  <sheetData>
    <row r="1" spans="1:55" ht="21" x14ac:dyDescent="0.35">
      <c r="A1" s="98" t="s">
        <v>589</v>
      </c>
      <c r="B1" s="98"/>
    </row>
    <row r="3" spans="1:55" ht="21" x14ac:dyDescent="0.45">
      <c r="C3" s="139" t="s">
        <v>0</v>
      </c>
      <c r="D3" s="139"/>
      <c r="E3" s="139"/>
      <c r="F3" s="139"/>
      <c r="G3" s="139"/>
      <c r="I3" s="139" t="s">
        <v>1</v>
      </c>
      <c r="J3" s="139"/>
      <c r="K3" s="139"/>
      <c r="L3" s="139"/>
      <c r="M3" s="139"/>
      <c r="O3" s="139" t="s">
        <v>131</v>
      </c>
      <c r="P3" s="139"/>
      <c r="Q3" s="139"/>
      <c r="R3" s="139"/>
      <c r="S3" s="139"/>
      <c r="U3" s="139" t="s">
        <v>137</v>
      </c>
      <c r="V3" s="139"/>
      <c r="W3" s="139"/>
      <c r="X3" s="139"/>
      <c r="Y3" s="139"/>
      <c r="AA3" s="139" t="s">
        <v>136</v>
      </c>
      <c r="AB3" s="139"/>
      <c r="AC3" s="139"/>
      <c r="AD3" s="139"/>
      <c r="AE3" s="139"/>
      <c r="AG3" s="139" t="s">
        <v>135</v>
      </c>
      <c r="AH3" s="139"/>
      <c r="AI3" s="139"/>
      <c r="AJ3" s="139"/>
      <c r="AK3" s="139"/>
      <c r="AM3" s="139" t="s">
        <v>134</v>
      </c>
      <c r="AN3" s="139"/>
      <c r="AO3" s="139"/>
      <c r="AP3" s="139"/>
      <c r="AQ3" s="139"/>
      <c r="AS3" s="139" t="s">
        <v>133</v>
      </c>
      <c r="AT3" s="139"/>
      <c r="AU3" s="139"/>
      <c r="AV3" s="139"/>
      <c r="AW3" s="139"/>
      <c r="AY3" s="139" t="s">
        <v>212</v>
      </c>
      <c r="AZ3" s="139"/>
      <c r="BA3" s="139"/>
      <c r="BB3" s="139"/>
      <c r="BC3" s="139"/>
    </row>
    <row r="4" spans="1:55" ht="6.75" customHeight="1" x14ac:dyDescent="0.25"/>
    <row r="5" spans="1:55" x14ac:dyDescent="0.25">
      <c r="C5" s="1"/>
      <c r="D5" s="1"/>
      <c r="E5" s="1" t="s">
        <v>2</v>
      </c>
      <c r="F5" s="1"/>
      <c r="G5" s="1"/>
      <c r="H5" s="1"/>
      <c r="I5" s="1"/>
      <c r="J5" s="1"/>
      <c r="K5" s="1" t="s">
        <v>2</v>
      </c>
      <c r="L5" s="1"/>
      <c r="M5" s="1"/>
      <c r="N5" s="1"/>
      <c r="O5" s="1"/>
      <c r="P5" s="1"/>
      <c r="Q5" s="1" t="s">
        <v>2</v>
      </c>
      <c r="R5" s="1"/>
      <c r="S5" s="1"/>
      <c r="T5" s="1"/>
      <c r="U5" s="1"/>
      <c r="V5" s="1"/>
      <c r="W5" s="1" t="s">
        <v>2</v>
      </c>
      <c r="X5" s="1"/>
      <c r="Y5" s="1"/>
      <c r="Z5" s="1"/>
      <c r="AA5" s="1"/>
      <c r="AB5" s="1"/>
      <c r="AC5" s="1" t="s">
        <v>2</v>
      </c>
      <c r="AD5" s="1"/>
      <c r="AE5" s="1"/>
      <c r="AF5" s="1"/>
      <c r="AG5" s="1"/>
      <c r="AH5" s="1"/>
      <c r="AI5" s="1" t="s">
        <v>2</v>
      </c>
      <c r="AJ5" s="1"/>
      <c r="AK5" s="1"/>
      <c r="AL5" s="1"/>
      <c r="AM5" s="1"/>
      <c r="AN5" s="1"/>
      <c r="AO5" s="1" t="s">
        <v>2</v>
      </c>
      <c r="AP5" s="1"/>
      <c r="AQ5" s="1"/>
      <c r="AR5" s="1"/>
      <c r="AS5" s="1"/>
      <c r="AT5" s="1"/>
      <c r="AU5" s="1" t="s">
        <v>2</v>
      </c>
      <c r="AV5" s="1"/>
      <c r="AW5" s="1"/>
      <c r="AX5" s="1"/>
      <c r="AY5" s="1"/>
      <c r="AZ5" s="1"/>
      <c r="BA5" s="1" t="s">
        <v>2</v>
      </c>
      <c r="BB5" s="1"/>
      <c r="BC5" s="1"/>
    </row>
    <row r="6" spans="1:55" ht="17.25" x14ac:dyDescent="0.4">
      <c r="C6" s="2" t="s">
        <v>3</v>
      </c>
      <c r="D6" s="1"/>
      <c r="E6" s="2" t="s">
        <v>4</v>
      </c>
      <c r="F6" s="1"/>
      <c r="G6" s="2" t="s">
        <v>132</v>
      </c>
      <c r="H6" s="1"/>
      <c r="I6" s="2" t="s">
        <v>3</v>
      </c>
      <c r="J6" s="1"/>
      <c r="K6" s="2" t="s">
        <v>4</v>
      </c>
      <c r="L6" s="1"/>
      <c r="M6" s="2" t="s">
        <v>132</v>
      </c>
      <c r="N6" s="1"/>
      <c r="O6" s="2" t="s">
        <v>3</v>
      </c>
      <c r="P6" s="1"/>
      <c r="Q6" s="2" t="s">
        <v>4</v>
      </c>
      <c r="R6" s="1"/>
      <c r="S6" s="2" t="s">
        <v>132</v>
      </c>
      <c r="T6" s="1"/>
      <c r="U6" s="2" t="s">
        <v>3</v>
      </c>
      <c r="V6" s="1"/>
      <c r="W6" s="2" t="s">
        <v>4</v>
      </c>
      <c r="X6" s="1"/>
      <c r="Y6" s="2" t="s">
        <v>132</v>
      </c>
      <c r="Z6" s="1"/>
      <c r="AA6" s="2" t="s">
        <v>3</v>
      </c>
      <c r="AB6" s="1"/>
      <c r="AC6" s="2" t="s">
        <v>4</v>
      </c>
      <c r="AD6" s="1"/>
      <c r="AE6" s="2" t="s">
        <v>132</v>
      </c>
      <c r="AF6" s="1"/>
      <c r="AG6" s="2" t="s">
        <v>3</v>
      </c>
      <c r="AH6" s="1"/>
      <c r="AI6" s="2" t="s">
        <v>4</v>
      </c>
      <c r="AJ6" s="1"/>
      <c r="AK6" s="2" t="s">
        <v>132</v>
      </c>
      <c r="AL6" s="1"/>
      <c r="AM6" s="2" t="s">
        <v>3</v>
      </c>
      <c r="AN6" s="1"/>
      <c r="AO6" s="2" t="s">
        <v>4</v>
      </c>
      <c r="AP6" s="1"/>
      <c r="AQ6" s="2" t="s">
        <v>132</v>
      </c>
      <c r="AR6" s="1"/>
      <c r="AS6" s="2" t="s">
        <v>3</v>
      </c>
      <c r="AT6" s="1"/>
      <c r="AU6" s="2" t="s">
        <v>4</v>
      </c>
      <c r="AV6" s="1"/>
      <c r="AW6" s="2" t="s">
        <v>132</v>
      </c>
      <c r="AX6" s="1"/>
      <c r="AY6" s="2" t="s">
        <v>3</v>
      </c>
      <c r="AZ6" s="1"/>
      <c r="BA6" s="2" t="s">
        <v>4</v>
      </c>
      <c r="BB6" s="1"/>
      <c r="BC6" s="2" t="s">
        <v>132</v>
      </c>
    </row>
    <row r="7" spans="1:55" ht="15.75" x14ac:dyDescent="0.25">
      <c r="A7" s="59" t="s">
        <v>5</v>
      </c>
    </row>
    <row r="8" spans="1:55" x14ac:dyDescent="0.25">
      <c r="B8" t="s">
        <v>6</v>
      </c>
      <c r="C8" s="47">
        <v>4455</v>
      </c>
      <c r="D8" s="47"/>
      <c r="E8" s="47">
        <v>4455</v>
      </c>
      <c r="F8" s="47"/>
      <c r="G8" s="47">
        <f>E8-C8</f>
        <v>0</v>
      </c>
      <c r="H8" s="47"/>
      <c r="I8" s="47">
        <f>SUM(data!N18:N20)</f>
        <v>10365.84</v>
      </c>
      <c r="J8" s="47"/>
      <c r="K8" s="47">
        <v>10365.84</v>
      </c>
      <c r="L8" s="47"/>
      <c r="M8" s="47">
        <f>K8-I8</f>
        <v>0</v>
      </c>
      <c r="N8" s="47"/>
      <c r="O8" s="47">
        <f>SUM(data!N16:N17)</f>
        <v>6910.56</v>
      </c>
      <c r="P8" s="47"/>
      <c r="Q8" s="47">
        <f>3455.28*2</f>
        <v>6910.56</v>
      </c>
      <c r="R8" s="47"/>
      <c r="S8" s="47">
        <f>Q8-O8</f>
        <v>0</v>
      </c>
      <c r="T8" s="47"/>
      <c r="U8" s="47">
        <f>SUM(data!N14:N15)</f>
        <v>6910.56</v>
      </c>
      <c r="V8" s="47"/>
      <c r="W8" s="47">
        <f>3455.28*2</f>
        <v>6910.56</v>
      </c>
      <c r="X8" s="47"/>
      <c r="Y8" s="47">
        <f>W8-U8</f>
        <v>0</v>
      </c>
      <c r="Z8" s="47"/>
      <c r="AA8" s="47">
        <f>SUM(data!N12:N13)</f>
        <v>6910.56</v>
      </c>
      <c r="AB8" s="47"/>
      <c r="AC8" s="47">
        <f>3455.28*2</f>
        <v>6910.56</v>
      </c>
      <c r="AD8" s="47"/>
      <c r="AE8" s="47">
        <f>AC8-AA8</f>
        <v>0</v>
      </c>
      <c r="AF8" s="47"/>
      <c r="AG8" s="47">
        <f>SUM(data!N10:N11)</f>
        <v>6910.56</v>
      </c>
      <c r="AH8" s="47"/>
      <c r="AI8" s="47">
        <f>3455.28*2</f>
        <v>6910.56</v>
      </c>
      <c r="AJ8" s="47"/>
      <c r="AK8" s="47">
        <f>AI8-AG8</f>
        <v>0</v>
      </c>
      <c r="AL8" s="47"/>
      <c r="AM8" s="47">
        <f>SUM(data!N7:N9)</f>
        <v>10365.84</v>
      </c>
      <c r="AN8" s="47"/>
      <c r="AO8" s="47">
        <v>10365.84</v>
      </c>
      <c r="AP8" s="47"/>
      <c r="AQ8" s="47">
        <f>AO8-AM8</f>
        <v>0</v>
      </c>
      <c r="AR8" s="47"/>
      <c r="AS8" s="47">
        <f>SUM(data!N5:N6)</f>
        <v>6910.56</v>
      </c>
      <c r="AT8" s="47"/>
      <c r="AU8" s="47">
        <f>3455.28*2</f>
        <v>6910.56</v>
      </c>
      <c r="AV8" s="47"/>
      <c r="AW8" s="47">
        <f>AU8-AS8</f>
        <v>0</v>
      </c>
      <c r="AX8" s="47"/>
      <c r="AY8" s="47">
        <f>C8+I8+O8+U8+AA8+AG8+AM8+AS8</f>
        <v>59739.479999999996</v>
      </c>
      <c r="AZ8" s="47"/>
      <c r="BA8" s="47">
        <f>E8+K8+Q8+W8+AC8+AI8+AO8+AU8</f>
        <v>59739.479999999996</v>
      </c>
      <c r="BB8" s="47"/>
      <c r="BC8" s="47">
        <f>BA8-AY8</f>
        <v>0</v>
      </c>
    </row>
    <row r="9" spans="1:55" x14ac:dyDescent="0.25">
      <c r="B9" t="s">
        <v>7</v>
      </c>
      <c r="C9" s="47">
        <v>1300</v>
      </c>
      <c r="D9" s="47"/>
      <c r="E9" s="47">
        <v>1300</v>
      </c>
      <c r="F9" s="47"/>
      <c r="G9" s="47">
        <f>E9-C9</f>
        <v>0</v>
      </c>
      <c r="H9" s="47"/>
      <c r="I9" s="47">
        <v>1300</v>
      </c>
      <c r="J9" s="47"/>
      <c r="K9" s="47">
        <v>1300</v>
      </c>
      <c r="L9" s="47"/>
      <c r="M9" s="47">
        <f>K9-I9</f>
        <v>0</v>
      </c>
      <c r="N9" s="47"/>
      <c r="O9" s="47">
        <v>0</v>
      </c>
      <c r="P9" s="47"/>
      <c r="Q9" s="47">
        <v>0</v>
      </c>
      <c r="R9" s="47"/>
      <c r="S9" s="47">
        <f>Q9-O9</f>
        <v>0</v>
      </c>
      <c r="T9" s="47"/>
      <c r="U9" s="47">
        <v>1250</v>
      </c>
      <c r="V9" s="47"/>
      <c r="W9" s="47">
        <v>1250</v>
      </c>
      <c r="X9" s="47"/>
      <c r="Y9" s="47">
        <f>W9-U9</f>
        <v>0</v>
      </c>
      <c r="Z9" s="47"/>
      <c r="AA9" s="47">
        <v>1250</v>
      </c>
      <c r="AB9" s="47"/>
      <c r="AC9" s="47">
        <v>1250</v>
      </c>
      <c r="AD9" s="47"/>
      <c r="AE9" s="47">
        <f>AC9-AA9</f>
        <v>0</v>
      </c>
      <c r="AF9" s="47"/>
      <c r="AG9" s="47">
        <v>1250</v>
      </c>
      <c r="AH9" s="47"/>
      <c r="AI9" s="50">
        <v>1250</v>
      </c>
      <c r="AJ9" s="47"/>
      <c r="AK9" s="47">
        <f>AI9-AG9</f>
        <v>0</v>
      </c>
      <c r="AL9" s="47"/>
      <c r="AM9" s="47">
        <v>1250</v>
      </c>
      <c r="AN9" s="47"/>
      <c r="AO9" s="50">
        <v>1250</v>
      </c>
      <c r="AP9" s="47"/>
      <c r="AQ9" s="47">
        <f>AO9-AM9</f>
        <v>0</v>
      </c>
      <c r="AR9" s="47"/>
      <c r="AS9" s="47">
        <v>1250</v>
      </c>
      <c r="AT9" s="47"/>
      <c r="AU9" s="50">
        <v>1250</v>
      </c>
      <c r="AV9" s="47"/>
      <c r="AW9" s="47">
        <f>AU9-AS9</f>
        <v>0</v>
      </c>
      <c r="AX9" s="47"/>
      <c r="AY9" s="47">
        <f t="shared" ref="AY9:BA10" si="0">C9+I9+O9+U9+AA9+AG9+AM9+AS9</f>
        <v>8850</v>
      </c>
      <c r="AZ9" s="47"/>
      <c r="BA9" s="47">
        <f t="shared" si="0"/>
        <v>8850</v>
      </c>
      <c r="BB9" s="47"/>
      <c r="BC9" s="47">
        <f>BA9-AY9</f>
        <v>0</v>
      </c>
    </row>
    <row r="10" spans="1:55" ht="17.25" x14ac:dyDescent="0.4">
      <c r="B10" t="s">
        <v>8</v>
      </c>
      <c r="C10" s="48">
        <v>274</v>
      </c>
      <c r="D10" s="47"/>
      <c r="E10" s="48">
        <v>274</v>
      </c>
      <c r="F10" s="47"/>
      <c r="G10" s="48">
        <f>E10-C10</f>
        <v>0</v>
      </c>
      <c r="H10" s="47"/>
      <c r="I10" s="48">
        <f>298+100+N("$100 for hurricane assessment to last through Dec")</f>
        <v>398</v>
      </c>
      <c r="J10" s="47"/>
      <c r="K10" s="48">
        <f>298+100+N("$100 for hurricane assessment to last through Dec")</f>
        <v>398</v>
      </c>
      <c r="L10" s="47"/>
      <c r="M10" s="48">
        <f>K10-I10</f>
        <v>0</v>
      </c>
      <c r="N10" s="47"/>
      <c r="O10" s="48">
        <f>298+100+N("$100 for hurricane assessment to last through Dec")</f>
        <v>398</v>
      </c>
      <c r="P10" s="47"/>
      <c r="Q10" s="48">
        <f>298+100+N("$100 for hurricane assessment to last through Dec")</f>
        <v>398</v>
      </c>
      <c r="R10" s="47"/>
      <c r="S10" s="48">
        <f>Q10-O10</f>
        <v>0</v>
      </c>
      <c r="T10" s="47"/>
      <c r="U10" s="48">
        <f>298+100+N("$100 for hurricane assessment to last through Dec")</f>
        <v>398</v>
      </c>
      <c r="V10" s="47"/>
      <c r="W10" s="54">
        <f>298+100+N("$100 for hurricane assessment to last through Dec")</f>
        <v>398</v>
      </c>
      <c r="X10" s="47"/>
      <c r="Y10" s="48">
        <f>W10-U10</f>
        <v>0</v>
      </c>
      <c r="Z10" s="47"/>
      <c r="AA10" s="48">
        <f>298+100+N("$100 for hurricane assessment to last through Dec")</f>
        <v>398</v>
      </c>
      <c r="AB10" s="47"/>
      <c r="AC10" s="54">
        <f>298+100+N("$100 for hurricane assessment to last through Dec")</f>
        <v>398</v>
      </c>
      <c r="AD10" s="47"/>
      <c r="AE10" s="48">
        <f>AC10-AA10</f>
        <v>0</v>
      </c>
      <c r="AF10" s="47"/>
      <c r="AG10" s="48">
        <f>298+100+N("$100 for hurricane assessment to last through Dec")</f>
        <v>398</v>
      </c>
      <c r="AH10" s="47"/>
      <c r="AI10" s="54">
        <f>298+100+N("$100 for hurricane assessment to last through Dec")</f>
        <v>398</v>
      </c>
      <c r="AJ10" s="47"/>
      <c r="AK10" s="48">
        <f>AI10-AG10</f>
        <v>0</v>
      </c>
      <c r="AL10" s="47"/>
      <c r="AM10" s="48">
        <f>298+100+N("$100 for hurricane assessment to last through Dec")</f>
        <v>398</v>
      </c>
      <c r="AN10" s="47"/>
      <c r="AO10" s="54">
        <f>298+100+N("$100 for hurricane assessment to last through Dec")</f>
        <v>398</v>
      </c>
      <c r="AP10" s="47"/>
      <c r="AQ10" s="48">
        <f>AO10-AM10</f>
        <v>0</v>
      </c>
      <c r="AR10" s="47"/>
      <c r="AS10" s="48">
        <f>298</f>
        <v>298</v>
      </c>
      <c r="AT10" s="47"/>
      <c r="AU10" s="54">
        <f>298</f>
        <v>298</v>
      </c>
      <c r="AV10" s="47"/>
      <c r="AW10" s="48">
        <f>AU10-AS10</f>
        <v>0</v>
      </c>
      <c r="AX10" s="47"/>
      <c r="AY10" s="48">
        <f t="shared" si="0"/>
        <v>2960</v>
      </c>
      <c r="AZ10" s="47"/>
      <c r="BA10" s="48">
        <f t="shared" si="0"/>
        <v>2960</v>
      </c>
      <c r="BB10" s="47"/>
      <c r="BC10" s="48">
        <f>BA10-AY10</f>
        <v>0</v>
      </c>
    </row>
    <row r="11" spans="1:55" x14ac:dyDescent="0.25">
      <c r="B11" s="4" t="s">
        <v>9</v>
      </c>
      <c r="C11" s="49">
        <f>C8+C9-C10</f>
        <v>5481</v>
      </c>
      <c r="D11" s="49"/>
      <c r="E11" s="49">
        <f>E8+E9-E10</f>
        <v>5481</v>
      </c>
      <c r="F11" s="49"/>
      <c r="G11" s="49">
        <f>SUM(G8:G10)</f>
        <v>0</v>
      </c>
      <c r="H11" s="49"/>
      <c r="I11" s="49">
        <f>I8+I9-I10</f>
        <v>11267.84</v>
      </c>
      <c r="J11" s="49"/>
      <c r="K11" s="49">
        <f>K8+K9-K10</f>
        <v>11267.84</v>
      </c>
      <c r="L11" s="49"/>
      <c r="M11" s="49">
        <f>SUM(M8:M10)</f>
        <v>0</v>
      </c>
      <c r="N11" s="49"/>
      <c r="O11" s="49">
        <f>O8+O9-O10</f>
        <v>6512.56</v>
      </c>
      <c r="P11" s="49"/>
      <c r="Q11" s="49">
        <f>Q8+Q9-Q10</f>
        <v>6512.56</v>
      </c>
      <c r="R11" s="49"/>
      <c r="S11" s="49">
        <f>SUM(S8:S10)</f>
        <v>0</v>
      </c>
      <c r="T11" s="49"/>
      <c r="U11" s="49">
        <f>U8+U9-U10</f>
        <v>7762.56</v>
      </c>
      <c r="V11" s="49"/>
      <c r="W11" s="49">
        <f>W8+W9-W10</f>
        <v>7762.56</v>
      </c>
      <c r="X11" s="49"/>
      <c r="Y11" s="49">
        <f>SUM(Y8:Y10)</f>
        <v>0</v>
      </c>
      <c r="Z11" s="49"/>
      <c r="AA11" s="49">
        <f>AA8+AA9-AA10</f>
        <v>7762.56</v>
      </c>
      <c r="AB11" s="49"/>
      <c r="AC11" s="49">
        <f>AC8+AC9-AC10</f>
        <v>7762.56</v>
      </c>
      <c r="AD11" s="49"/>
      <c r="AE11" s="49">
        <f>SUM(AE8:AE10)</f>
        <v>0</v>
      </c>
      <c r="AF11" s="49"/>
      <c r="AG11" s="49">
        <f>AG8+AG9-AG10</f>
        <v>7762.56</v>
      </c>
      <c r="AH11" s="49"/>
      <c r="AI11" s="49">
        <f>AI8+AI9-AI10</f>
        <v>7762.56</v>
      </c>
      <c r="AJ11" s="49"/>
      <c r="AK11" s="49">
        <f>SUM(AK8:AK10)</f>
        <v>0</v>
      </c>
      <c r="AL11" s="49"/>
      <c r="AM11" s="49">
        <f>AM8+AM9-AM10</f>
        <v>11217.84</v>
      </c>
      <c r="AN11" s="49"/>
      <c r="AO11" s="49">
        <f>AO8+AO9-AO10</f>
        <v>11217.84</v>
      </c>
      <c r="AP11" s="49"/>
      <c r="AQ11" s="49">
        <f>SUM(AQ8:AQ10)</f>
        <v>0</v>
      </c>
      <c r="AR11" s="49"/>
      <c r="AS11" s="49">
        <f>AS8+AS9-AS10</f>
        <v>7862.56</v>
      </c>
      <c r="AT11" s="49"/>
      <c r="AU11" s="49">
        <f>AU8+AU9-AU10</f>
        <v>7862.56</v>
      </c>
      <c r="AV11" s="49"/>
      <c r="AW11" s="49">
        <f>SUM(AW8:AW10)</f>
        <v>0</v>
      </c>
      <c r="AX11" s="49"/>
      <c r="AY11" s="49">
        <f>AY8+AY9-AY10</f>
        <v>65629.48</v>
      </c>
      <c r="AZ11" s="49"/>
      <c r="BA11" s="49">
        <f>BA8+BA9-BA10</f>
        <v>65629.48</v>
      </c>
      <c r="BB11" s="49"/>
      <c r="BC11" s="49">
        <f>SUM(BC8:BC10)</f>
        <v>0</v>
      </c>
    </row>
    <row r="12" spans="1:55" x14ac:dyDescent="0.25"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</row>
    <row r="13" spans="1:55" ht="15.75" x14ac:dyDescent="0.25">
      <c r="A13" s="59" t="s">
        <v>10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</row>
    <row r="14" spans="1:55" x14ac:dyDescent="0.25">
      <c r="B14" s="55" t="s">
        <v>11</v>
      </c>
      <c r="C14" s="56">
        <v>828.15</v>
      </c>
      <c r="D14" s="56"/>
      <c r="E14" s="56">
        <v>828.15</v>
      </c>
      <c r="F14" s="56"/>
      <c r="G14" s="56">
        <f t="shared" ref="G14:G37" si="1">E14-C14</f>
        <v>0</v>
      </c>
      <c r="H14" s="47"/>
      <c r="I14" s="56">
        <v>828.15</v>
      </c>
      <c r="J14" s="56"/>
      <c r="K14" s="56">
        <f t="array" ref="K14">SUM(IF(Period="Jun",IF(Class=$B14,Amount)))</f>
        <v>828.15</v>
      </c>
      <c r="L14" s="56"/>
      <c r="M14" s="56">
        <f t="shared" ref="M14:M37" si="2">K14-I14</f>
        <v>0</v>
      </c>
      <c r="N14" s="47"/>
      <c r="O14" s="56">
        <v>828.15</v>
      </c>
      <c r="P14" s="56"/>
      <c r="Q14" s="56">
        <v>828.15</v>
      </c>
      <c r="R14" s="56"/>
      <c r="S14" s="56">
        <f t="shared" ref="S14:S37" si="3">Q14-O14</f>
        <v>0</v>
      </c>
      <c r="T14" s="47"/>
      <c r="U14" s="56">
        <v>828.15</v>
      </c>
      <c r="V14" s="56"/>
      <c r="W14" s="56">
        <v>828.15</v>
      </c>
      <c r="X14" s="56"/>
      <c r="Y14" s="56">
        <f t="shared" ref="Y14:Y37" si="4">W14-U14</f>
        <v>0</v>
      </c>
      <c r="Z14" s="47"/>
      <c r="AA14" s="56">
        <v>828.15</v>
      </c>
      <c r="AB14" s="56"/>
      <c r="AC14" s="57">
        <v>828.15</v>
      </c>
      <c r="AD14" s="56"/>
      <c r="AE14" s="56">
        <f t="shared" ref="AE14:AE37" si="5">AC14-AA14</f>
        <v>0</v>
      </c>
      <c r="AF14" s="47"/>
      <c r="AG14" s="56">
        <v>828.15</v>
      </c>
      <c r="AH14" s="56"/>
      <c r="AI14" s="57">
        <v>828.15</v>
      </c>
      <c r="AJ14" s="56"/>
      <c r="AK14" s="56">
        <f t="shared" ref="AK14:AK37" si="6">AI14-AG14</f>
        <v>0</v>
      </c>
      <c r="AL14" s="47"/>
      <c r="AM14" s="56">
        <v>828.15</v>
      </c>
      <c r="AN14" s="56"/>
      <c r="AO14" s="57">
        <v>828.15</v>
      </c>
      <c r="AP14" s="56"/>
      <c r="AQ14" s="56">
        <f t="shared" ref="AQ14:AQ37" si="7">AO14-AM14</f>
        <v>0</v>
      </c>
      <c r="AR14" s="47"/>
      <c r="AS14" s="56">
        <v>828.15</v>
      </c>
      <c r="AT14" s="56"/>
      <c r="AU14" s="57">
        <v>828.15</v>
      </c>
      <c r="AV14" s="56"/>
      <c r="AW14" s="56">
        <f t="shared" ref="AW14:AW37" si="8">AU14-AS14</f>
        <v>0</v>
      </c>
      <c r="AX14" s="47"/>
      <c r="AY14" s="56">
        <f t="shared" ref="AY14:AY37" si="9">C14+I14+O14+U14+AA14+AG14+AM14+AS14</f>
        <v>6625.1999999999989</v>
      </c>
      <c r="AZ14" s="56"/>
      <c r="BA14" s="56">
        <f t="shared" ref="BA14:BA37" si="10">E14+K14+Q14+W14+AC14+AI14+AO14+AU14</f>
        <v>6625.1999999999989</v>
      </c>
      <c r="BB14" s="56"/>
      <c r="BC14" s="56">
        <f t="shared" ref="BC14:BC37" si="11">BA14-AY14</f>
        <v>0</v>
      </c>
    </row>
    <row r="15" spans="1:55" x14ac:dyDescent="0.25">
      <c r="B15" s="55" t="s">
        <v>192</v>
      </c>
      <c r="C15" s="56">
        <v>437.54</v>
      </c>
      <c r="D15" s="56"/>
      <c r="E15" s="56">
        <v>437.54</v>
      </c>
      <c r="F15" s="56"/>
      <c r="G15" s="56">
        <f t="shared" si="1"/>
        <v>0</v>
      </c>
      <c r="H15" s="47"/>
      <c r="I15" s="56">
        <v>437.54</v>
      </c>
      <c r="J15" s="56"/>
      <c r="K15" s="56">
        <f t="array" ref="K15">SUM(IF(Period="May",IF(Class=$B15,Amount)))</f>
        <v>437.54</v>
      </c>
      <c r="L15" s="56"/>
      <c r="M15" s="56">
        <f t="shared" si="2"/>
        <v>0</v>
      </c>
      <c r="N15" s="47"/>
      <c r="O15" s="56">
        <v>437.54</v>
      </c>
      <c r="P15" s="56"/>
      <c r="Q15" s="56">
        <v>437.54</v>
      </c>
      <c r="R15" s="56"/>
      <c r="S15" s="56">
        <f t="shared" si="3"/>
        <v>0</v>
      </c>
      <c r="T15" s="47"/>
      <c r="U15" s="56">
        <v>437.54</v>
      </c>
      <c r="V15" s="56"/>
      <c r="W15" s="56">
        <v>437.54</v>
      </c>
      <c r="X15" s="56"/>
      <c r="Y15" s="56">
        <f t="shared" si="4"/>
        <v>0</v>
      </c>
      <c r="Z15" s="47"/>
      <c r="AA15" s="56">
        <v>437.54</v>
      </c>
      <c r="AB15" s="56"/>
      <c r="AC15" s="56">
        <v>437.54</v>
      </c>
      <c r="AD15" s="56"/>
      <c r="AE15" s="56">
        <f t="shared" si="5"/>
        <v>0</v>
      </c>
      <c r="AF15" s="47"/>
      <c r="AG15" s="56">
        <v>437.54</v>
      </c>
      <c r="AH15" s="56"/>
      <c r="AI15" s="57">
        <v>437.54</v>
      </c>
      <c r="AJ15" s="56"/>
      <c r="AK15" s="56">
        <f t="shared" si="6"/>
        <v>0</v>
      </c>
      <c r="AL15" s="47"/>
      <c r="AM15" s="56">
        <v>437.54</v>
      </c>
      <c r="AN15" s="56"/>
      <c r="AO15" s="57">
        <v>437.54</v>
      </c>
      <c r="AP15" s="56"/>
      <c r="AQ15" s="56">
        <f t="shared" si="7"/>
        <v>0</v>
      </c>
      <c r="AR15" s="47"/>
      <c r="AS15" s="56">
        <v>437.54</v>
      </c>
      <c r="AT15" s="56"/>
      <c r="AU15" s="57">
        <v>437.54</v>
      </c>
      <c r="AV15" s="56"/>
      <c r="AW15" s="56">
        <f t="shared" si="8"/>
        <v>0</v>
      </c>
      <c r="AX15" s="47"/>
      <c r="AY15" s="56">
        <f t="shared" si="9"/>
        <v>3500.32</v>
      </c>
      <c r="AZ15" s="56"/>
      <c r="BA15" s="56">
        <f t="shared" si="10"/>
        <v>3500.32</v>
      </c>
      <c r="BB15" s="56"/>
      <c r="BC15" s="56">
        <f t="shared" si="11"/>
        <v>0</v>
      </c>
    </row>
    <row r="16" spans="1:55" x14ac:dyDescent="0.25">
      <c r="B16" s="55" t="s">
        <v>12</v>
      </c>
      <c r="C16" s="56">
        <v>400</v>
      </c>
      <c r="D16" s="56"/>
      <c r="E16" s="56">
        <v>300</v>
      </c>
      <c r="F16" s="56"/>
      <c r="G16" s="56">
        <f t="shared" si="1"/>
        <v>-100</v>
      </c>
      <c r="H16" s="47"/>
      <c r="I16" s="56">
        <v>800</v>
      </c>
      <c r="J16" s="56"/>
      <c r="K16" s="56">
        <f t="array" ref="K16">SUM(IF(Period="Jun",IF(Class=$B16,Amount)))</f>
        <v>200</v>
      </c>
      <c r="L16" s="56"/>
      <c r="M16" s="56">
        <f t="shared" si="2"/>
        <v>-600</v>
      </c>
      <c r="N16" s="47"/>
      <c r="O16" s="56">
        <v>1100</v>
      </c>
      <c r="P16" s="56"/>
      <c r="Q16" s="56">
        <v>1100</v>
      </c>
      <c r="R16" s="56"/>
      <c r="S16" s="56">
        <f t="shared" si="3"/>
        <v>0</v>
      </c>
      <c r="T16" s="47"/>
      <c r="U16" s="56">
        <v>1100</v>
      </c>
      <c r="V16" s="56"/>
      <c r="W16" s="56">
        <v>1100</v>
      </c>
      <c r="X16" s="56"/>
      <c r="Y16" s="56">
        <f t="shared" si="4"/>
        <v>0</v>
      </c>
      <c r="Z16" s="47"/>
      <c r="AA16" s="56">
        <v>1100</v>
      </c>
      <c r="AB16" s="56"/>
      <c r="AC16" s="56">
        <v>1100</v>
      </c>
      <c r="AD16" s="56"/>
      <c r="AE16" s="56">
        <f t="shared" si="5"/>
        <v>0</v>
      </c>
      <c r="AF16" s="47"/>
      <c r="AG16" s="56">
        <v>1100</v>
      </c>
      <c r="AH16" s="56"/>
      <c r="AI16" s="57">
        <v>1100</v>
      </c>
      <c r="AJ16" s="56"/>
      <c r="AK16" s="56">
        <f t="shared" si="6"/>
        <v>0</v>
      </c>
      <c r="AL16" s="47"/>
      <c r="AM16" s="56">
        <v>1100</v>
      </c>
      <c r="AN16" s="56"/>
      <c r="AO16" s="57">
        <v>1100</v>
      </c>
      <c r="AP16" s="56"/>
      <c r="AQ16" s="56">
        <f t="shared" si="7"/>
        <v>0</v>
      </c>
      <c r="AR16" s="47"/>
      <c r="AS16" s="56">
        <v>1100</v>
      </c>
      <c r="AT16" s="56"/>
      <c r="AU16" s="57">
        <v>1195</v>
      </c>
      <c r="AV16" s="56"/>
      <c r="AW16" s="56">
        <f t="shared" si="8"/>
        <v>95</v>
      </c>
      <c r="AX16" s="47"/>
      <c r="AY16" s="56">
        <f t="shared" si="9"/>
        <v>7800</v>
      </c>
      <c r="AZ16" s="56"/>
      <c r="BA16" s="56">
        <f t="shared" si="10"/>
        <v>7195</v>
      </c>
      <c r="BB16" s="56"/>
      <c r="BC16" s="56">
        <f t="shared" si="11"/>
        <v>-605</v>
      </c>
    </row>
    <row r="17" spans="2:55" x14ac:dyDescent="0.25">
      <c r="B17" s="55" t="s">
        <v>13</v>
      </c>
      <c r="C17" s="56">
        <v>0</v>
      </c>
      <c r="D17" s="56"/>
      <c r="E17" s="56">
        <v>0</v>
      </c>
      <c r="F17" s="56"/>
      <c r="G17" s="56">
        <f t="shared" si="1"/>
        <v>0</v>
      </c>
      <c r="H17" s="47"/>
      <c r="I17" s="56">
        <v>546.5</v>
      </c>
      <c r="J17" s="56"/>
      <c r="K17" s="56">
        <f t="array" ref="K17">SUM(IF(Period="Jun",IF(Class=$B17,Amount)))</f>
        <v>545</v>
      </c>
      <c r="L17" s="56"/>
      <c r="M17" s="56">
        <f t="shared" si="2"/>
        <v>-1.5</v>
      </c>
      <c r="N17" s="47"/>
      <c r="O17" s="56">
        <v>0</v>
      </c>
      <c r="P17" s="56"/>
      <c r="Q17" s="56">
        <v>0</v>
      </c>
      <c r="R17" s="56"/>
      <c r="S17" s="56">
        <f t="shared" si="3"/>
        <v>0</v>
      </c>
      <c r="T17" s="47"/>
      <c r="U17" s="56">
        <v>0</v>
      </c>
      <c r="V17" s="56"/>
      <c r="W17" s="56">
        <v>0</v>
      </c>
      <c r="X17" s="56"/>
      <c r="Y17" s="56">
        <f t="shared" si="4"/>
        <v>0</v>
      </c>
      <c r="Z17" s="47"/>
      <c r="AA17" s="56">
        <v>0</v>
      </c>
      <c r="AB17" s="56"/>
      <c r="AC17" s="56">
        <v>0</v>
      </c>
      <c r="AD17" s="56"/>
      <c r="AE17" s="56">
        <f t="shared" si="5"/>
        <v>0</v>
      </c>
      <c r="AF17" s="47"/>
      <c r="AG17" s="56">
        <v>0</v>
      </c>
      <c r="AH17" s="56"/>
      <c r="AI17" s="56">
        <v>0</v>
      </c>
      <c r="AJ17" s="56"/>
      <c r="AK17" s="56">
        <f t="shared" si="6"/>
        <v>0</v>
      </c>
      <c r="AL17" s="47"/>
      <c r="AM17" s="56">
        <v>0</v>
      </c>
      <c r="AN17" s="56"/>
      <c r="AO17" s="56">
        <v>0</v>
      </c>
      <c r="AP17" s="56"/>
      <c r="AQ17" s="56">
        <f t="shared" si="7"/>
        <v>0</v>
      </c>
      <c r="AR17" s="47"/>
      <c r="AS17" s="56">
        <v>546.5</v>
      </c>
      <c r="AT17" s="56"/>
      <c r="AU17" s="57">
        <v>0</v>
      </c>
      <c r="AV17" s="56"/>
      <c r="AW17" s="56">
        <f t="shared" si="8"/>
        <v>-546.5</v>
      </c>
      <c r="AX17" s="47"/>
      <c r="AY17" s="56">
        <f t="shared" si="9"/>
        <v>1093</v>
      </c>
      <c r="AZ17" s="56"/>
      <c r="BA17" s="56">
        <f t="shared" si="10"/>
        <v>545</v>
      </c>
      <c r="BB17" s="56"/>
      <c r="BC17" s="56">
        <f t="shared" si="11"/>
        <v>-548</v>
      </c>
    </row>
    <row r="18" spans="2:55" x14ac:dyDescent="0.25">
      <c r="B18" s="55" t="s">
        <v>14</v>
      </c>
      <c r="C18" s="56">
        <v>0</v>
      </c>
      <c r="D18" s="56"/>
      <c r="E18" s="56">
        <v>0</v>
      </c>
      <c r="F18" s="56"/>
      <c r="G18" s="56">
        <f t="shared" si="1"/>
        <v>0</v>
      </c>
      <c r="H18" s="47"/>
      <c r="I18" s="56">
        <v>47</v>
      </c>
      <c r="J18" s="56"/>
      <c r="K18" s="56">
        <f t="array" ref="K18">SUM(IF(Period="Jun",IF(Class=$B18,Amount)))</f>
        <v>47</v>
      </c>
      <c r="L18" s="56"/>
      <c r="M18" s="56">
        <f t="shared" si="2"/>
        <v>0</v>
      </c>
      <c r="N18" s="47"/>
      <c r="O18" s="56">
        <v>47</v>
      </c>
      <c r="P18" s="56"/>
      <c r="Q18" s="56">
        <f t="array" ref="Q18">SUM(IF(Period="Jul",IF(Class=$B18,Amount)))</f>
        <v>47</v>
      </c>
      <c r="R18" s="56"/>
      <c r="S18" s="56">
        <f t="shared" si="3"/>
        <v>0</v>
      </c>
      <c r="T18" s="47"/>
      <c r="U18" s="56">
        <v>47</v>
      </c>
      <c r="V18" s="56"/>
      <c r="W18" s="57">
        <v>0</v>
      </c>
      <c r="X18" s="56"/>
      <c r="Y18" s="56">
        <f t="shared" si="4"/>
        <v>-47</v>
      </c>
      <c r="Z18" s="47"/>
      <c r="AA18" s="56">
        <v>151</v>
      </c>
      <c r="AB18" s="56"/>
      <c r="AC18" s="57">
        <v>0</v>
      </c>
      <c r="AD18" s="56"/>
      <c r="AE18" s="56">
        <f t="shared" si="5"/>
        <v>-151</v>
      </c>
      <c r="AF18" s="47"/>
      <c r="AG18" s="56">
        <v>47</v>
      </c>
      <c r="AH18" s="56"/>
      <c r="AI18" s="57">
        <v>0</v>
      </c>
      <c r="AJ18" s="56"/>
      <c r="AK18" s="56">
        <f t="shared" si="6"/>
        <v>-47</v>
      </c>
      <c r="AL18" s="47"/>
      <c r="AM18" s="56">
        <v>47</v>
      </c>
      <c r="AN18" s="56"/>
      <c r="AO18" s="57">
        <v>0</v>
      </c>
      <c r="AP18" s="56"/>
      <c r="AQ18" s="56">
        <f t="shared" si="7"/>
        <v>-47</v>
      </c>
      <c r="AR18" s="47"/>
      <c r="AS18" s="56">
        <v>47</v>
      </c>
      <c r="AT18" s="56"/>
      <c r="AU18" s="57">
        <v>0</v>
      </c>
      <c r="AV18" s="56"/>
      <c r="AW18" s="56">
        <f t="shared" si="8"/>
        <v>-47</v>
      </c>
      <c r="AX18" s="47"/>
      <c r="AY18" s="56">
        <f t="shared" si="9"/>
        <v>433</v>
      </c>
      <c r="AZ18" s="56"/>
      <c r="BA18" s="56">
        <f t="shared" si="10"/>
        <v>94</v>
      </c>
      <c r="BB18" s="56"/>
      <c r="BC18" s="56">
        <f t="shared" si="11"/>
        <v>-339</v>
      </c>
    </row>
    <row r="19" spans="2:55" x14ac:dyDescent="0.25">
      <c r="B19" s="55" t="s">
        <v>15</v>
      </c>
      <c r="C19" s="56">
        <v>250</v>
      </c>
      <c r="D19" s="56"/>
      <c r="E19" s="56">
        <v>288.95999999999998</v>
      </c>
      <c r="F19" s="56"/>
      <c r="G19" s="56">
        <f t="shared" si="1"/>
        <v>38.95999999999998</v>
      </c>
      <c r="H19" s="47"/>
      <c r="I19" s="56">
        <v>250</v>
      </c>
      <c r="J19" s="56"/>
      <c r="K19" s="56">
        <f t="array" ref="K19">SUM(IF(Period="Jun",IF(Class=$B19,Amount)))</f>
        <v>202.97000000000006</v>
      </c>
      <c r="L19" s="56"/>
      <c r="M19" s="56">
        <f t="shared" si="2"/>
        <v>-47.029999999999944</v>
      </c>
      <c r="N19" s="47"/>
      <c r="O19" s="56">
        <v>250</v>
      </c>
      <c r="P19" s="56"/>
      <c r="Q19" s="56">
        <f t="array" ref="Q19">SUM(IF(Period="Jul",IF(Class=$B19,Amount)))</f>
        <v>66.03</v>
      </c>
      <c r="R19" s="56"/>
      <c r="S19" s="56">
        <f t="shared" si="3"/>
        <v>-183.97</v>
      </c>
      <c r="T19" s="47"/>
      <c r="U19" s="56">
        <v>250</v>
      </c>
      <c r="V19" s="56"/>
      <c r="W19" s="57">
        <v>0</v>
      </c>
      <c r="X19" s="56"/>
      <c r="Y19" s="56">
        <f t="shared" si="4"/>
        <v>-250</v>
      </c>
      <c r="Z19" s="47"/>
      <c r="AA19" s="56">
        <v>250</v>
      </c>
      <c r="AB19" s="56"/>
      <c r="AC19" s="57">
        <v>0</v>
      </c>
      <c r="AD19" s="56"/>
      <c r="AE19" s="56">
        <f t="shared" si="5"/>
        <v>-250</v>
      </c>
      <c r="AF19" s="47"/>
      <c r="AG19" s="56">
        <v>250</v>
      </c>
      <c r="AH19" s="56"/>
      <c r="AI19" s="57">
        <v>0</v>
      </c>
      <c r="AJ19" s="56"/>
      <c r="AK19" s="56">
        <f t="shared" si="6"/>
        <v>-250</v>
      </c>
      <c r="AL19" s="47"/>
      <c r="AM19" s="56">
        <v>250</v>
      </c>
      <c r="AN19" s="56"/>
      <c r="AO19" s="57">
        <v>0</v>
      </c>
      <c r="AP19" s="56"/>
      <c r="AQ19" s="56">
        <f t="shared" si="7"/>
        <v>-250</v>
      </c>
      <c r="AR19" s="47"/>
      <c r="AS19" s="56">
        <v>250</v>
      </c>
      <c r="AT19" s="56"/>
      <c r="AU19" s="57">
        <v>0</v>
      </c>
      <c r="AV19" s="56"/>
      <c r="AW19" s="56">
        <f t="shared" si="8"/>
        <v>-250</v>
      </c>
      <c r="AX19" s="47"/>
      <c r="AY19" s="56">
        <f t="shared" si="9"/>
        <v>2000</v>
      </c>
      <c r="AZ19" s="56"/>
      <c r="BA19" s="56">
        <f t="shared" si="10"/>
        <v>557.96</v>
      </c>
      <c r="BB19" s="56"/>
      <c r="BC19" s="56">
        <f t="shared" si="11"/>
        <v>-1442.04</v>
      </c>
    </row>
    <row r="20" spans="2:55" x14ac:dyDescent="0.25">
      <c r="B20" s="55" t="s">
        <v>16</v>
      </c>
      <c r="C20" s="56">
        <v>200</v>
      </c>
      <c r="D20" s="56"/>
      <c r="E20" s="56">
        <v>151.9</v>
      </c>
      <c r="F20" s="56"/>
      <c r="G20" s="56">
        <f t="shared" si="1"/>
        <v>-48.099999999999994</v>
      </c>
      <c r="H20" s="47"/>
      <c r="I20" s="56">
        <v>200</v>
      </c>
      <c r="J20" s="56"/>
      <c r="K20" s="56">
        <f t="array" ref="K20">SUM(IF(Period="Jun",IF(Class=$B20,Amount)))</f>
        <v>172.74</v>
      </c>
      <c r="L20" s="56"/>
      <c r="M20" s="56">
        <f t="shared" si="2"/>
        <v>-27.259999999999991</v>
      </c>
      <c r="N20" s="47"/>
      <c r="O20" s="56">
        <v>175</v>
      </c>
      <c r="P20" s="56"/>
      <c r="Q20" s="56">
        <f t="array" ref="Q20">SUM(IF(Period="Jul",IF(Class=$B20,Amount)))</f>
        <v>0</v>
      </c>
      <c r="R20" s="56"/>
      <c r="S20" s="56">
        <f t="shared" si="3"/>
        <v>-175</v>
      </c>
      <c r="T20" s="47"/>
      <c r="U20" s="56">
        <v>175</v>
      </c>
      <c r="V20" s="56"/>
      <c r="W20" s="57">
        <v>0</v>
      </c>
      <c r="X20" s="56"/>
      <c r="Y20" s="56">
        <f t="shared" si="4"/>
        <v>-175</v>
      </c>
      <c r="Z20" s="47"/>
      <c r="AA20" s="56">
        <v>175</v>
      </c>
      <c r="AB20" s="56"/>
      <c r="AC20" s="57">
        <v>0</v>
      </c>
      <c r="AD20" s="56"/>
      <c r="AE20" s="56">
        <f t="shared" si="5"/>
        <v>-175</v>
      </c>
      <c r="AF20" s="47"/>
      <c r="AG20" s="56">
        <v>175</v>
      </c>
      <c r="AH20" s="56"/>
      <c r="AI20" s="57">
        <v>0</v>
      </c>
      <c r="AJ20" s="56"/>
      <c r="AK20" s="56">
        <f t="shared" si="6"/>
        <v>-175</v>
      </c>
      <c r="AL20" s="47"/>
      <c r="AM20" s="56">
        <v>175</v>
      </c>
      <c r="AN20" s="56"/>
      <c r="AO20" s="57">
        <v>0</v>
      </c>
      <c r="AP20" s="56"/>
      <c r="AQ20" s="56">
        <f t="shared" si="7"/>
        <v>-175</v>
      </c>
      <c r="AR20" s="47"/>
      <c r="AS20" s="56">
        <v>175</v>
      </c>
      <c r="AT20" s="56"/>
      <c r="AU20" s="57">
        <v>0</v>
      </c>
      <c r="AV20" s="56"/>
      <c r="AW20" s="56">
        <f t="shared" si="8"/>
        <v>-175</v>
      </c>
      <c r="AX20" s="47"/>
      <c r="AY20" s="56">
        <f t="shared" si="9"/>
        <v>1450</v>
      </c>
      <c r="AZ20" s="56"/>
      <c r="BA20" s="56">
        <f t="shared" si="10"/>
        <v>324.64</v>
      </c>
      <c r="BB20" s="56"/>
      <c r="BC20" s="56">
        <f t="shared" si="11"/>
        <v>-1125.3600000000001</v>
      </c>
    </row>
    <row r="21" spans="2:55" x14ac:dyDescent="0.25">
      <c r="B21" s="55" t="s">
        <v>198</v>
      </c>
      <c r="C21" s="56">
        <v>22.75</v>
      </c>
      <c r="D21" s="56"/>
      <c r="E21" s="56">
        <v>46</v>
      </c>
      <c r="F21" s="56"/>
      <c r="G21" s="56">
        <f t="shared" si="1"/>
        <v>23.25</v>
      </c>
      <c r="H21" s="47"/>
      <c r="I21" s="56">
        <v>23</v>
      </c>
      <c r="J21" s="56"/>
      <c r="K21" s="56">
        <f t="array" ref="K21">SUM(IF(Period="Jun",IF(Class=$B21,Amount)))</f>
        <v>23</v>
      </c>
      <c r="L21" s="56"/>
      <c r="M21" s="56">
        <f t="shared" si="2"/>
        <v>0</v>
      </c>
      <c r="N21" s="47"/>
      <c r="O21" s="56">
        <v>23</v>
      </c>
      <c r="P21" s="56"/>
      <c r="Q21" s="56">
        <f t="array" ref="Q21">SUM(IF(Period="Jul",IF(Class=$B21,Amount)))</f>
        <v>0</v>
      </c>
      <c r="R21" s="56"/>
      <c r="S21" s="56">
        <f t="shared" si="3"/>
        <v>-23</v>
      </c>
      <c r="T21" s="47"/>
      <c r="U21" s="56">
        <v>23</v>
      </c>
      <c r="V21" s="56"/>
      <c r="W21" s="57">
        <v>0</v>
      </c>
      <c r="X21" s="56"/>
      <c r="Y21" s="56">
        <f t="shared" si="4"/>
        <v>-23</v>
      </c>
      <c r="Z21" s="47"/>
      <c r="AA21" s="56">
        <v>23</v>
      </c>
      <c r="AB21" s="56"/>
      <c r="AC21" s="57">
        <v>0</v>
      </c>
      <c r="AD21" s="56"/>
      <c r="AE21" s="56">
        <f t="shared" si="5"/>
        <v>-23</v>
      </c>
      <c r="AF21" s="47"/>
      <c r="AG21" s="56">
        <v>23</v>
      </c>
      <c r="AH21" s="56"/>
      <c r="AI21" s="57">
        <v>0</v>
      </c>
      <c r="AJ21" s="56"/>
      <c r="AK21" s="56">
        <f t="shared" si="6"/>
        <v>-23</v>
      </c>
      <c r="AL21" s="47"/>
      <c r="AM21" s="56">
        <v>23</v>
      </c>
      <c r="AN21" s="56"/>
      <c r="AO21" s="57">
        <v>0</v>
      </c>
      <c r="AP21" s="56"/>
      <c r="AQ21" s="56">
        <f t="shared" si="7"/>
        <v>-23</v>
      </c>
      <c r="AR21" s="47"/>
      <c r="AS21" s="56">
        <v>23</v>
      </c>
      <c r="AT21" s="56"/>
      <c r="AU21" s="57">
        <v>0</v>
      </c>
      <c r="AV21" s="56"/>
      <c r="AW21" s="56">
        <f t="shared" si="8"/>
        <v>-23</v>
      </c>
      <c r="AX21" s="47"/>
      <c r="AY21" s="56">
        <f t="shared" si="9"/>
        <v>183.75</v>
      </c>
      <c r="AZ21" s="56"/>
      <c r="BA21" s="56">
        <f t="shared" si="10"/>
        <v>69</v>
      </c>
      <c r="BB21" s="56"/>
      <c r="BC21" s="56">
        <f t="shared" si="11"/>
        <v>-114.75</v>
      </c>
    </row>
    <row r="22" spans="2:55" x14ac:dyDescent="0.25">
      <c r="B22" s="55" t="s">
        <v>17</v>
      </c>
      <c r="C22" s="56">
        <v>250</v>
      </c>
      <c r="D22" s="56"/>
      <c r="E22" s="56">
        <v>422.43</v>
      </c>
      <c r="F22" s="56"/>
      <c r="G22" s="56">
        <f t="shared" si="1"/>
        <v>172.43</v>
      </c>
      <c r="H22" s="47"/>
      <c r="I22" s="56">
        <v>250</v>
      </c>
      <c r="J22" s="56"/>
      <c r="K22" s="56">
        <f t="array" ref="K22">SUM(IF(Period="Jun",IF(Class=$B22,Amount)))</f>
        <v>404.23999999999995</v>
      </c>
      <c r="L22" s="56"/>
      <c r="M22" s="56">
        <f t="shared" si="2"/>
        <v>154.23999999999995</v>
      </c>
      <c r="N22" s="47"/>
      <c r="O22" s="56">
        <v>250</v>
      </c>
      <c r="P22" s="56"/>
      <c r="Q22" s="56">
        <f t="array" ref="Q22">SUM(IF(Period="Jul",IF(Class=$B22,Amount)))</f>
        <v>5</v>
      </c>
      <c r="R22" s="56"/>
      <c r="S22" s="56">
        <f t="shared" si="3"/>
        <v>-245</v>
      </c>
      <c r="T22" s="47"/>
      <c r="U22" s="56">
        <v>250</v>
      </c>
      <c r="V22" s="56"/>
      <c r="W22" s="57">
        <v>0</v>
      </c>
      <c r="X22" s="56"/>
      <c r="Y22" s="56">
        <f t="shared" si="4"/>
        <v>-250</v>
      </c>
      <c r="Z22" s="47"/>
      <c r="AA22" s="56">
        <v>250</v>
      </c>
      <c r="AB22" s="56"/>
      <c r="AC22" s="57">
        <v>0</v>
      </c>
      <c r="AD22" s="56"/>
      <c r="AE22" s="56">
        <f t="shared" si="5"/>
        <v>-250</v>
      </c>
      <c r="AF22" s="47"/>
      <c r="AG22" s="56">
        <v>250</v>
      </c>
      <c r="AH22" s="56"/>
      <c r="AI22" s="57">
        <v>0</v>
      </c>
      <c r="AJ22" s="56"/>
      <c r="AK22" s="56">
        <f t="shared" si="6"/>
        <v>-250</v>
      </c>
      <c r="AL22" s="47"/>
      <c r="AM22" s="56">
        <v>250</v>
      </c>
      <c r="AN22" s="56"/>
      <c r="AO22" s="57">
        <v>0</v>
      </c>
      <c r="AP22" s="56"/>
      <c r="AQ22" s="56">
        <f t="shared" si="7"/>
        <v>-250</v>
      </c>
      <c r="AR22" s="47"/>
      <c r="AS22" s="56">
        <v>250</v>
      </c>
      <c r="AT22" s="56"/>
      <c r="AU22" s="57">
        <v>0</v>
      </c>
      <c r="AV22" s="56"/>
      <c r="AW22" s="56">
        <f t="shared" si="8"/>
        <v>-250</v>
      </c>
      <c r="AX22" s="47"/>
      <c r="AY22" s="56">
        <f t="shared" si="9"/>
        <v>2000</v>
      </c>
      <c r="AZ22" s="56"/>
      <c r="BA22" s="56">
        <f t="shared" si="10"/>
        <v>831.67</v>
      </c>
      <c r="BB22" s="56"/>
      <c r="BC22" s="56">
        <f t="shared" si="11"/>
        <v>-1168.33</v>
      </c>
    </row>
    <row r="23" spans="2:55" x14ac:dyDescent="0.25">
      <c r="B23" s="55" t="s">
        <v>18</v>
      </c>
      <c r="C23" s="56">
        <v>50</v>
      </c>
      <c r="D23" s="56"/>
      <c r="E23" s="56">
        <v>23.5</v>
      </c>
      <c r="F23" s="56"/>
      <c r="G23" s="56">
        <f t="shared" si="1"/>
        <v>-26.5</v>
      </c>
      <c r="H23" s="47"/>
      <c r="I23" s="56">
        <v>50</v>
      </c>
      <c r="J23" s="56"/>
      <c r="K23" s="56">
        <f t="array" ref="K23">SUM(IF(Period="Jun",IF(Class=$B23,Amount)))</f>
        <v>48.68</v>
      </c>
      <c r="L23" s="56"/>
      <c r="M23" s="56">
        <f t="shared" si="2"/>
        <v>-1.3200000000000003</v>
      </c>
      <c r="N23" s="47"/>
      <c r="O23" s="56">
        <v>50</v>
      </c>
      <c r="P23" s="56"/>
      <c r="Q23" s="56">
        <f t="array" ref="Q23">SUM(IF(Period="Jul",IF(Class=$B23,Amount)))</f>
        <v>0</v>
      </c>
      <c r="R23" s="56"/>
      <c r="S23" s="56">
        <f t="shared" si="3"/>
        <v>-50</v>
      </c>
      <c r="T23" s="47"/>
      <c r="U23" s="56">
        <v>50</v>
      </c>
      <c r="V23" s="56"/>
      <c r="W23" s="57">
        <v>0</v>
      </c>
      <c r="X23" s="56"/>
      <c r="Y23" s="56">
        <f t="shared" si="4"/>
        <v>-50</v>
      </c>
      <c r="Z23" s="47"/>
      <c r="AA23" s="56">
        <v>50</v>
      </c>
      <c r="AB23" s="56"/>
      <c r="AC23" s="57">
        <v>0</v>
      </c>
      <c r="AD23" s="56"/>
      <c r="AE23" s="56">
        <f t="shared" si="5"/>
        <v>-50</v>
      </c>
      <c r="AF23" s="47"/>
      <c r="AG23" s="56">
        <v>50</v>
      </c>
      <c r="AH23" s="56"/>
      <c r="AI23" s="57">
        <v>0</v>
      </c>
      <c r="AJ23" s="56"/>
      <c r="AK23" s="56">
        <f t="shared" si="6"/>
        <v>-50</v>
      </c>
      <c r="AL23" s="47"/>
      <c r="AM23" s="56">
        <v>50</v>
      </c>
      <c r="AN23" s="56"/>
      <c r="AO23" s="57">
        <v>0</v>
      </c>
      <c r="AP23" s="56"/>
      <c r="AQ23" s="56">
        <f t="shared" si="7"/>
        <v>-50</v>
      </c>
      <c r="AR23" s="47"/>
      <c r="AS23" s="56">
        <v>50</v>
      </c>
      <c r="AT23" s="56"/>
      <c r="AU23" s="57">
        <v>0</v>
      </c>
      <c r="AV23" s="56"/>
      <c r="AW23" s="56">
        <f t="shared" si="8"/>
        <v>-50</v>
      </c>
      <c r="AX23" s="47"/>
      <c r="AY23" s="56">
        <f t="shared" si="9"/>
        <v>400</v>
      </c>
      <c r="AZ23" s="56"/>
      <c r="BA23" s="56">
        <f t="shared" si="10"/>
        <v>72.180000000000007</v>
      </c>
      <c r="BB23" s="56"/>
      <c r="BC23" s="56">
        <f t="shared" si="11"/>
        <v>-327.82</v>
      </c>
    </row>
    <row r="24" spans="2:55" x14ac:dyDescent="0.25">
      <c r="B24" s="55" t="s">
        <v>19</v>
      </c>
      <c r="C24" s="56">
        <v>40</v>
      </c>
      <c r="D24" s="56"/>
      <c r="E24" s="56">
        <v>56.94</v>
      </c>
      <c r="F24" s="56"/>
      <c r="G24" s="56">
        <f t="shared" si="1"/>
        <v>16.939999999999998</v>
      </c>
      <c r="H24" s="47"/>
      <c r="I24" s="56">
        <v>40</v>
      </c>
      <c r="J24" s="56"/>
      <c r="K24" s="56">
        <f t="array" ref="K24">SUM(IF(Period="Jun",IF(Class=$B24,Amount)))</f>
        <v>82.99</v>
      </c>
      <c r="L24" s="56"/>
      <c r="M24" s="56">
        <f t="shared" si="2"/>
        <v>42.989999999999995</v>
      </c>
      <c r="N24" s="47"/>
      <c r="O24" s="56">
        <v>40</v>
      </c>
      <c r="P24" s="56"/>
      <c r="Q24" s="56">
        <f t="array" ref="Q24">SUM(IF(Period="Jul",IF(Class=$B24,Amount)))</f>
        <v>4.2300000000000004</v>
      </c>
      <c r="R24" s="56"/>
      <c r="S24" s="56">
        <f t="shared" si="3"/>
        <v>-35.769999999999996</v>
      </c>
      <c r="T24" s="47"/>
      <c r="U24" s="56">
        <v>40</v>
      </c>
      <c r="V24" s="56"/>
      <c r="W24" s="57">
        <v>0</v>
      </c>
      <c r="X24" s="56"/>
      <c r="Y24" s="56">
        <f t="shared" si="4"/>
        <v>-40</v>
      </c>
      <c r="Z24" s="47"/>
      <c r="AA24" s="56">
        <v>40</v>
      </c>
      <c r="AB24" s="56"/>
      <c r="AC24" s="57">
        <v>0</v>
      </c>
      <c r="AD24" s="56"/>
      <c r="AE24" s="56">
        <f t="shared" si="5"/>
        <v>-40</v>
      </c>
      <c r="AF24" s="47"/>
      <c r="AG24" s="56">
        <v>40</v>
      </c>
      <c r="AH24" s="56"/>
      <c r="AI24" s="57">
        <v>0</v>
      </c>
      <c r="AJ24" s="56"/>
      <c r="AK24" s="56">
        <f t="shared" si="6"/>
        <v>-40</v>
      </c>
      <c r="AL24" s="47"/>
      <c r="AM24" s="56">
        <v>40</v>
      </c>
      <c r="AN24" s="56"/>
      <c r="AO24" s="57">
        <v>0</v>
      </c>
      <c r="AP24" s="56"/>
      <c r="AQ24" s="56">
        <f t="shared" si="7"/>
        <v>-40</v>
      </c>
      <c r="AR24" s="47"/>
      <c r="AS24" s="56">
        <v>40</v>
      </c>
      <c r="AT24" s="56"/>
      <c r="AU24" s="57">
        <v>0</v>
      </c>
      <c r="AV24" s="56"/>
      <c r="AW24" s="56">
        <f t="shared" si="8"/>
        <v>-40</v>
      </c>
      <c r="AX24" s="47"/>
      <c r="AY24" s="56">
        <f t="shared" si="9"/>
        <v>320</v>
      </c>
      <c r="AZ24" s="56"/>
      <c r="BA24" s="56">
        <f t="shared" si="10"/>
        <v>144.16</v>
      </c>
      <c r="BB24" s="56"/>
      <c r="BC24" s="56">
        <f t="shared" si="11"/>
        <v>-175.84</v>
      </c>
    </row>
    <row r="25" spans="2:55" x14ac:dyDescent="0.25">
      <c r="B25" s="55" t="s">
        <v>20</v>
      </c>
      <c r="C25" s="56">
        <v>300</v>
      </c>
      <c r="D25" s="56"/>
      <c r="E25" s="56">
        <v>197.43</v>
      </c>
      <c r="F25" s="56"/>
      <c r="G25" s="56">
        <f t="shared" si="1"/>
        <v>-102.57</v>
      </c>
      <c r="H25" s="47"/>
      <c r="I25" s="56">
        <v>200</v>
      </c>
      <c r="J25" s="56"/>
      <c r="K25" s="56">
        <f t="array" ref="K25">SUM(IF(Period="Jun",IF(Class=$B25,Amount)))</f>
        <v>1813.3400000000001</v>
      </c>
      <c r="L25" s="56"/>
      <c r="M25" s="56">
        <f t="shared" si="2"/>
        <v>1613.3400000000001</v>
      </c>
      <c r="N25" s="47"/>
      <c r="O25" s="79">
        <f>200+437+200</f>
        <v>837</v>
      </c>
      <c r="P25" s="56"/>
      <c r="Q25" s="56">
        <f t="array" ref="Q25">SUM(IF(Period="Jul",IF(Class=$B25,Amount)))</f>
        <v>269.8599999999999</v>
      </c>
      <c r="R25" s="56"/>
      <c r="S25" s="56">
        <f t="shared" si="3"/>
        <v>-567.1400000000001</v>
      </c>
      <c r="T25" s="47"/>
      <c r="U25" s="56">
        <v>200</v>
      </c>
      <c r="V25" s="56"/>
      <c r="W25" s="57">
        <v>0</v>
      </c>
      <c r="X25" s="56"/>
      <c r="Y25" s="56">
        <f t="shared" si="4"/>
        <v>-200</v>
      </c>
      <c r="Z25" s="47"/>
      <c r="AA25" s="56">
        <v>200</v>
      </c>
      <c r="AB25" s="56"/>
      <c r="AC25" s="57">
        <v>300</v>
      </c>
      <c r="AD25" s="56"/>
      <c r="AE25" s="56">
        <f t="shared" si="5"/>
        <v>100</v>
      </c>
      <c r="AF25" s="47"/>
      <c r="AG25" s="56">
        <v>200</v>
      </c>
      <c r="AH25" s="56"/>
      <c r="AI25" s="57">
        <v>800</v>
      </c>
      <c r="AJ25" s="56"/>
      <c r="AK25" s="56">
        <f t="shared" si="6"/>
        <v>600</v>
      </c>
      <c r="AL25" s="47"/>
      <c r="AM25" s="56">
        <v>200</v>
      </c>
      <c r="AN25" s="56"/>
      <c r="AO25" s="57">
        <v>0</v>
      </c>
      <c r="AP25" s="56"/>
      <c r="AQ25" s="56">
        <f t="shared" si="7"/>
        <v>-200</v>
      </c>
      <c r="AR25" s="47"/>
      <c r="AS25" s="56">
        <v>200</v>
      </c>
      <c r="AT25" s="56"/>
      <c r="AU25" s="57">
        <v>0</v>
      </c>
      <c r="AV25" s="56"/>
      <c r="AW25" s="56">
        <f t="shared" si="8"/>
        <v>-200</v>
      </c>
      <c r="AX25" s="47"/>
      <c r="AY25" s="56">
        <f t="shared" si="9"/>
        <v>2337</v>
      </c>
      <c r="AZ25" s="56"/>
      <c r="BA25" s="56">
        <f t="shared" si="10"/>
        <v>3380.63</v>
      </c>
      <c r="BB25" s="56"/>
      <c r="BC25" s="56">
        <f t="shared" si="11"/>
        <v>1043.6300000000001</v>
      </c>
    </row>
    <row r="26" spans="2:55" x14ac:dyDescent="0.25">
      <c r="B26" s="55" t="s">
        <v>21</v>
      </c>
      <c r="C26" s="56">
        <v>278</v>
      </c>
      <c r="D26" s="56"/>
      <c r="E26" s="56">
        <v>460.25</v>
      </c>
      <c r="F26" s="56"/>
      <c r="G26" s="56">
        <f t="shared" si="1"/>
        <v>182.25</v>
      </c>
      <c r="H26" s="47"/>
      <c r="I26" s="56">
        <v>100</v>
      </c>
      <c r="J26" s="56"/>
      <c r="K26" s="56">
        <f t="array" ref="K26">SUM(IF(Period="Jun",IF(Class="Sam/house",Amount)))</f>
        <v>194.45</v>
      </c>
      <c r="L26" s="56"/>
      <c r="M26" s="56">
        <f t="shared" si="2"/>
        <v>94.449999999999989</v>
      </c>
      <c r="N26" s="47"/>
      <c r="O26" s="56">
        <v>100</v>
      </c>
      <c r="P26" s="56"/>
      <c r="Q26" s="56">
        <f t="array" ref="Q26">SUM(IF(Period="Jul",IF(Class=$B26,Amount)))</f>
        <v>0</v>
      </c>
      <c r="R26" s="56"/>
      <c r="S26" s="56">
        <f t="shared" si="3"/>
        <v>-100</v>
      </c>
      <c r="T26" s="47"/>
      <c r="U26" s="56">
        <v>100</v>
      </c>
      <c r="V26" s="56"/>
      <c r="W26" s="57">
        <v>0</v>
      </c>
      <c r="X26" s="56"/>
      <c r="Y26" s="56">
        <f t="shared" si="4"/>
        <v>-100</v>
      </c>
      <c r="Z26" s="47"/>
      <c r="AA26" s="56">
        <v>100</v>
      </c>
      <c r="AB26" s="56"/>
      <c r="AC26" s="57">
        <v>0</v>
      </c>
      <c r="AD26" s="56"/>
      <c r="AE26" s="56">
        <f t="shared" si="5"/>
        <v>-100</v>
      </c>
      <c r="AF26" s="47"/>
      <c r="AG26" s="56">
        <v>100</v>
      </c>
      <c r="AH26" s="56"/>
      <c r="AI26" s="57">
        <v>0</v>
      </c>
      <c r="AJ26" s="56"/>
      <c r="AK26" s="56">
        <f t="shared" si="6"/>
        <v>-100</v>
      </c>
      <c r="AL26" s="47"/>
      <c r="AM26" s="56">
        <v>100</v>
      </c>
      <c r="AN26" s="56"/>
      <c r="AO26" s="57">
        <v>0</v>
      </c>
      <c r="AP26" s="56"/>
      <c r="AQ26" s="56">
        <f t="shared" si="7"/>
        <v>-100</v>
      </c>
      <c r="AR26" s="47"/>
      <c r="AS26" s="56">
        <v>100</v>
      </c>
      <c r="AT26" s="56"/>
      <c r="AU26" s="57">
        <v>0</v>
      </c>
      <c r="AV26" s="56"/>
      <c r="AW26" s="56">
        <f t="shared" si="8"/>
        <v>-100</v>
      </c>
      <c r="AX26" s="47"/>
      <c r="AY26" s="56">
        <f t="shared" si="9"/>
        <v>978</v>
      </c>
      <c r="AZ26" s="56"/>
      <c r="BA26" s="56">
        <f t="shared" si="10"/>
        <v>654.70000000000005</v>
      </c>
      <c r="BB26" s="56"/>
      <c r="BC26" s="56">
        <f t="shared" si="11"/>
        <v>-323.29999999999995</v>
      </c>
    </row>
    <row r="27" spans="2:55" x14ac:dyDescent="0.25">
      <c r="B27" s="55" t="s">
        <v>22</v>
      </c>
      <c r="C27" s="56">
        <v>0</v>
      </c>
      <c r="D27" s="56"/>
      <c r="E27" s="56">
        <v>0</v>
      </c>
      <c r="F27" s="56"/>
      <c r="G27" s="56">
        <f t="shared" si="1"/>
        <v>0</v>
      </c>
      <c r="H27" s="47"/>
      <c r="I27" s="56">
        <v>500</v>
      </c>
      <c r="J27" s="56"/>
      <c r="K27" s="56">
        <f t="array" ref="K27">SUM(IF(Period="Jun",IF(Class=$B27,Amount)))</f>
        <v>0</v>
      </c>
      <c r="L27" s="56"/>
      <c r="M27" s="56">
        <f t="shared" si="2"/>
        <v>-500</v>
      </c>
      <c r="N27" s="47"/>
      <c r="O27" s="56">
        <v>0</v>
      </c>
      <c r="P27" s="56"/>
      <c r="Q27" s="56">
        <f t="array" ref="Q27">SUM(IF(Period="Jul",IF(Class=$B27,Amount)))</f>
        <v>0</v>
      </c>
      <c r="R27" s="56"/>
      <c r="S27" s="56">
        <f t="shared" si="3"/>
        <v>0</v>
      </c>
      <c r="T27" s="47"/>
      <c r="U27" s="86">
        <v>500</v>
      </c>
      <c r="V27" s="56"/>
      <c r="W27" s="57">
        <v>0</v>
      </c>
      <c r="X27" s="56"/>
      <c r="Y27" s="56">
        <f t="shared" si="4"/>
        <v>-500</v>
      </c>
      <c r="Z27" s="47"/>
      <c r="AA27" s="56">
        <v>0</v>
      </c>
      <c r="AB27" s="56"/>
      <c r="AC27" s="57">
        <v>0</v>
      </c>
      <c r="AD27" s="56"/>
      <c r="AE27" s="56">
        <f t="shared" si="5"/>
        <v>0</v>
      </c>
      <c r="AF27" s="47"/>
      <c r="AG27" s="56">
        <v>500</v>
      </c>
      <c r="AH27" s="56"/>
      <c r="AI27" s="57">
        <v>0</v>
      </c>
      <c r="AJ27" s="56"/>
      <c r="AK27" s="56">
        <f t="shared" si="6"/>
        <v>-500</v>
      </c>
      <c r="AL27" s="47"/>
      <c r="AM27" s="56">
        <v>500</v>
      </c>
      <c r="AN27" s="56"/>
      <c r="AO27" s="57">
        <v>0</v>
      </c>
      <c r="AP27" s="56"/>
      <c r="AQ27" s="56">
        <f t="shared" si="7"/>
        <v>-500</v>
      </c>
      <c r="AR27" s="47"/>
      <c r="AS27" s="56">
        <v>500</v>
      </c>
      <c r="AT27" s="56"/>
      <c r="AU27" s="57">
        <v>0</v>
      </c>
      <c r="AV27" s="56"/>
      <c r="AW27" s="56">
        <f t="shared" si="8"/>
        <v>-500</v>
      </c>
      <c r="AX27" s="47"/>
      <c r="AY27" s="56">
        <f t="shared" si="9"/>
        <v>2500</v>
      </c>
      <c r="AZ27" s="56"/>
      <c r="BA27" s="56">
        <f t="shared" si="10"/>
        <v>0</v>
      </c>
      <c r="BB27" s="56"/>
      <c r="BC27" s="56">
        <f t="shared" si="11"/>
        <v>-2500</v>
      </c>
    </row>
    <row r="28" spans="2:55" x14ac:dyDescent="0.25">
      <c r="B28" s="55" t="s">
        <v>23</v>
      </c>
      <c r="C28" s="56">
        <v>0</v>
      </c>
      <c r="D28" s="56"/>
      <c r="E28" s="56">
        <v>0</v>
      </c>
      <c r="F28" s="56"/>
      <c r="G28" s="56">
        <f t="shared" si="1"/>
        <v>0</v>
      </c>
      <c r="H28" s="47"/>
      <c r="I28" s="56">
        <v>350</v>
      </c>
      <c r="J28" s="56"/>
      <c r="K28" s="56">
        <f t="array" ref="K28">SUM(IF(Period="Jun",IF(Class=$B28,Amount)))</f>
        <v>0</v>
      </c>
      <c r="L28" s="56"/>
      <c r="M28" s="56">
        <f t="shared" si="2"/>
        <v>-350</v>
      </c>
      <c r="N28" s="47"/>
      <c r="O28" s="56">
        <v>0</v>
      </c>
      <c r="P28" s="56"/>
      <c r="Q28" s="56">
        <f t="array" ref="Q28">SUM(IF(Period="Jul",IF(Class=$B28,Amount)))</f>
        <v>0</v>
      </c>
      <c r="R28" s="56"/>
      <c r="S28" s="56">
        <f t="shared" si="3"/>
        <v>0</v>
      </c>
      <c r="T28" s="47"/>
      <c r="U28" s="86">
        <v>350</v>
      </c>
      <c r="V28" s="56"/>
      <c r="W28" s="57">
        <v>0</v>
      </c>
      <c r="X28" s="56"/>
      <c r="Y28" s="56">
        <f t="shared" si="4"/>
        <v>-350</v>
      </c>
      <c r="Z28" s="47"/>
      <c r="AA28" s="56">
        <v>0</v>
      </c>
      <c r="AB28" s="56"/>
      <c r="AC28" s="57">
        <v>0</v>
      </c>
      <c r="AD28" s="56"/>
      <c r="AE28" s="56">
        <f t="shared" si="5"/>
        <v>0</v>
      </c>
      <c r="AF28" s="47"/>
      <c r="AG28" s="56">
        <v>350</v>
      </c>
      <c r="AH28" s="56"/>
      <c r="AI28" s="57">
        <v>0</v>
      </c>
      <c r="AJ28" s="56"/>
      <c r="AK28" s="56">
        <f t="shared" si="6"/>
        <v>-350</v>
      </c>
      <c r="AL28" s="47"/>
      <c r="AM28" s="56">
        <v>350</v>
      </c>
      <c r="AN28" s="56"/>
      <c r="AO28" s="57">
        <v>0</v>
      </c>
      <c r="AP28" s="56"/>
      <c r="AQ28" s="56">
        <f t="shared" si="7"/>
        <v>-350</v>
      </c>
      <c r="AR28" s="47"/>
      <c r="AS28" s="56">
        <v>350</v>
      </c>
      <c r="AT28" s="56"/>
      <c r="AU28" s="57">
        <v>0</v>
      </c>
      <c r="AV28" s="56"/>
      <c r="AW28" s="56">
        <f t="shared" si="8"/>
        <v>-350</v>
      </c>
      <c r="AX28" s="47"/>
      <c r="AY28" s="56">
        <f t="shared" si="9"/>
        <v>1750</v>
      </c>
      <c r="AZ28" s="56"/>
      <c r="BA28" s="56">
        <f t="shared" si="10"/>
        <v>0</v>
      </c>
      <c r="BB28" s="56"/>
      <c r="BC28" s="56">
        <f t="shared" si="11"/>
        <v>-1750</v>
      </c>
    </row>
    <row r="29" spans="2:55" x14ac:dyDescent="0.25">
      <c r="B29" s="55" t="s">
        <v>138</v>
      </c>
      <c r="C29" s="56">
        <v>21.98</v>
      </c>
      <c r="D29" s="56"/>
      <c r="E29" s="56">
        <f>21.98+22.99</f>
        <v>44.97</v>
      </c>
      <c r="F29" s="56"/>
      <c r="G29" s="56">
        <f t="shared" si="1"/>
        <v>22.99</v>
      </c>
      <c r="H29" s="47"/>
      <c r="I29" s="56">
        <v>21.98</v>
      </c>
      <c r="J29" s="56"/>
      <c r="K29" s="56">
        <f t="array" ref="K29">SUM(IF(Period="Jun",IF(Class=$B29,Amount)))</f>
        <v>0</v>
      </c>
      <c r="L29" s="56"/>
      <c r="M29" s="56">
        <f t="shared" si="2"/>
        <v>-21.98</v>
      </c>
      <c r="N29" s="47"/>
      <c r="O29" s="56">
        <v>21.98</v>
      </c>
      <c r="P29" s="56"/>
      <c r="Q29" s="56">
        <f t="array" ref="Q29">SUM(IF(Period="Jul",IF(Class=$B29,Amount)))</f>
        <v>21.98</v>
      </c>
      <c r="R29" s="56"/>
      <c r="S29" s="56">
        <f t="shared" si="3"/>
        <v>0</v>
      </c>
      <c r="T29" s="47"/>
      <c r="U29" s="56">
        <v>21.98</v>
      </c>
      <c r="V29" s="56"/>
      <c r="W29" s="57">
        <v>0</v>
      </c>
      <c r="X29" s="56"/>
      <c r="Y29" s="56">
        <f t="shared" si="4"/>
        <v>-21.98</v>
      </c>
      <c r="Z29" s="47"/>
      <c r="AA29" s="56">
        <v>21.98</v>
      </c>
      <c r="AB29" s="56"/>
      <c r="AC29" s="57">
        <v>0</v>
      </c>
      <c r="AD29" s="56"/>
      <c r="AE29" s="56">
        <f t="shared" si="5"/>
        <v>-21.98</v>
      </c>
      <c r="AF29" s="47"/>
      <c r="AG29" s="56">
        <v>21.98</v>
      </c>
      <c r="AH29" s="56"/>
      <c r="AI29" s="57">
        <v>0</v>
      </c>
      <c r="AJ29" s="56"/>
      <c r="AK29" s="56">
        <f t="shared" si="6"/>
        <v>-21.98</v>
      </c>
      <c r="AL29" s="47"/>
      <c r="AM29" s="56">
        <v>21.98</v>
      </c>
      <c r="AN29" s="56"/>
      <c r="AO29" s="57">
        <v>0</v>
      </c>
      <c r="AP29" s="56"/>
      <c r="AQ29" s="56">
        <f t="shared" si="7"/>
        <v>-21.98</v>
      </c>
      <c r="AR29" s="47"/>
      <c r="AS29" s="56">
        <v>21.98</v>
      </c>
      <c r="AT29" s="56"/>
      <c r="AU29" s="57">
        <v>0</v>
      </c>
      <c r="AV29" s="56"/>
      <c r="AW29" s="56">
        <f t="shared" si="8"/>
        <v>-21.98</v>
      </c>
      <c r="AX29" s="47"/>
      <c r="AY29" s="56">
        <f t="shared" si="9"/>
        <v>175.83999999999997</v>
      </c>
      <c r="AZ29" s="56"/>
      <c r="BA29" s="56">
        <f t="shared" si="10"/>
        <v>66.95</v>
      </c>
      <c r="BB29" s="56"/>
      <c r="BC29" s="56">
        <f t="shared" si="11"/>
        <v>-108.88999999999997</v>
      </c>
    </row>
    <row r="30" spans="2:55" x14ac:dyDescent="0.25">
      <c r="B30" t="s">
        <v>329</v>
      </c>
      <c r="C30" s="47">
        <v>0</v>
      </c>
      <c r="D30" s="47"/>
      <c r="E30" s="47">
        <v>0</v>
      </c>
      <c r="F30" s="47"/>
      <c r="G30" s="47">
        <f t="shared" si="1"/>
        <v>0</v>
      </c>
      <c r="H30" s="47"/>
      <c r="I30" s="56">
        <v>0</v>
      </c>
      <c r="J30" s="56"/>
      <c r="K30" s="56">
        <f t="array" ref="K30">SUM(IF(Period="Jun",IF(Class=$B30,Amount)))</f>
        <v>0</v>
      </c>
      <c r="L30" s="56"/>
      <c r="M30" s="56">
        <f t="shared" ref="M30:M35" si="12">K30-I30</f>
        <v>0</v>
      </c>
      <c r="N30" s="47"/>
      <c r="O30" s="56">
        <v>65</v>
      </c>
      <c r="P30" s="56"/>
      <c r="Q30" s="56">
        <f t="array" ref="Q30">SUM(IF(Period="Jul",IF(Class=$B30,Amount)))</f>
        <v>0</v>
      </c>
      <c r="R30" s="56"/>
      <c r="S30" s="56">
        <f t="shared" ref="S30:S35" si="13">Q30-O30</f>
        <v>-65</v>
      </c>
      <c r="T30" s="47"/>
      <c r="U30" s="84">
        <v>40</v>
      </c>
      <c r="V30" s="56"/>
      <c r="W30" s="57">
        <v>0</v>
      </c>
      <c r="X30" s="56"/>
      <c r="Y30" s="56">
        <f t="shared" si="4"/>
        <v>-40</v>
      </c>
      <c r="Z30" s="47"/>
      <c r="AA30" s="84">
        <v>40</v>
      </c>
      <c r="AB30" s="56"/>
      <c r="AC30" s="57">
        <v>0</v>
      </c>
      <c r="AD30" s="56"/>
      <c r="AE30" s="56">
        <f t="shared" si="5"/>
        <v>-40</v>
      </c>
      <c r="AF30" s="47"/>
      <c r="AG30" s="84">
        <v>40</v>
      </c>
      <c r="AH30" s="56"/>
      <c r="AI30" s="57">
        <v>0</v>
      </c>
      <c r="AJ30" s="56"/>
      <c r="AK30" s="56">
        <f t="shared" si="6"/>
        <v>-40</v>
      </c>
      <c r="AL30" s="47"/>
      <c r="AM30" s="84">
        <v>40</v>
      </c>
      <c r="AN30" s="56"/>
      <c r="AO30" s="57">
        <v>0</v>
      </c>
      <c r="AP30" s="56"/>
      <c r="AQ30" s="56">
        <f t="shared" si="7"/>
        <v>-40</v>
      </c>
      <c r="AR30" s="47"/>
      <c r="AS30" s="84">
        <v>40</v>
      </c>
      <c r="AT30" s="56"/>
      <c r="AU30" s="57">
        <v>0</v>
      </c>
      <c r="AV30" s="56"/>
      <c r="AW30" s="56">
        <f t="shared" si="8"/>
        <v>-40</v>
      </c>
      <c r="AX30" s="47"/>
      <c r="AY30" s="56">
        <f>C30+I30+O30+U30+AA30+AG30+AM30+AS30</f>
        <v>265</v>
      </c>
      <c r="AZ30" s="56"/>
      <c r="BA30" s="56">
        <f>E30+K30+Q30+W30+AC30+AI30+AO30+AU30</f>
        <v>0</v>
      </c>
      <c r="BB30" s="56"/>
      <c r="BC30" s="56">
        <f>BA30-AY30</f>
        <v>-265</v>
      </c>
    </row>
    <row r="31" spans="2:55" x14ac:dyDescent="0.25">
      <c r="B31" s="6" t="s">
        <v>333</v>
      </c>
      <c r="C31" s="47">
        <v>0</v>
      </c>
      <c r="D31" s="47"/>
      <c r="E31" s="47">
        <v>0</v>
      </c>
      <c r="F31" s="47"/>
      <c r="G31" s="47">
        <f>E31-C31</f>
        <v>0</v>
      </c>
      <c r="H31" s="47"/>
      <c r="I31" s="56">
        <v>0</v>
      </c>
      <c r="J31" s="56"/>
      <c r="K31" s="56">
        <f t="array" ref="K31">SUM(IF(Period="Jun",IF(Class=$B31,Amount)))</f>
        <v>0</v>
      </c>
      <c r="L31" s="56"/>
      <c r="M31" s="56">
        <f t="shared" si="12"/>
        <v>0</v>
      </c>
      <c r="N31" s="47"/>
      <c r="O31" s="56">
        <v>0</v>
      </c>
      <c r="P31" s="56"/>
      <c r="Q31" s="56">
        <f t="array" ref="Q31">SUM(IF(Period="Jul",IF(Class=$B31,Amount)))</f>
        <v>0</v>
      </c>
      <c r="R31" s="56"/>
      <c r="S31" s="56">
        <f t="shared" si="13"/>
        <v>0</v>
      </c>
      <c r="T31" s="47"/>
      <c r="U31" s="84">
        <v>39.99</v>
      </c>
      <c r="V31" s="56"/>
      <c r="W31" s="57">
        <v>0</v>
      </c>
      <c r="X31" s="56"/>
      <c r="Y31" s="56">
        <f t="shared" si="4"/>
        <v>-39.99</v>
      </c>
      <c r="Z31" s="47"/>
      <c r="AA31" s="84">
        <v>39.99</v>
      </c>
      <c r="AB31" s="56"/>
      <c r="AC31" s="57">
        <v>0</v>
      </c>
      <c r="AD31" s="56"/>
      <c r="AE31" s="56">
        <f t="shared" si="5"/>
        <v>-39.99</v>
      </c>
      <c r="AF31" s="47"/>
      <c r="AG31" s="84">
        <v>39.99</v>
      </c>
      <c r="AH31" s="56"/>
      <c r="AI31" s="57">
        <v>0</v>
      </c>
      <c r="AJ31" s="56"/>
      <c r="AK31" s="56">
        <f t="shared" si="6"/>
        <v>-39.99</v>
      </c>
      <c r="AL31" s="47"/>
      <c r="AM31" s="84">
        <v>39.99</v>
      </c>
      <c r="AN31" s="56"/>
      <c r="AO31" s="57">
        <v>0</v>
      </c>
      <c r="AP31" s="56"/>
      <c r="AQ31" s="56">
        <f t="shared" si="7"/>
        <v>-39.99</v>
      </c>
      <c r="AR31" s="47"/>
      <c r="AS31" s="84">
        <v>39.99</v>
      </c>
      <c r="AT31" s="56"/>
      <c r="AU31" s="57">
        <v>0</v>
      </c>
      <c r="AV31" s="56"/>
      <c r="AW31" s="56">
        <f t="shared" si="8"/>
        <v>-39.99</v>
      </c>
      <c r="AX31" s="47"/>
      <c r="AY31" s="56">
        <f>C31+I31+O31+U31+AA31+AG31+AM31+AS31</f>
        <v>199.95000000000002</v>
      </c>
      <c r="AZ31" s="56"/>
      <c r="BA31" s="56">
        <f>E31+K31+Q31+W31+AC31+AI31+AO31+AU31</f>
        <v>0</v>
      </c>
      <c r="BB31" s="56"/>
      <c r="BC31" s="56">
        <f>BA31-AY31</f>
        <v>-199.95000000000002</v>
      </c>
    </row>
    <row r="32" spans="2:55" x14ac:dyDescent="0.25">
      <c r="B32" s="6" t="s">
        <v>506</v>
      </c>
      <c r="C32" s="47">
        <v>0</v>
      </c>
      <c r="D32" s="47"/>
      <c r="E32" s="47">
        <v>0</v>
      </c>
      <c r="F32" s="47"/>
      <c r="G32" s="47">
        <f>E32-C32</f>
        <v>0</v>
      </c>
      <c r="H32" s="47"/>
      <c r="I32" s="56">
        <v>0</v>
      </c>
      <c r="J32" s="56"/>
      <c r="K32" s="56">
        <f t="array" ref="K32">SUM(IF(Period="Jun",IF(Class=$B32,Amount)))</f>
        <v>0</v>
      </c>
      <c r="L32" s="56"/>
      <c r="M32" s="56">
        <f t="shared" si="12"/>
        <v>0</v>
      </c>
      <c r="N32" s="47"/>
      <c r="O32" s="56">
        <v>0</v>
      </c>
      <c r="P32" s="56"/>
      <c r="Q32" s="56">
        <f t="array" ref="Q32">SUM(IF(Period="Jul",IF(Class=$B32,Amount)))</f>
        <v>0</v>
      </c>
      <c r="R32" s="56"/>
      <c r="S32" s="56">
        <f t="shared" si="13"/>
        <v>0</v>
      </c>
      <c r="T32" s="47"/>
      <c r="U32" s="84">
        <v>0</v>
      </c>
      <c r="V32" s="56"/>
      <c r="W32" s="57">
        <v>0</v>
      </c>
      <c r="X32" s="56"/>
      <c r="Y32" s="56">
        <f>W32-U32</f>
        <v>0</v>
      </c>
      <c r="Z32" s="47"/>
      <c r="AA32" s="84">
        <v>65</v>
      </c>
      <c r="AB32" s="56"/>
      <c r="AC32" s="57">
        <v>0</v>
      </c>
      <c r="AD32" s="56"/>
      <c r="AE32" s="56">
        <f>AC32-AA32</f>
        <v>-65</v>
      </c>
      <c r="AF32" s="47"/>
      <c r="AG32" s="84">
        <v>39.99</v>
      </c>
      <c r="AH32" s="56"/>
      <c r="AI32" s="57">
        <v>0</v>
      </c>
      <c r="AJ32" s="56"/>
      <c r="AK32" s="56">
        <f>AI32-AG32</f>
        <v>-39.99</v>
      </c>
      <c r="AL32" s="47"/>
      <c r="AM32" s="84">
        <v>39.99</v>
      </c>
      <c r="AN32" s="56"/>
      <c r="AO32" s="57">
        <v>0</v>
      </c>
      <c r="AP32" s="56"/>
      <c r="AQ32" s="56">
        <f>AO32-AM32</f>
        <v>-39.99</v>
      </c>
      <c r="AR32" s="47"/>
      <c r="AS32" s="84">
        <v>39.99</v>
      </c>
      <c r="AT32" s="56"/>
      <c r="AU32" s="57">
        <v>0</v>
      </c>
      <c r="AV32" s="56"/>
      <c r="AW32" s="56">
        <f>AU32-AS32</f>
        <v>-39.99</v>
      </c>
      <c r="AX32" s="47"/>
      <c r="AY32" s="56">
        <f>C32+I32+O32+U32+AA32+AG32+AM32+AS32</f>
        <v>184.97000000000003</v>
      </c>
      <c r="AZ32" s="56"/>
      <c r="BA32" s="56">
        <f>E32+K32+Q32+W32+AC32+AI32+AO32+AU32</f>
        <v>0</v>
      </c>
      <c r="BB32" s="56"/>
      <c r="BC32" s="56">
        <f>BA32-AY32</f>
        <v>-184.97000000000003</v>
      </c>
    </row>
    <row r="33" spans="1:55" x14ac:dyDescent="0.25">
      <c r="B33" s="6" t="s">
        <v>507</v>
      </c>
      <c r="C33" s="47">
        <v>0</v>
      </c>
      <c r="D33" s="47"/>
      <c r="E33" s="47">
        <v>0</v>
      </c>
      <c r="F33" s="47"/>
      <c r="G33" s="47">
        <f>E33-C33</f>
        <v>0</v>
      </c>
      <c r="H33" s="47"/>
      <c r="I33" s="56">
        <v>0</v>
      </c>
      <c r="J33" s="56"/>
      <c r="K33" s="56">
        <f t="array" ref="K33">SUM(IF(Period="Jun",IF(Class=$B33,Amount)))</f>
        <v>0</v>
      </c>
      <c r="L33" s="56"/>
      <c r="M33" s="56">
        <f t="shared" si="12"/>
        <v>0</v>
      </c>
      <c r="N33" s="47"/>
      <c r="O33" s="56">
        <v>0</v>
      </c>
      <c r="P33" s="56"/>
      <c r="Q33" s="56">
        <f t="array" ref="Q33">SUM(IF(Period="Jul",IF(Class=$B33,Amount)))</f>
        <v>0</v>
      </c>
      <c r="R33" s="56"/>
      <c r="S33" s="56">
        <f t="shared" si="13"/>
        <v>0</v>
      </c>
      <c r="T33" s="47"/>
      <c r="U33" s="84">
        <v>0</v>
      </c>
      <c r="V33" s="56"/>
      <c r="W33" s="57">
        <v>0</v>
      </c>
      <c r="X33" s="56"/>
      <c r="Y33" s="56">
        <f>W33-U33</f>
        <v>0</v>
      </c>
      <c r="Z33" s="47"/>
      <c r="AA33" s="84">
        <f>57+9</f>
        <v>66</v>
      </c>
      <c r="AB33" s="56"/>
      <c r="AC33" s="57">
        <v>0</v>
      </c>
      <c r="AD33" s="56"/>
      <c r="AE33" s="56">
        <f>AC33-AA33</f>
        <v>-66</v>
      </c>
      <c r="AF33" s="47"/>
      <c r="AG33" s="84">
        <v>39.99</v>
      </c>
      <c r="AH33" s="56"/>
      <c r="AI33" s="57">
        <v>0</v>
      </c>
      <c r="AJ33" s="56"/>
      <c r="AK33" s="56">
        <f>AI33-AG33</f>
        <v>-39.99</v>
      </c>
      <c r="AL33" s="47"/>
      <c r="AM33" s="84">
        <v>39.99</v>
      </c>
      <c r="AN33" s="56"/>
      <c r="AO33" s="57">
        <v>0</v>
      </c>
      <c r="AP33" s="56"/>
      <c r="AQ33" s="56">
        <f>AO33-AM33</f>
        <v>-39.99</v>
      </c>
      <c r="AR33" s="47"/>
      <c r="AS33" s="84">
        <v>39.99</v>
      </c>
      <c r="AT33" s="56"/>
      <c r="AU33" s="57">
        <v>0</v>
      </c>
      <c r="AV33" s="56"/>
      <c r="AW33" s="56">
        <f>AU33-AS33</f>
        <v>-39.99</v>
      </c>
      <c r="AX33" s="47"/>
      <c r="AY33" s="56">
        <f>C33+I33+O33+U33+AA33+AG33+AM33+AS33</f>
        <v>185.97000000000003</v>
      </c>
      <c r="AZ33" s="56"/>
      <c r="BA33" s="56">
        <f>E33+K33+Q33+W33+AC33+AI33+AO33+AU33</f>
        <v>0</v>
      </c>
      <c r="BB33" s="56"/>
      <c r="BC33" s="56">
        <f>BA33-AY33</f>
        <v>-185.97000000000003</v>
      </c>
    </row>
    <row r="34" spans="1:55" x14ac:dyDescent="0.25">
      <c r="B34" s="6" t="s">
        <v>334</v>
      </c>
      <c r="C34" s="47">
        <v>0</v>
      </c>
      <c r="D34" s="47"/>
      <c r="E34" s="47">
        <v>0</v>
      </c>
      <c r="F34" s="47"/>
      <c r="G34" s="47">
        <f>E34-C34</f>
        <v>0</v>
      </c>
      <c r="H34" s="47"/>
      <c r="I34" s="56">
        <v>0</v>
      </c>
      <c r="J34" s="56"/>
      <c r="K34" s="56">
        <f t="array" ref="K34">SUM(IF(Period="Jun",IF(Class=$B34,Amount)))</f>
        <v>0</v>
      </c>
      <c r="L34" s="56"/>
      <c r="M34" s="56">
        <f t="shared" si="12"/>
        <v>0</v>
      </c>
      <c r="N34" s="47"/>
      <c r="O34" s="56">
        <v>10.99</v>
      </c>
      <c r="P34" s="56"/>
      <c r="Q34" s="56">
        <f t="array" ref="Q34">SUM(IF(Period="Jul",IF(Class=$B34,Amount)))</f>
        <v>0</v>
      </c>
      <c r="R34" s="56"/>
      <c r="S34" s="56">
        <f t="shared" si="13"/>
        <v>-10.99</v>
      </c>
      <c r="T34" s="47"/>
      <c r="U34" s="84">
        <v>10.99</v>
      </c>
      <c r="V34" s="56"/>
      <c r="W34" s="57">
        <v>0</v>
      </c>
      <c r="X34" s="56"/>
      <c r="Y34" s="56">
        <f>W34-U34</f>
        <v>-10.99</v>
      </c>
      <c r="Z34" s="47"/>
      <c r="AA34" s="84">
        <v>10.99</v>
      </c>
      <c r="AB34" s="56"/>
      <c r="AC34" s="57">
        <v>0</v>
      </c>
      <c r="AD34" s="56"/>
      <c r="AE34" s="56">
        <f>AC34-AA34</f>
        <v>-10.99</v>
      </c>
      <c r="AF34" s="47"/>
      <c r="AG34" s="84">
        <v>10.99</v>
      </c>
      <c r="AH34" s="56"/>
      <c r="AI34" s="57">
        <v>0</v>
      </c>
      <c r="AJ34" s="56"/>
      <c r="AK34" s="56">
        <f>AI34-AG34</f>
        <v>-10.99</v>
      </c>
      <c r="AL34" s="47"/>
      <c r="AM34" s="84">
        <v>10.99</v>
      </c>
      <c r="AN34" s="56"/>
      <c r="AO34" s="57">
        <v>0</v>
      </c>
      <c r="AP34" s="56"/>
      <c r="AQ34" s="56">
        <f>AO34-AM34</f>
        <v>-10.99</v>
      </c>
      <c r="AR34" s="47"/>
      <c r="AS34" s="84">
        <v>10.99</v>
      </c>
      <c r="AT34" s="56"/>
      <c r="AU34" s="57">
        <v>0</v>
      </c>
      <c r="AV34" s="56"/>
      <c r="AW34" s="56">
        <f>AU34-AS34</f>
        <v>-10.99</v>
      </c>
      <c r="AX34" s="47"/>
      <c r="AY34" s="56">
        <f>C34+I34+O34+U34+AA34+AG34+AM34+AS34</f>
        <v>65.94</v>
      </c>
      <c r="AZ34" s="56"/>
      <c r="BA34" s="56">
        <f>E34+K34+Q34+W34+AC34+AI34+AO34+AU34</f>
        <v>0</v>
      </c>
      <c r="BB34" s="56"/>
      <c r="BC34" s="56">
        <f>BA34-AY34</f>
        <v>-65.94</v>
      </c>
    </row>
    <row r="35" spans="1:55" x14ac:dyDescent="0.25">
      <c r="B35" s="55" t="s">
        <v>202</v>
      </c>
      <c r="C35" s="56">
        <v>0</v>
      </c>
      <c r="D35" s="56"/>
      <c r="E35" s="56">
        <v>100</v>
      </c>
      <c r="F35" s="56"/>
      <c r="G35" s="56">
        <f>E35-C35</f>
        <v>100</v>
      </c>
      <c r="H35" s="47"/>
      <c r="I35" s="56">
        <v>0</v>
      </c>
      <c r="J35" s="56"/>
      <c r="K35" s="56">
        <f t="array" ref="K35">SUM(IF(Period="Jun",IF(Class=$B35,Amount)))</f>
        <v>236.5</v>
      </c>
      <c r="L35" s="56"/>
      <c r="M35" s="56">
        <f t="shared" si="12"/>
        <v>236.5</v>
      </c>
      <c r="N35" s="47"/>
      <c r="O35" s="56">
        <v>0</v>
      </c>
      <c r="P35" s="56"/>
      <c r="Q35" s="56">
        <f t="array" ref="Q35">SUM(IF(Period="Jul",IF(Class=$B35,Amount)))</f>
        <v>0</v>
      </c>
      <c r="R35" s="56"/>
      <c r="S35" s="56">
        <f t="shared" si="13"/>
        <v>0</v>
      </c>
      <c r="T35" s="47"/>
      <c r="U35" s="56">
        <v>0</v>
      </c>
      <c r="V35" s="56"/>
      <c r="W35" s="57">
        <v>0</v>
      </c>
      <c r="X35" s="56"/>
      <c r="Y35" s="56">
        <f>W35-U35</f>
        <v>0</v>
      </c>
      <c r="Z35" s="47"/>
      <c r="AA35" s="56">
        <v>0</v>
      </c>
      <c r="AB35" s="56"/>
      <c r="AC35" s="57">
        <v>0</v>
      </c>
      <c r="AD35" s="56"/>
      <c r="AE35" s="56">
        <f>AC35-AA35</f>
        <v>0</v>
      </c>
      <c r="AF35" s="47"/>
      <c r="AG35" s="56">
        <v>0</v>
      </c>
      <c r="AH35" s="56"/>
      <c r="AI35" s="57">
        <v>0</v>
      </c>
      <c r="AJ35" s="56"/>
      <c r="AK35" s="56">
        <f>AI35-AG35</f>
        <v>0</v>
      </c>
      <c r="AL35" s="47"/>
      <c r="AM35" s="56">
        <v>0</v>
      </c>
      <c r="AN35" s="56"/>
      <c r="AO35" s="57">
        <v>0</v>
      </c>
      <c r="AP35" s="56"/>
      <c r="AQ35" s="56">
        <f>AO35-AM35</f>
        <v>0</v>
      </c>
      <c r="AR35" s="47"/>
      <c r="AS35" s="56">
        <v>0</v>
      </c>
      <c r="AT35" s="56"/>
      <c r="AU35" s="57">
        <v>0</v>
      </c>
      <c r="AV35" s="56"/>
      <c r="AW35" s="56">
        <f>AU35-AS35</f>
        <v>0</v>
      </c>
      <c r="AX35" s="47"/>
      <c r="AY35" s="56">
        <f t="shared" si="9"/>
        <v>0</v>
      </c>
      <c r="AZ35" s="56"/>
      <c r="BA35" s="56">
        <f t="shared" si="10"/>
        <v>336.5</v>
      </c>
      <c r="BB35" s="56"/>
      <c r="BC35" s="56">
        <f t="shared" si="11"/>
        <v>336.5</v>
      </c>
    </row>
    <row r="36" spans="1:55" x14ac:dyDescent="0.25">
      <c r="B36" s="55" t="s">
        <v>195</v>
      </c>
      <c r="C36" s="56">
        <v>0</v>
      </c>
      <c r="D36" s="56"/>
      <c r="E36" s="56">
        <v>6.65</v>
      </c>
      <c r="F36" s="56"/>
      <c r="G36" s="56">
        <f t="shared" si="1"/>
        <v>6.65</v>
      </c>
      <c r="H36" s="47"/>
      <c r="I36" s="56">
        <v>15</v>
      </c>
      <c r="J36" s="56"/>
      <c r="K36" s="56">
        <f t="array" ref="K36">SUM(IF(Period="Jun",IF(Class=$B36,Amount)))</f>
        <v>71.05</v>
      </c>
      <c r="L36" s="56"/>
      <c r="M36" s="56">
        <f t="shared" si="2"/>
        <v>56.05</v>
      </c>
      <c r="N36" s="47"/>
      <c r="O36" s="56">
        <v>15</v>
      </c>
      <c r="P36" s="56"/>
      <c r="Q36" s="56">
        <f t="array" ref="Q36">SUM(IF(Period="Jul",IF(Class=$B36,Amount)))</f>
        <v>0</v>
      </c>
      <c r="R36" s="56"/>
      <c r="S36" s="56">
        <f t="shared" si="3"/>
        <v>-15</v>
      </c>
      <c r="T36" s="47"/>
      <c r="U36" s="56">
        <v>15</v>
      </c>
      <c r="V36" s="56"/>
      <c r="W36" s="57">
        <v>0</v>
      </c>
      <c r="X36" s="56"/>
      <c r="Y36" s="56">
        <f t="shared" si="4"/>
        <v>-15</v>
      </c>
      <c r="Z36" s="47"/>
      <c r="AA36" s="56">
        <v>15</v>
      </c>
      <c r="AB36" s="56"/>
      <c r="AC36" s="57">
        <v>0</v>
      </c>
      <c r="AD36" s="56"/>
      <c r="AE36" s="56">
        <f t="shared" si="5"/>
        <v>-15</v>
      </c>
      <c r="AF36" s="47"/>
      <c r="AG36" s="56">
        <v>15</v>
      </c>
      <c r="AH36" s="56"/>
      <c r="AI36" s="57">
        <v>0</v>
      </c>
      <c r="AJ36" s="56"/>
      <c r="AK36" s="56">
        <f t="shared" si="6"/>
        <v>-15</v>
      </c>
      <c r="AL36" s="47"/>
      <c r="AM36" s="56">
        <v>15</v>
      </c>
      <c r="AN36" s="56"/>
      <c r="AO36" s="57">
        <v>0</v>
      </c>
      <c r="AP36" s="56"/>
      <c r="AQ36" s="56">
        <f t="shared" si="7"/>
        <v>-15</v>
      </c>
      <c r="AR36" s="47"/>
      <c r="AS36" s="56">
        <v>15</v>
      </c>
      <c r="AT36" s="56"/>
      <c r="AU36" s="57">
        <v>0</v>
      </c>
      <c r="AV36" s="56"/>
      <c r="AW36" s="56">
        <f t="shared" si="8"/>
        <v>-15</v>
      </c>
      <c r="AX36" s="47"/>
      <c r="AY36" s="56">
        <f t="shared" si="9"/>
        <v>105</v>
      </c>
      <c r="AZ36" s="56"/>
      <c r="BA36" s="56">
        <f t="shared" si="10"/>
        <v>77.7</v>
      </c>
      <c r="BB36" s="56"/>
      <c r="BC36" s="56">
        <f t="shared" si="11"/>
        <v>-27.299999999999997</v>
      </c>
    </row>
    <row r="37" spans="1:55" ht="17.25" x14ac:dyDescent="0.4">
      <c r="B37" t="s">
        <v>194</v>
      </c>
      <c r="C37" s="48">
        <v>0</v>
      </c>
      <c r="D37" s="47"/>
      <c r="E37" s="48">
        <v>519.98</v>
      </c>
      <c r="F37" s="47"/>
      <c r="G37" s="48">
        <f t="shared" si="1"/>
        <v>519.98</v>
      </c>
      <c r="H37" s="47"/>
      <c r="I37" s="48">
        <v>0</v>
      </c>
      <c r="J37" s="47"/>
      <c r="K37" s="48">
        <f t="array" ref="K37">SUM(IF(Period="Jun",IF(Class=$B37,Amount)))</f>
        <v>0</v>
      </c>
      <c r="L37" s="47"/>
      <c r="M37" s="48">
        <f t="shared" si="2"/>
        <v>0</v>
      </c>
      <c r="N37" s="47"/>
      <c r="O37" s="48">
        <v>0</v>
      </c>
      <c r="P37" s="47"/>
      <c r="Q37" s="48">
        <v>682</v>
      </c>
      <c r="R37" s="47"/>
      <c r="S37" s="48">
        <f t="shared" si="3"/>
        <v>682</v>
      </c>
      <c r="T37" s="47"/>
      <c r="U37" s="85">
        <v>2000</v>
      </c>
      <c r="V37" s="47"/>
      <c r="W37" s="54">
        <f>519.18+172.8+27</f>
        <v>718.98</v>
      </c>
      <c r="X37" s="47"/>
      <c r="Y37" s="48">
        <f t="shared" si="4"/>
        <v>-1281.02</v>
      </c>
      <c r="Z37" s="47"/>
      <c r="AA37" s="48">
        <v>0</v>
      </c>
      <c r="AB37" s="47"/>
      <c r="AC37" s="54">
        <v>0</v>
      </c>
      <c r="AD37" s="47"/>
      <c r="AE37" s="48">
        <f t="shared" si="5"/>
        <v>0</v>
      </c>
      <c r="AF37" s="47"/>
      <c r="AG37" s="48">
        <v>0</v>
      </c>
      <c r="AH37" s="47"/>
      <c r="AI37" s="54">
        <v>0</v>
      </c>
      <c r="AJ37" s="47"/>
      <c r="AK37" s="48">
        <f t="shared" si="6"/>
        <v>0</v>
      </c>
      <c r="AL37" s="47"/>
      <c r="AM37" s="48">
        <v>0</v>
      </c>
      <c r="AN37" s="47"/>
      <c r="AO37" s="54">
        <v>0</v>
      </c>
      <c r="AP37" s="47"/>
      <c r="AQ37" s="48">
        <f t="shared" si="7"/>
        <v>0</v>
      </c>
      <c r="AR37" s="47"/>
      <c r="AS37" s="48">
        <v>0</v>
      </c>
      <c r="AT37" s="47"/>
      <c r="AU37" s="54">
        <v>0</v>
      </c>
      <c r="AV37" s="47"/>
      <c r="AW37" s="48">
        <f t="shared" si="8"/>
        <v>0</v>
      </c>
      <c r="AX37" s="47"/>
      <c r="AY37" s="48">
        <f t="shared" si="9"/>
        <v>2000</v>
      </c>
      <c r="AZ37" s="47"/>
      <c r="BA37" s="48">
        <f t="shared" si="10"/>
        <v>1920.96</v>
      </c>
      <c r="BB37" s="47"/>
      <c r="BC37" s="48">
        <f t="shared" si="11"/>
        <v>-79.039999999999964</v>
      </c>
    </row>
    <row r="38" spans="1:55" x14ac:dyDescent="0.25">
      <c r="B38" s="4" t="s">
        <v>9</v>
      </c>
      <c r="C38" s="49">
        <f>SUM(C14:C37)</f>
        <v>3078.42</v>
      </c>
      <c r="D38" s="49"/>
      <c r="E38" s="49">
        <f>SUM(E14:E37)</f>
        <v>3884.7</v>
      </c>
      <c r="F38" s="49"/>
      <c r="G38" s="49">
        <f>SUM(G14:G37)</f>
        <v>806.28</v>
      </c>
      <c r="H38" s="49"/>
      <c r="I38" s="49">
        <f>SUM(I14:I37)</f>
        <v>4659.17</v>
      </c>
      <c r="J38" s="49"/>
      <c r="K38" s="49">
        <f>SUM(K14:K37)</f>
        <v>5307.65</v>
      </c>
      <c r="L38" s="49"/>
      <c r="M38" s="49">
        <f>SUM(M14:M37)</f>
        <v>648.48</v>
      </c>
      <c r="N38" s="49"/>
      <c r="O38" s="49">
        <f>SUM(O14:O37)</f>
        <v>4250.66</v>
      </c>
      <c r="P38" s="49"/>
      <c r="Q38" s="49">
        <f>SUM(Q14:Q37)</f>
        <v>3461.7900000000004</v>
      </c>
      <c r="R38" s="49"/>
      <c r="S38" s="49">
        <f>SUM(S14:S37)</f>
        <v>-788.87000000000012</v>
      </c>
      <c r="T38" s="49"/>
      <c r="U38" s="49">
        <f>SUM(U14:U37)</f>
        <v>6478.65</v>
      </c>
      <c r="V38" s="49"/>
      <c r="W38" s="49">
        <f>SUM(W14:W37)</f>
        <v>3084.67</v>
      </c>
      <c r="X38" s="49"/>
      <c r="Y38" s="49">
        <f>SUM(Y14:Y37)</f>
        <v>-3393.9799999999996</v>
      </c>
      <c r="Z38" s="49"/>
      <c r="AA38" s="49">
        <f>SUM(AA14:AA37)</f>
        <v>3863.6499999999996</v>
      </c>
      <c r="AB38" s="49"/>
      <c r="AC38" s="49">
        <f>SUM(AC14:AC37)</f>
        <v>2665.69</v>
      </c>
      <c r="AD38" s="49"/>
      <c r="AE38" s="49">
        <f>SUM(AE14:AE37)</f>
        <v>-1197.96</v>
      </c>
      <c r="AF38" s="49"/>
      <c r="AG38" s="49">
        <f>SUM(AG14:AG37)</f>
        <v>4558.6299999999992</v>
      </c>
      <c r="AH38" s="49"/>
      <c r="AI38" s="49">
        <f>SUM(AI14:AI37)</f>
        <v>3165.69</v>
      </c>
      <c r="AJ38" s="49"/>
      <c r="AK38" s="49">
        <f>SUM(AK14:AK37)</f>
        <v>-1392.94</v>
      </c>
      <c r="AL38" s="49"/>
      <c r="AM38" s="49">
        <f>SUM(AM14:AM37)</f>
        <v>4558.6299999999992</v>
      </c>
      <c r="AN38" s="49"/>
      <c r="AO38" s="49">
        <f>SUM(AO14:AO37)</f>
        <v>2365.69</v>
      </c>
      <c r="AP38" s="49"/>
      <c r="AQ38" s="49">
        <f>SUM(AQ14:AQ37)</f>
        <v>-2192.9399999999991</v>
      </c>
      <c r="AR38" s="49"/>
      <c r="AS38" s="49">
        <f>SUM(AS14:AS37)</f>
        <v>5105.1299999999992</v>
      </c>
      <c r="AT38" s="49"/>
      <c r="AU38" s="49">
        <f>SUM(AU14:AU37)</f>
        <v>2460.69</v>
      </c>
      <c r="AV38" s="49"/>
      <c r="AW38" s="49">
        <f>SUM(AW14:AW37)</f>
        <v>-2644.4399999999991</v>
      </c>
      <c r="AX38" s="49"/>
      <c r="AY38" s="49">
        <f>SUM(AY14:AY37)</f>
        <v>36552.939999999995</v>
      </c>
      <c r="AZ38" s="49"/>
      <c r="BA38" s="49">
        <f>SUM(BA14:BA37)</f>
        <v>26396.569999999996</v>
      </c>
      <c r="BB38" s="49"/>
      <c r="BC38" s="49">
        <f>SUM(BC14:BC37)</f>
        <v>-10156.369999999999</v>
      </c>
    </row>
    <row r="39" spans="1:55" x14ac:dyDescent="0.25"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</row>
    <row r="40" spans="1:55" ht="18" x14ac:dyDescent="0.4">
      <c r="A40" s="59" t="s">
        <v>211</v>
      </c>
      <c r="B40" s="4"/>
      <c r="C40" s="51">
        <f>C11-C38</f>
        <v>2402.58</v>
      </c>
      <c r="D40" s="49"/>
      <c r="E40" s="51">
        <f>E11-E38</f>
        <v>1596.3000000000002</v>
      </c>
      <c r="F40" s="49"/>
      <c r="G40" s="51">
        <f>G11-G38</f>
        <v>-806.28</v>
      </c>
      <c r="H40" s="49"/>
      <c r="I40" s="51">
        <f>I11-I38</f>
        <v>6608.67</v>
      </c>
      <c r="J40" s="49"/>
      <c r="K40" s="51">
        <f>K11-K38</f>
        <v>5960.1900000000005</v>
      </c>
      <c r="L40" s="49"/>
      <c r="M40" s="51">
        <f>M11-M38</f>
        <v>-648.48</v>
      </c>
      <c r="N40" s="49"/>
      <c r="O40" s="51">
        <f>O11-O38</f>
        <v>2261.9000000000005</v>
      </c>
      <c r="P40" s="49"/>
      <c r="Q40" s="51">
        <f>Q11-Q38</f>
        <v>3050.77</v>
      </c>
      <c r="R40" s="49"/>
      <c r="S40" s="51">
        <f>S11-S38</f>
        <v>788.87000000000012</v>
      </c>
      <c r="T40" s="49"/>
      <c r="U40" s="51">
        <f>U11-U38</f>
        <v>1283.9100000000008</v>
      </c>
      <c r="V40" s="49"/>
      <c r="W40" s="51">
        <f>W11-W38</f>
        <v>4677.8900000000003</v>
      </c>
      <c r="X40" s="49"/>
      <c r="Y40" s="51">
        <f>Y11-Y38</f>
        <v>3393.9799999999996</v>
      </c>
      <c r="Z40" s="49"/>
      <c r="AA40" s="51">
        <f>AA11-AA38</f>
        <v>3898.9100000000008</v>
      </c>
      <c r="AB40" s="49"/>
      <c r="AC40" s="51">
        <f>AC11-AC38</f>
        <v>5096.8700000000008</v>
      </c>
      <c r="AD40" s="49"/>
      <c r="AE40" s="51">
        <f>AE11-AE38</f>
        <v>1197.96</v>
      </c>
      <c r="AF40" s="49"/>
      <c r="AG40" s="51">
        <f>AG11-AG38</f>
        <v>3203.9300000000012</v>
      </c>
      <c r="AH40" s="49"/>
      <c r="AI40" s="51">
        <f>AI11-AI38</f>
        <v>4596.8700000000008</v>
      </c>
      <c r="AJ40" s="49"/>
      <c r="AK40" s="51">
        <f>AK11-AK38</f>
        <v>1392.94</v>
      </c>
      <c r="AL40" s="49"/>
      <c r="AM40" s="51">
        <f>AM11-AM38</f>
        <v>6659.2100000000009</v>
      </c>
      <c r="AN40" s="49"/>
      <c r="AO40" s="51">
        <f>AO11-AO38</f>
        <v>8852.15</v>
      </c>
      <c r="AP40" s="49"/>
      <c r="AQ40" s="51">
        <f>AQ11-AQ38</f>
        <v>2192.9399999999991</v>
      </c>
      <c r="AR40" s="49"/>
      <c r="AS40" s="51">
        <f>AS11-AS38</f>
        <v>2757.4300000000012</v>
      </c>
      <c r="AT40" s="49"/>
      <c r="AU40" s="51">
        <f>AU11-AU38</f>
        <v>5401.8700000000008</v>
      </c>
      <c r="AV40" s="49"/>
      <c r="AW40" s="51">
        <f>AW11-AW38</f>
        <v>2644.4399999999991</v>
      </c>
      <c r="AX40" s="49"/>
      <c r="AY40" s="51">
        <f>AY11-AY38</f>
        <v>29076.54</v>
      </c>
      <c r="AZ40" s="49"/>
      <c r="BA40" s="51">
        <f>BA11-BA38</f>
        <v>39232.910000000003</v>
      </c>
      <c r="BB40" s="49"/>
      <c r="BC40" s="51">
        <f>BC11-BC38</f>
        <v>10156.369999999999</v>
      </c>
    </row>
    <row r="41" spans="1:55" x14ac:dyDescent="0.25"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</row>
    <row r="42" spans="1:55" x14ac:dyDescent="0.25">
      <c r="C42" s="47"/>
      <c r="D42" s="47"/>
      <c r="E42" s="47"/>
      <c r="F42" s="47"/>
      <c r="G42" s="47"/>
      <c r="H42" s="47"/>
      <c r="I42" s="60" t="s">
        <v>213</v>
      </c>
      <c r="J42" s="47"/>
      <c r="K42" s="60" t="s">
        <v>214</v>
      </c>
      <c r="L42" s="47"/>
      <c r="M42" s="47"/>
      <c r="N42" s="47"/>
      <c r="O42" s="60" t="s">
        <v>213</v>
      </c>
      <c r="P42" s="47"/>
      <c r="Q42" s="60" t="s">
        <v>214</v>
      </c>
      <c r="R42" s="47"/>
      <c r="S42" s="47"/>
      <c r="T42" s="47"/>
      <c r="U42" s="60" t="s">
        <v>213</v>
      </c>
      <c r="V42" s="47"/>
      <c r="W42" s="60" t="s">
        <v>214</v>
      </c>
      <c r="X42" s="47"/>
      <c r="Y42" s="47"/>
      <c r="Z42" s="47"/>
      <c r="AA42" s="60" t="s">
        <v>213</v>
      </c>
      <c r="AB42" s="47"/>
      <c r="AC42" s="60" t="s">
        <v>214</v>
      </c>
      <c r="AD42" s="47"/>
      <c r="AE42" s="47"/>
      <c r="AF42" s="47"/>
      <c r="AG42" s="60" t="s">
        <v>213</v>
      </c>
      <c r="AH42" s="47"/>
      <c r="AI42" s="60" t="s">
        <v>214</v>
      </c>
      <c r="AJ42" s="47"/>
      <c r="AK42" s="47"/>
      <c r="AL42" s="47"/>
      <c r="AM42" s="60" t="s">
        <v>213</v>
      </c>
      <c r="AN42" s="47"/>
      <c r="AO42" s="60" t="s">
        <v>214</v>
      </c>
      <c r="AP42" s="47"/>
      <c r="AQ42" s="47"/>
      <c r="AR42" s="47"/>
      <c r="AS42" s="60" t="s">
        <v>213</v>
      </c>
      <c r="AT42" s="47"/>
      <c r="AU42" s="60" t="s">
        <v>214</v>
      </c>
      <c r="AV42" s="47"/>
      <c r="AW42" s="47"/>
      <c r="AX42" s="47"/>
      <c r="AY42" s="47"/>
      <c r="AZ42" s="47"/>
      <c r="BA42" s="47"/>
      <c r="BB42" s="47"/>
      <c r="BC42" s="47"/>
    </row>
    <row r="43" spans="1:55" x14ac:dyDescent="0.25">
      <c r="A43" s="12" t="s">
        <v>24</v>
      </c>
      <c r="B43" s="13"/>
      <c r="C43" s="52"/>
      <c r="D43" s="52"/>
      <c r="E43" s="52"/>
      <c r="F43" s="52"/>
      <c r="G43" s="52"/>
      <c r="H43" s="58"/>
      <c r="I43" s="53">
        <f>4284.01+248.61+1588.42+500</f>
        <v>6621.04</v>
      </c>
      <c r="J43" s="52"/>
      <c r="K43" s="52">
        <f>I43</f>
        <v>6621.04</v>
      </c>
      <c r="L43" s="52"/>
      <c r="M43" s="52"/>
      <c r="N43" s="58"/>
      <c r="O43" s="75">
        <v>9251.8799999999992</v>
      </c>
      <c r="P43" s="52"/>
      <c r="Q43" s="52">
        <v>9251.8799999999992</v>
      </c>
      <c r="R43" s="52"/>
      <c r="S43" s="52"/>
      <c r="T43" s="58"/>
      <c r="U43" s="75">
        <f>O44</f>
        <v>13051.32</v>
      </c>
      <c r="V43" s="52"/>
      <c r="W43" s="52">
        <f>Q44</f>
        <v>13840.19</v>
      </c>
      <c r="X43" s="52"/>
      <c r="Y43" s="52"/>
      <c r="Z43" s="58"/>
      <c r="AA43" s="75">
        <v>9500</v>
      </c>
      <c r="AB43" s="52"/>
      <c r="AC43" s="52">
        <f>W44</f>
        <v>18518.080000000002</v>
      </c>
      <c r="AD43" s="52"/>
      <c r="AE43" s="52"/>
      <c r="AF43" s="58"/>
      <c r="AG43" s="75">
        <f>AA44</f>
        <v>13836.45</v>
      </c>
      <c r="AH43" s="52"/>
      <c r="AI43" s="52">
        <f>AC44</f>
        <v>23614.950000000004</v>
      </c>
      <c r="AJ43" s="52"/>
      <c r="AK43" s="52"/>
      <c r="AL43" s="58"/>
      <c r="AM43" s="75">
        <f>AG44</f>
        <v>17040.38</v>
      </c>
      <c r="AN43" s="52"/>
      <c r="AO43" s="52">
        <f>AI44</f>
        <v>28211.820000000007</v>
      </c>
      <c r="AP43" s="52"/>
      <c r="AQ43" s="52"/>
      <c r="AR43" s="58"/>
      <c r="AS43" s="75">
        <f>AM44</f>
        <v>23699.590000000004</v>
      </c>
      <c r="AT43" s="52"/>
      <c r="AU43" s="52">
        <f>AO44</f>
        <v>37063.970000000008</v>
      </c>
      <c r="AV43" s="52"/>
      <c r="AW43" s="52"/>
      <c r="AX43" s="58"/>
      <c r="AY43" s="52">
        <f>AS43</f>
        <v>23699.590000000004</v>
      </c>
      <c r="AZ43" s="52"/>
      <c r="BA43" s="52">
        <f>AU43</f>
        <v>37063.970000000008</v>
      </c>
      <c r="BB43" s="52"/>
      <c r="BC43" s="52"/>
    </row>
    <row r="44" spans="1:55" x14ac:dyDescent="0.25">
      <c r="A44" s="12" t="s">
        <v>25</v>
      </c>
      <c r="B44" s="13"/>
      <c r="C44" s="52"/>
      <c r="D44" s="52"/>
      <c r="E44" s="52"/>
      <c r="F44" s="52"/>
      <c r="G44" s="52"/>
      <c r="H44" s="58"/>
      <c r="I44" s="52">
        <f>I43+I40+I15</f>
        <v>13667.25</v>
      </c>
      <c r="J44" s="52"/>
      <c r="K44" s="52">
        <f>K43+K40+K15</f>
        <v>13018.77</v>
      </c>
      <c r="L44" s="52"/>
      <c r="M44" s="52"/>
      <c r="N44" s="58"/>
      <c r="O44" s="52">
        <f>O43+O40+O15+O16</f>
        <v>13051.32</v>
      </c>
      <c r="P44" s="52"/>
      <c r="Q44" s="52">
        <f>Q43+Q40+Q15+Q16</f>
        <v>13840.19</v>
      </c>
      <c r="R44" s="52"/>
      <c r="S44" s="52"/>
      <c r="T44" s="58"/>
      <c r="U44" s="52">
        <f>U43+U40</f>
        <v>14335.23</v>
      </c>
      <c r="V44" s="52"/>
      <c r="W44" s="52">
        <f>W43+W40</f>
        <v>18518.080000000002</v>
      </c>
      <c r="X44" s="52"/>
      <c r="Y44" s="52"/>
      <c r="Z44" s="58"/>
      <c r="AA44" s="52">
        <f>AA43+AA40+437.54+N("Add back for KIA paid prior to starting balance of $9,500")</f>
        <v>13836.45</v>
      </c>
      <c r="AB44" s="52"/>
      <c r="AC44" s="52">
        <f>AC43+AC40</f>
        <v>23614.950000000004</v>
      </c>
      <c r="AD44" s="52"/>
      <c r="AE44" s="52"/>
      <c r="AF44" s="58"/>
      <c r="AG44" s="52">
        <f>AG43+AG40</f>
        <v>17040.38</v>
      </c>
      <c r="AH44" s="52"/>
      <c r="AI44" s="52">
        <f>AI43+AI40</f>
        <v>28211.820000000007</v>
      </c>
      <c r="AJ44" s="52"/>
      <c r="AK44" s="52"/>
      <c r="AL44" s="58"/>
      <c r="AM44" s="52">
        <f>AM43+AM40</f>
        <v>23699.590000000004</v>
      </c>
      <c r="AN44" s="52"/>
      <c r="AO44" s="52">
        <f>AO43+AO40</f>
        <v>37063.970000000008</v>
      </c>
      <c r="AP44" s="52"/>
      <c r="AQ44" s="52"/>
      <c r="AR44" s="58"/>
      <c r="AS44" s="72">
        <f>AS43+AS40</f>
        <v>26457.020000000004</v>
      </c>
      <c r="AT44" s="72"/>
      <c r="AU44" s="72">
        <f>AU43+AU40</f>
        <v>42465.840000000011</v>
      </c>
      <c r="AV44" s="52"/>
      <c r="AW44" s="52"/>
      <c r="AX44" s="58"/>
      <c r="AY44" s="52">
        <f>AS44</f>
        <v>26457.020000000004</v>
      </c>
      <c r="AZ44" s="52"/>
      <c r="BA44" s="52">
        <f>AU44</f>
        <v>42465.840000000011</v>
      </c>
      <c r="BB44" s="52"/>
      <c r="BC44" s="52"/>
    </row>
    <row r="46" spans="1:55" x14ac:dyDescent="0.25">
      <c r="A46" s="14"/>
      <c r="B46" s="15" t="s">
        <v>139</v>
      </c>
    </row>
    <row r="49" spans="1:45" ht="17.25" x14ac:dyDescent="0.4">
      <c r="A49" t="s">
        <v>231</v>
      </c>
      <c r="I49" s="73" t="s">
        <v>232</v>
      </c>
      <c r="O49" s="73" t="s">
        <v>233</v>
      </c>
      <c r="U49" s="73" t="s">
        <v>234</v>
      </c>
      <c r="AA49" s="73" t="s">
        <v>235</v>
      </c>
      <c r="AG49" s="73" t="s">
        <v>236</v>
      </c>
      <c r="AM49" s="73" t="s">
        <v>237</v>
      </c>
      <c r="AS49" s="73" t="s">
        <v>238</v>
      </c>
    </row>
    <row r="50" spans="1:45" x14ac:dyDescent="0.25">
      <c r="I50" s="74" t="s">
        <v>239</v>
      </c>
      <c r="J50" s="74"/>
      <c r="K50" s="74"/>
      <c r="L50" s="74"/>
      <c r="M50" s="74"/>
    </row>
    <row r="51" spans="1:45" x14ac:dyDescent="0.25">
      <c r="I51" s="74" t="s">
        <v>240</v>
      </c>
      <c r="J51" s="74"/>
      <c r="K51" s="74"/>
      <c r="L51" s="74"/>
      <c r="M51" s="74"/>
    </row>
    <row r="52" spans="1:45" x14ac:dyDescent="0.25">
      <c r="I52" s="74" t="s">
        <v>241</v>
      </c>
      <c r="J52" s="74"/>
      <c r="K52" s="74"/>
      <c r="L52" s="74"/>
      <c r="M52" s="74"/>
    </row>
    <row r="54" spans="1:45" x14ac:dyDescent="0.25">
      <c r="I54" s="30" t="s">
        <v>244</v>
      </c>
    </row>
    <row r="55" spans="1:45" x14ac:dyDescent="0.25">
      <c r="I55" t="s">
        <v>245</v>
      </c>
    </row>
    <row r="56" spans="1:45" x14ac:dyDescent="0.25">
      <c r="I56" t="s">
        <v>246</v>
      </c>
    </row>
    <row r="57" spans="1:45" x14ac:dyDescent="0.25">
      <c r="I57" s="74" t="s">
        <v>247</v>
      </c>
      <c r="J57" s="74"/>
      <c r="K57" s="74"/>
      <c r="L57" s="74"/>
      <c r="M57" s="74"/>
    </row>
  </sheetData>
  <mergeCells count="9">
    <mergeCell ref="AY3:BC3"/>
    <mergeCell ref="AG3:AK3"/>
    <mergeCell ref="AM3:AQ3"/>
    <mergeCell ref="AS3:AW3"/>
    <mergeCell ref="C3:G3"/>
    <mergeCell ref="I3:M3"/>
    <mergeCell ref="O3:S3"/>
    <mergeCell ref="U3:Y3"/>
    <mergeCell ref="AA3:AE3"/>
  </mergeCells>
  <pageMargins left="0.5" right="0.5" top="0.75" bottom="0.5" header="0.3" footer="0.3"/>
  <pageSetup paperSize="5" scale="48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Cash</vt:lpstr>
      <vt:lpstr>budget19</vt:lpstr>
      <vt:lpstr>PIV_2019</vt:lpstr>
      <vt:lpstr>data_2019</vt:lpstr>
      <vt:lpstr>Pivot(old)</vt:lpstr>
      <vt:lpstr>data</vt:lpstr>
      <vt:lpstr>Chase1115_Activity_20180807</vt:lpstr>
      <vt:lpstr>budget18</vt:lpstr>
      <vt:lpstr>Amount</vt:lpstr>
      <vt:lpstr>Class</vt:lpstr>
      <vt:lpstr>Period</vt:lpstr>
      <vt:lpstr>budget18!Print_Area</vt:lpstr>
      <vt:lpstr>budget19!Print_Area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Baumgarten, Allen</dc:creator>
  <cp:lastModifiedBy>Baumgarten, Allen</cp:lastModifiedBy>
  <cp:lastPrinted>2018-11-30T16:27:16Z</cp:lastPrinted>
  <dcterms:created xsi:type="dcterms:W3CDTF">2018-05-21T23:27:51Z</dcterms:created>
  <dcterms:modified xsi:type="dcterms:W3CDTF">2019-02-28T14:37:07Z</dcterms:modified>
</cp:coreProperties>
</file>