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umgaral\Data\"/>
    </mc:Choice>
  </mc:AlternateContent>
  <xr:revisionPtr revIDLastSave="0" documentId="13_ncr:1_{D0319094-07D3-434F-8DF3-845D0A0EDE76}" xr6:coauthVersionLast="45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Cash" sheetId="6" r:id="rId1"/>
    <sheet name="budget19" sheetId="5" r:id="rId2"/>
    <sheet name="PIV_2019" sheetId="8" r:id="rId3"/>
    <sheet name="Chase1115_Activity_20191127" sheetId="9" r:id="rId4"/>
    <sheet name="data_2019" sheetId="7" r:id="rId5"/>
    <sheet name="Pivot(old)" sheetId="3" r:id="rId6"/>
    <sheet name="data" sheetId="2" r:id="rId7"/>
    <sheet name="Chase1115_Activity_20180807" sheetId="4" r:id="rId8"/>
    <sheet name="budget18" sheetId="1" r:id="rId9"/>
  </sheets>
  <definedNames>
    <definedName name="_xlnm._FilterDatabase" localSheetId="7" hidden="1">Chase1115_Activity_20180807!$A$1:$H$155</definedName>
    <definedName name="_xlnm._FilterDatabase" localSheetId="3" hidden="1">Chase1115_Activity_20191127!$A$3:$E$1499</definedName>
    <definedName name="_xlnm._FilterDatabase" localSheetId="4" hidden="1">data_2019!$B$4:$K$1058</definedName>
    <definedName name="Amount">data!$F$5:$F$337</definedName>
    <definedName name="Class">data!$D$5:$D$337</definedName>
    <definedName name="Period">data!$B$5:$B$337</definedName>
    <definedName name="_xlnm.Print_Area" localSheetId="8">budget18!$A$1:$BC$46</definedName>
    <definedName name="_xlnm.Print_Area" localSheetId="1">budget19!$A$1:$CG$47</definedName>
  </definedNames>
  <calcPr calcId="191029"/>
  <pivotCaches>
    <pivotCache cacheId="1" r:id="rId10"/>
    <pivotCache cacheId="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4" i="9" l="1"/>
  <c r="G143" i="9"/>
  <c r="G142" i="9"/>
  <c r="AO10" i="5" l="1"/>
  <c r="E188" i="7"/>
  <c r="E189" i="7"/>
  <c r="AM25" i="5"/>
  <c r="AC18" i="5" l="1"/>
  <c r="E468" i="7"/>
  <c r="E496" i="7" l="1"/>
  <c r="E532" i="7" l="1"/>
  <c r="E533" i="7"/>
  <c r="E553" i="7"/>
  <c r="E552" i="7"/>
  <c r="E594" i="7" l="1"/>
  <c r="E605" i="7" l="1"/>
  <c r="E689" i="7" l="1"/>
  <c r="E688" i="7"/>
  <c r="E698" i="7" l="1"/>
  <c r="E713" i="7" l="1"/>
  <c r="K27" i="7" l="1"/>
  <c r="O25" i="5" l="1"/>
  <c r="E762" i="7" l="1"/>
  <c r="E769" i="7" l="1"/>
  <c r="AO31" i="5" l="1" a="1"/>
  <c r="AO31" i="5" s="1"/>
  <c r="AO32" i="5" a="1"/>
  <c r="AO32" i="5" s="1"/>
  <c r="AI27" i="5" a="1"/>
  <c r="AI27" i="5" s="1"/>
  <c r="E777" i="7"/>
  <c r="AI25" i="5" s="1" a="1"/>
  <c r="AI25" i="5" s="1"/>
  <c r="E776" i="7"/>
  <c r="AO20" i="5" s="1" a="1"/>
  <c r="AO20" i="5" s="1"/>
  <c r="AI37" i="5" l="1" a="1"/>
  <c r="AI37" i="5" s="1"/>
  <c r="AO25" i="5" a="1"/>
  <c r="AO25" i="5" s="1"/>
  <c r="AI34" i="5" a="1"/>
  <c r="AI34" i="5" s="1"/>
  <c r="AO35" i="5" a="1"/>
  <c r="AO35" i="5" s="1"/>
  <c r="AO22" i="5" a="1"/>
  <c r="AO22" i="5" s="1"/>
  <c r="AO34" i="5" a="1"/>
  <c r="AO34" i="5" s="1"/>
  <c r="AO24" i="5" a="1"/>
  <c r="AO24" i="5" s="1"/>
  <c r="AO38" i="5" a="1"/>
  <c r="AO38" i="5" s="1"/>
  <c r="AO29" i="5" a="1"/>
  <c r="AO29" i="5" s="1"/>
  <c r="AO23" i="5" a="1"/>
  <c r="AO23" i="5" s="1"/>
  <c r="AI30" i="5" a="1"/>
  <c r="AI30" i="5" s="1"/>
  <c r="AO28" i="5" a="1"/>
  <c r="AO28" i="5" s="1"/>
  <c r="AO27" i="5" a="1"/>
  <c r="AO27" i="5" s="1"/>
  <c r="AO21" i="5" a="1"/>
  <c r="AO21" i="5" s="1"/>
  <c r="AO37" i="5" a="1"/>
  <c r="AO37" i="5" s="1"/>
  <c r="AO30" i="5" a="1"/>
  <c r="AO30" i="5" s="1"/>
  <c r="AO39" i="5" a="1"/>
  <c r="AO39" i="5" s="1"/>
  <c r="AO40" i="5" a="1"/>
  <c r="AO40" i="5" s="1"/>
  <c r="AO33" i="5" a="1"/>
  <c r="AO33" i="5" s="1"/>
  <c r="AO36" i="5" a="1"/>
  <c r="AO36" i="5" s="1"/>
  <c r="AO26" i="5" a="1"/>
  <c r="AO26" i="5" s="1"/>
  <c r="AO19" i="5" a="1"/>
  <c r="AO19" i="5" s="1"/>
  <c r="AI22" i="5" a="1"/>
  <c r="AI22" i="5" s="1"/>
  <c r="AI21" i="5" a="1"/>
  <c r="AI21" i="5" s="1"/>
  <c r="AI38" i="5" a="1"/>
  <c r="AI38" i="5" s="1"/>
  <c r="AI33" i="5" a="1"/>
  <c r="AI33" i="5" s="1"/>
  <c r="AI23" i="5" a="1"/>
  <c r="AI23" i="5" s="1"/>
  <c r="AI32" i="5" a="1"/>
  <c r="AI32" i="5" s="1"/>
  <c r="AI40" i="5" a="1"/>
  <c r="AI40" i="5" s="1"/>
  <c r="AI24" i="5" a="1"/>
  <c r="AI24" i="5" s="1"/>
  <c r="AI36" i="5" a="1"/>
  <c r="AI36" i="5" s="1"/>
  <c r="AI26" i="5" a="1"/>
  <c r="AI26" i="5" s="1"/>
  <c r="AI19" i="5" a="1"/>
  <c r="AI19" i="5" s="1"/>
  <c r="AI20" i="5" a="1"/>
  <c r="AI20" i="5" s="1"/>
  <c r="AI31" i="5" a="1"/>
  <c r="AI31" i="5" s="1"/>
  <c r="AI29" i="5" a="1"/>
  <c r="AI29" i="5" s="1"/>
  <c r="AI35" i="5" a="1"/>
  <c r="AI35" i="5" s="1"/>
  <c r="AI39" i="5" a="1"/>
  <c r="AI39" i="5" s="1"/>
  <c r="AI28" i="5" a="1"/>
  <c r="AI28" i="5" s="1"/>
  <c r="AC39" i="5" a="1"/>
  <c r="AC39" i="5" s="1"/>
  <c r="AC17" i="5" a="1"/>
  <c r="AC17" i="5" s="1"/>
  <c r="W33" i="5" a="1"/>
  <c r="W33" i="5" s="1"/>
  <c r="AC23" i="5" a="1"/>
  <c r="AC23" i="5" s="1"/>
  <c r="AC25" i="5" a="1"/>
  <c r="AC25" i="5" s="1"/>
  <c r="AC15" i="5" a="1"/>
  <c r="AC15" i="5" s="1"/>
  <c r="AC24" i="5" a="1"/>
  <c r="AC24" i="5" s="1"/>
  <c r="AC37" i="5" a="1"/>
  <c r="AC37" i="5" s="1"/>
  <c r="AC33" i="5" a="1"/>
  <c r="AC33" i="5" s="1"/>
  <c r="AC40" i="5" a="1"/>
  <c r="AC40" i="5" s="1"/>
  <c r="AC21" i="5" a="1"/>
  <c r="AC21" i="5" s="1"/>
  <c r="W29" i="5" a="1"/>
  <c r="W29" i="5" s="1"/>
  <c r="AC27" i="5" a="1"/>
  <c r="AC27" i="5" s="1"/>
  <c r="AC36" i="5" a="1"/>
  <c r="AC36" i="5" s="1"/>
  <c r="AC29" i="5" a="1"/>
  <c r="AC29" i="5" s="1"/>
  <c r="AC35" i="5" a="1"/>
  <c r="AC35" i="5" s="1"/>
  <c r="AC26" i="5" a="1"/>
  <c r="AC26" i="5" s="1"/>
  <c r="AC31" i="5" a="1"/>
  <c r="AC31" i="5" s="1"/>
  <c r="AC38" i="5" a="1"/>
  <c r="AC38" i="5" s="1"/>
  <c r="AC14" i="5" a="1"/>
  <c r="AC14" i="5" s="1"/>
  <c r="AC19" i="5" a="1"/>
  <c r="AC19" i="5" s="1"/>
  <c r="AC20" i="5" a="1"/>
  <c r="AC20" i="5" s="1"/>
  <c r="AC28" i="5" a="1"/>
  <c r="AC28" i="5" s="1"/>
  <c r="AC22" i="5" a="1"/>
  <c r="AC22" i="5" s="1"/>
  <c r="AC32" i="5" a="1"/>
  <c r="AC32" i="5" s="1"/>
  <c r="AC34" i="5" a="1"/>
  <c r="AC34" i="5" s="1"/>
  <c r="AC30" i="5" a="1"/>
  <c r="AC30" i="5" s="1"/>
  <c r="W14" i="5" a="1"/>
  <c r="W14" i="5" s="1"/>
  <c r="W36" i="5" a="1"/>
  <c r="W36" i="5" s="1"/>
  <c r="W32" i="5" a="1"/>
  <c r="W32" i="5" s="1"/>
  <c r="W24" i="5" a="1"/>
  <c r="W24" i="5" s="1"/>
  <c r="W27" i="5" a="1"/>
  <c r="W27" i="5" s="1"/>
  <c r="W15" i="5" a="1"/>
  <c r="W15" i="5" s="1"/>
  <c r="Q31" i="5" a="1"/>
  <c r="Q31" i="5" s="1"/>
  <c r="W39" i="5" a="1"/>
  <c r="W39" i="5" s="1"/>
  <c r="W25" i="5" a="1"/>
  <c r="W25" i="5" s="1"/>
  <c r="W23" i="5" a="1"/>
  <c r="W23" i="5" s="1"/>
  <c r="W34" i="5" a="1"/>
  <c r="W34" i="5" s="1"/>
  <c r="W31" i="5" a="1"/>
  <c r="W31" i="5" s="1"/>
  <c r="W37" i="5" a="1"/>
  <c r="W37" i="5" s="1"/>
  <c r="W20" i="5" a="1"/>
  <c r="W20" i="5" s="1"/>
  <c r="W35" i="5" a="1"/>
  <c r="W35" i="5" s="1"/>
  <c r="W40" i="5" a="1"/>
  <c r="W40" i="5" s="1"/>
  <c r="W19" i="5" a="1"/>
  <c r="W19" i="5" s="1"/>
  <c r="W28" i="5" a="1"/>
  <c r="W28" i="5" s="1"/>
  <c r="W38" i="5" a="1"/>
  <c r="W38" i="5" s="1"/>
  <c r="W30" i="5" a="1"/>
  <c r="W30" i="5" s="1"/>
  <c r="W21" i="5" a="1"/>
  <c r="W21" i="5" s="1"/>
  <c r="W26" i="5" a="1"/>
  <c r="W26" i="5" s="1"/>
  <c r="W22" i="5" a="1"/>
  <c r="W22" i="5" s="1"/>
  <c r="Q40" i="5" a="1"/>
  <c r="Q40" i="5" s="1"/>
  <c r="Q39" i="5" a="1"/>
  <c r="Q39" i="5" s="1"/>
  <c r="Q38" i="5" a="1"/>
  <c r="Q38" i="5" s="1"/>
  <c r="Q37" i="5" a="1"/>
  <c r="Q37" i="5" s="1"/>
  <c r="Q36" i="5" a="1"/>
  <c r="Q36" i="5" s="1"/>
  <c r="Q35" i="5" a="1"/>
  <c r="Q35" i="5" s="1"/>
  <c r="Q34" i="5" a="1"/>
  <c r="Q34" i="5" s="1"/>
  <c r="Q33" i="5" a="1"/>
  <c r="Q33" i="5" s="1"/>
  <c r="Q32" i="5" a="1"/>
  <c r="Q32" i="5" s="1"/>
  <c r="Q30" i="5" a="1"/>
  <c r="Q30" i="5" s="1"/>
  <c r="Q29" i="5" a="1"/>
  <c r="Q29" i="5" s="1"/>
  <c r="Q28" i="5" a="1"/>
  <c r="Q28" i="5" s="1"/>
  <c r="Q27" i="5" a="1"/>
  <c r="Q27" i="5" s="1"/>
  <c r="Q26" i="5" a="1"/>
  <c r="Q26" i="5" s="1"/>
  <c r="Q25" i="5" a="1"/>
  <c r="Q25" i="5" s="1"/>
  <c r="Q24" i="5" a="1"/>
  <c r="Q24" i="5" s="1"/>
  <c r="Q23" i="5" a="1"/>
  <c r="Q23" i="5" s="1"/>
  <c r="Q22" i="5" a="1"/>
  <c r="Q22" i="5" s="1"/>
  <c r="Q21" i="5" a="1"/>
  <c r="Q21" i="5" s="1"/>
  <c r="Q20" i="5" a="1"/>
  <c r="Q20" i="5" s="1"/>
  <c r="Q15" i="5" a="1"/>
  <c r="Q15" i="5" s="1"/>
  <c r="Q14" i="5" a="1"/>
  <c r="Q14" i="5" s="1"/>
  <c r="Q19" i="5" a="1"/>
  <c r="Q19" i="5" s="1"/>
  <c r="I25" i="5" l="1"/>
  <c r="BU27" i="5" l="1"/>
  <c r="BO27" i="5"/>
  <c r="BI27" i="5"/>
  <c r="BC27" i="5"/>
  <c r="AW27" i="5"/>
  <c r="AQ27" i="5"/>
  <c r="AK27" i="5"/>
  <c r="AE27" i="5"/>
  <c r="Y27" i="5"/>
  <c r="S27" i="5"/>
  <c r="K27" i="5" a="1"/>
  <c r="K27" i="5" s="1"/>
  <c r="M27" i="5" s="1"/>
  <c r="CC27" i="5"/>
  <c r="BW26" i="5"/>
  <c r="BU26" i="5"/>
  <c r="BO26" i="5"/>
  <c r="BI26" i="5"/>
  <c r="BC26" i="5"/>
  <c r="AW26" i="5"/>
  <c r="AQ26" i="5"/>
  <c r="AK26" i="5"/>
  <c r="AE26" i="5"/>
  <c r="Y26" i="5"/>
  <c r="S26" i="5"/>
  <c r="K26" i="5" a="1"/>
  <c r="K26" i="5" s="1"/>
  <c r="M26" i="5" s="1"/>
  <c r="CC26" i="5"/>
  <c r="BW27" i="5" l="1"/>
  <c r="K32" i="5" l="1" a="1"/>
  <c r="K32" i="5" s="1"/>
  <c r="H864" i="7" l="1"/>
  <c r="K40" i="5" a="1"/>
  <c r="K40" i="5" s="1"/>
  <c r="K39" i="5" a="1"/>
  <c r="K39" i="5" s="1"/>
  <c r="K38" i="5" a="1"/>
  <c r="K38" i="5" s="1"/>
  <c r="K37" i="5" a="1"/>
  <c r="K37" i="5" s="1"/>
  <c r="K36" i="5" a="1"/>
  <c r="K36" i="5" s="1"/>
  <c r="K35" i="5" a="1"/>
  <c r="K35" i="5" s="1"/>
  <c r="K34" i="5" a="1"/>
  <c r="K34" i="5" s="1"/>
  <c r="K33" i="5" a="1"/>
  <c r="K33" i="5" s="1"/>
  <c r="K31" i="5" a="1"/>
  <c r="K31" i="5" s="1"/>
  <c r="K30" i="5" a="1"/>
  <c r="K30" i="5" s="1"/>
  <c r="K29" i="5" a="1"/>
  <c r="K29" i="5" s="1"/>
  <c r="K28" i="5" a="1"/>
  <c r="K28" i="5" s="1"/>
  <c r="K25" i="5" a="1"/>
  <c r="K25" i="5" s="1"/>
  <c r="K24" i="5" a="1"/>
  <c r="K24" i="5" s="1"/>
  <c r="K23" i="5" a="1"/>
  <c r="K23" i="5" s="1"/>
  <c r="K22" i="5" a="1"/>
  <c r="K22" i="5" s="1"/>
  <c r="K21" i="5" a="1"/>
  <c r="K21" i="5" s="1"/>
  <c r="K20" i="5" a="1"/>
  <c r="K20" i="5" s="1"/>
  <c r="K19" i="5" a="1"/>
  <c r="K19" i="5" s="1"/>
  <c r="E983" i="7" l="1"/>
  <c r="E972" i="7"/>
  <c r="CC37" i="5"/>
  <c r="BW37" i="5"/>
  <c r="BU37" i="5"/>
  <c r="BO37" i="5"/>
  <c r="BI37" i="5"/>
  <c r="BC37" i="5"/>
  <c r="AW37" i="5"/>
  <c r="AQ37" i="5"/>
  <c r="AK37" i="5"/>
  <c r="AE37" i="5"/>
  <c r="Y37" i="5"/>
  <c r="S37" i="5"/>
  <c r="M37" i="5"/>
  <c r="AA8" i="5"/>
  <c r="U8" i="5"/>
  <c r="O8" i="5"/>
  <c r="I8" i="5"/>
  <c r="C8" i="5"/>
  <c r="G67" i="5" l="1"/>
  <c r="K28" i="7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C46" i="5" l="1"/>
  <c r="C67" i="5" s="1"/>
  <c r="E1025" i="7" l="1"/>
  <c r="E2" i="7" s="1"/>
  <c r="E27" i="5" l="1" a="1"/>
  <c r="E27" i="5" s="1"/>
  <c r="E26" i="5" a="1"/>
  <c r="E26" i="5" s="1"/>
  <c r="E40" i="5" a="1"/>
  <c r="E40" i="5" s="1"/>
  <c r="E36" i="5" a="1"/>
  <c r="E36" i="5" s="1"/>
  <c r="E32" i="5" a="1"/>
  <c r="E32" i="5" s="1"/>
  <c r="E39" i="5" a="1"/>
  <c r="E39" i="5" s="1"/>
  <c r="E20" i="5" a="1"/>
  <c r="E20" i="5" s="1"/>
  <c r="E23" i="5" a="1"/>
  <c r="E23" i="5" s="1"/>
  <c r="E31" i="5" a="1"/>
  <c r="E31" i="5" s="1"/>
  <c r="E35" i="5" a="1"/>
  <c r="E35" i="5" s="1"/>
  <c r="E22" i="5" a="1"/>
  <c r="E22" i="5" s="1"/>
  <c r="E38" i="5" a="1"/>
  <c r="E38" i="5" s="1"/>
  <c r="E25" i="5" a="1"/>
  <c r="E25" i="5" s="1"/>
  <c r="E33" i="5" a="1"/>
  <c r="E33" i="5" s="1"/>
  <c r="E30" i="5" a="1"/>
  <c r="E30" i="5" s="1"/>
  <c r="E21" i="5" a="1"/>
  <c r="E21" i="5" s="1"/>
  <c r="E37" i="5" a="1"/>
  <c r="E37" i="5" s="1"/>
  <c r="CE37" i="5" s="1"/>
  <c r="CG37" i="5" s="1"/>
  <c r="E34" i="5" a="1"/>
  <c r="E34" i="5" s="1"/>
  <c r="E19" i="5" a="1"/>
  <c r="E19" i="5" s="1"/>
  <c r="E29" i="5" a="1"/>
  <c r="E29" i="5" s="1"/>
  <c r="E24" i="5" a="1"/>
  <c r="E24" i="5" s="1"/>
  <c r="E28" i="5" a="1"/>
  <c r="E28" i="5" s="1"/>
  <c r="C96" i="6"/>
  <c r="C95" i="6"/>
  <c r="G26" i="5" l="1"/>
  <c r="CE26" i="5"/>
  <c r="CG26" i="5" s="1"/>
  <c r="BY26" i="5"/>
  <c r="CA26" i="5" s="1"/>
  <c r="G27" i="5"/>
  <c r="BY27" i="5"/>
  <c r="CA27" i="5" s="1"/>
  <c r="CE27" i="5"/>
  <c r="CG27" i="5" s="1"/>
  <c r="BY37" i="5"/>
  <c r="CA37" i="5" s="1"/>
  <c r="G37" i="5"/>
  <c r="E10" i="5" l="1"/>
  <c r="U25" i="5" l="1"/>
  <c r="C90" i="6"/>
  <c r="C92" i="6"/>
  <c r="C91" i="6"/>
  <c r="C86" i="6" l="1"/>
  <c r="C89" i="6"/>
  <c r="C97" i="6"/>
  <c r="C94" i="6"/>
  <c r="C93" i="6"/>
  <c r="C88" i="6"/>
  <c r="BW3" i="5" l="1"/>
  <c r="BY40" i="5"/>
  <c r="BY39" i="5"/>
  <c r="BY38" i="5"/>
  <c r="BY36" i="5"/>
  <c r="BY35" i="5"/>
  <c r="BY34" i="5"/>
  <c r="BY33" i="5"/>
  <c r="BY32" i="5"/>
  <c r="BY31" i="5"/>
  <c r="BY30" i="5"/>
  <c r="BY29" i="5"/>
  <c r="BY28" i="5"/>
  <c r="BY25" i="5"/>
  <c r="BY24" i="5"/>
  <c r="BY23" i="5"/>
  <c r="BY22" i="5"/>
  <c r="BY21" i="5"/>
  <c r="BY20" i="5"/>
  <c r="BY19" i="5"/>
  <c r="BY18" i="5"/>
  <c r="BY17" i="5"/>
  <c r="BY16" i="5"/>
  <c r="CA16" i="5" s="1"/>
  <c r="BY15" i="5"/>
  <c r="BY14" i="5"/>
  <c r="BY10" i="5"/>
  <c r="BY9" i="5"/>
  <c r="BW40" i="5"/>
  <c r="BW39" i="5"/>
  <c r="BW38" i="5"/>
  <c r="BW36" i="5"/>
  <c r="BW35" i="5"/>
  <c r="BW34" i="5"/>
  <c r="BW33" i="5"/>
  <c r="BW32" i="5"/>
  <c r="BW31" i="5"/>
  <c r="BW30" i="5"/>
  <c r="BW29" i="5"/>
  <c r="BW28" i="5"/>
  <c r="BW25" i="5"/>
  <c r="BW24" i="5"/>
  <c r="BW23" i="5"/>
  <c r="BW22" i="5"/>
  <c r="BW21" i="5"/>
  <c r="BW20" i="5"/>
  <c r="BW19" i="5"/>
  <c r="BW18" i="5"/>
  <c r="BW17" i="5"/>
  <c r="BW16" i="5"/>
  <c r="BW15" i="5"/>
  <c r="BW14" i="5"/>
  <c r="BW10" i="5"/>
  <c r="BW9" i="5"/>
  <c r="BW8" i="5"/>
  <c r="D86" i="6"/>
  <c r="CA39" i="5" l="1"/>
  <c r="CA18" i="5"/>
  <c r="CA28" i="5"/>
  <c r="CA38" i="5"/>
  <c r="CA36" i="5"/>
  <c r="CA29" i="5"/>
  <c r="CA24" i="5"/>
  <c r="CA34" i="5"/>
  <c r="CA10" i="5"/>
  <c r="CA30" i="5"/>
  <c r="CA20" i="5"/>
  <c r="CA40" i="5"/>
  <c r="CA35" i="5"/>
  <c r="CA33" i="5"/>
  <c r="CA32" i="5"/>
  <c r="CA31" i="5"/>
  <c r="CA25" i="5"/>
  <c r="CA23" i="5"/>
  <c r="CA22" i="5"/>
  <c r="CA21" i="5"/>
  <c r="CA19" i="5"/>
  <c r="CA17" i="5"/>
  <c r="CA15" i="5"/>
  <c r="BW41" i="5"/>
  <c r="CA14" i="5"/>
  <c r="CA9" i="5"/>
  <c r="BW11" i="5"/>
  <c r="BY41" i="5"/>
  <c r="D84" i="6"/>
  <c r="CA41" i="5" l="1"/>
  <c r="BW43" i="5"/>
  <c r="D80" i="6"/>
  <c r="J98" i="6"/>
  <c r="D82" i="6"/>
  <c r="D75" i="6" l="1"/>
  <c r="D73" i="6" l="1"/>
  <c r="D65" i="6" l="1"/>
  <c r="AE36" i="5" l="1"/>
  <c r="AE35" i="5"/>
  <c r="AE34" i="5"/>
  <c r="AE33" i="5"/>
  <c r="AE32" i="5"/>
  <c r="AE31" i="5"/>
  <c r="U58" i="6" l="1"/>
  <c r="BM8" i="5" l="1"/>
  <c r="BK8" i="5"/>
  <c r="M33" i="2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24" i="2" l="1"/>
  <c r="M25" i="2" s="1"/>
  <c r="M26" i="2" s="1"/>
  <c r="M27" i="2" s="1"/>
  <c r="M28" i="2" s="1"/>
  <c r="M29" i="2" s="1"/>
  <c r="M30" i="2" s="1"/>
  <c r="M31" i="2" s="1"/>
  <c r="M32" i="2" s="1"/>
  <c r="AC8" i="5" l="1"/>
  <c r="W8" i="5"/>
  <c r="Q8" i="5"/>
  <c r="K8" i="5"/>
  <c r="E8" i="5"/>
  <c r="AA11" i="5"/>
  <c r="CE40" i="5"/>
  <c r="CE39" i="5"/>
  <c r="CE38" i="5"/>
  <c r="CE36" i="5"/>
  <c r="CE35" i="5"/>
  <c r="CE34" i="5"/>
  <c r="CE33" i="5"/>
  <c r="CE32" i="5"/>
  <c r="CE31" i="5"/>
  <c r="CE30" i="5"/>
  <c r="CE29" i="5"/>
  <c r="CE28" i="5"/>
  <c r="CE25" i="5"/>
  <c r="CE24" i="5"/>
  <c r="CE23" i="5"/>
  <c r="CE22" i="5"/>
  <c r="CE21" i="5"/>
  <c r="CE20" i="5"/>
  <c r="CE19" i="5"/>
  <c r="CE18" i="5"/>
  <c r="CE17" i="5"/>
  <c r="CE16" i="5"/>
  <c r="CE15" i="5"/>
  <c r="CE14" i="5"/>
  <c r="CE9" i="5"/>
  <c r="CC40" i="5"/>
  <c r="CC39" i="5"/>
  <c r="CC38" i="5"/>
  <c r="CC36" i="5"/>
  <c r="CC35" i="5"/>
  <c r="CC34" i="5"/>
  <c r="CC33" i="5"/>
  <c r="CC32" i="5"/>
  <c r="CC31" i="5"/>
  <c r="CC30" i="5"/>
  <c r="CC29" i="5"/>
  <c r="CC28" i="5"/>
  <c r="CC25" i="5"/>
  <c r="CC24" i="5"/>
  <c r="CC23" i="5"/>
  <c r="CC22" i="5"/>
  <c r="CC19" i="5"/>
  <c r="CC18" i="5"/>
  <c r="CC17" i="5"/>
  <c r="CC16" i="5"/>
  <c r="CC15" i="5"/>
  <c r="CC14" i="5"/>
  <c r="CC10" i="5"/>
  <c r="CC9" i="5"/>
  <c r="N58" i="6"/>
  <c r="W58" i="6" s="1"/>
  <c r="E46" i="5" s="1"/>
  <c r="G46" i="5" s="1"/>
  <c r="D35" i="6"/>
  <c r="D34" i="6"/>
  <c r="D24" i="6"/>
  <c r="D4" i="6"/>
  <c r="C52" i="5"/>
  <c r="BQ52" i="5"/>
  <c r="BK52" i="5"/>
  <c r="BE52" i="5"/>
  <c r="AY52" i="5"/>
  <c r="AS52" i="5"/>
  <c r="AM52" i="5"/>
  <c r="AG52" i="5"/>
  <c r="AA52" i="5"/>
  <c r="U52" i="5"/>
  <c r="O52" i="5"/>
  <c r="I52" i="5"/>
  <c r="AE10" i="5"/>
  <c r="Y10" i="5"/>
  <c r="S10" i="5"/>
  <c r="C21" i="5"/>
  <c r="CC21" i="5" s="1"/>
  <c r="C20" i="5"/>
  <c r="CC20" i="5" s="1"/>
  <c r="CE10" i="5"/>
  <c r="BS8" i="5"/>
  <c r="BQ8" i="5"/>
  <c r="BO8" i="5"/>
  <c r="BG8" i="5"/>
  <c r="BE8" i="5"/>
  <c r="BE11" i="5" s="1"/>
  <c r="BA8" i="5"/>
  <c r="AY8" i="5"/>
  <c r="AU8" i="5"/>
  <c r="AS8" i="5"/>
  <c r="AS11" i="5" s="1"/>
  <c r="AO8" i="5"/>
  <c r="AO11" i="5" s="1"/>
  <c r="AM8" i="5"/>
  <c r="AI8" i="5"/>
  <c r="AG8" i="5"/>
  <c r="AK8" i="5" s="1"/>
  <c r="K11" i="5"/>
  <c r="I11" i="5"/>
  <c r="C11" i="5"/>
  <c r="I8" i="1"/>
  <c r="W41" i="5"/>
  <c r="U41" i="5"/>
  <c r="I41" i="5"/>
  <c r="Y40" i="5"/>
  <c r="S40" i="5"/>
  <c r="M40" i="5"/>
  <c r="G40" i="5"/>
  <c r="Y39" i="5"/>
  <c r="S39" i="5"/>
  <c r="M39" i="5"/>
  <c r="G39" i="5"/>
  <c r="Y38" i="5"/>
  <c r="S38" i="5"/>
  <c r="M38" i="5"/>
  <c r="G38" i="5"/>
  <c r="Y36" i="5"/>
  <c r="S36" i="5"/>
  <c r="M36" i="5"/>
  <c r="G36" i="5"/>
  <c r="Y35" i="5"/>
  <c r="S35" i="5"/>
  <c r="M35" i="5"/>
  <c r="G35" i="5"/>
  <c r="Y34" i="5"/>
  <c r="S34" i="5"/>
  <c r="M34" i="5"/>
  <c r="G34" i="5"/>
  <c r="Y33" i="5"/>
  <c r="S33" i="5"/>
  <c r="M33" i="5"/>
  <c r="G33" i="5"/>
  <c r="Y32" i="5"/>
  <c r="S32" i="5"/>
  <c r="M32" i="5"/>
  <c r="G32" i="5"/>
  <c r="Y31" i="5"/>
  <c r="S31" i="5"/>
  <c r="M31" i="5"/>
  <c r="E41" i="5"/>
  <c r="Y30" i="5"/>
  <c r="S30" i="5"/>
  <c r="M30" i="5"/>
  <c r="G30" i="5"/>
  <c r="Y29" i="5"/>
  <c r="S29" i="5"/>
  <c r="M29" i="5"/>
  <c r="G29" i="5"/>
  <c r="Y28" i="5"/>
  <c r="S28" i="5"/>
  <c r="M28" i="5"/>
  <c r="G28" i="5"/>
  <c r="Y25" i="5"/>
  <c r="S25" i="5"/>
  <c r="O41" i="5"/>
  <c r="M25" i="5"/>
  <c r="G25" i="5"/>
  <c r="Y24" i="5"/>
  <c r="S24" i="5"/>
  <c r="M24" i="5"/>
  <c r="G24" i="5"/>
  <c r="Y23" i="5"/>
  <c r="S23" i="5"/>
  <c r="M23" i="5"/>
  <c r="G23" i="5"/>
  <c r="Y22" i="5"/>
  <c r="S22" i="5"/>
  <c r="M22" i="5"/>
  <c r="G22" i="5"/>
  <c r="Y21" i="5"/>
  <c r="S21" i="5"/>
  <c r="M21" i="5"/>
  <c r="Y20" i="5"/>
  <c r="S20" i="5"/>
  <c r="M20" i="5"/>
  <c r="Y19" i="5"/>
  <c r="S19" i="5"/>
  <c r="M19" i="5"/>
  <c r="G19" i="5"/>
  <c r="Y18" i="5"/>
  <c r="M18" i="5"/>
  <c r="G18" i="5"/>
  <c r="Y17" i="5"/>
  <c r="S17" i="5"/>
  <c r="M17" i="5"/>
  <c r="G17" i="5"/>
  <c r="Y16" i="5"/>
  <c r="S16" i="5"/>
  <c r="M16" i="5"/>
  <c r="G16" i="5"/>
  <c r="Y15" i="5"/>
  <c r="S15" i="5"/>
  <c r="M15" i="5"/>
  <c r="G15" i="5"/>
  <c r="Y14" i="5"/>
  <c r="S14" i="5"/>
  <c r="G14" i="5"/>
  <c r="G10" i="5"/>
  <c r="Y9" i="5"/>
  <c r="S9" i="5"/>
  <c r="M9" i="5"/>
  <c r="G9" i="5"/>
  <c r="BS41" i="5"/>
  <c r="BQ41" i="5"/>
  <c r="BM41" i="5"/>
  <c r="BK41" i="5"/>
  <c r="BG41" i="5"/>
  <c r="BE41" i="5"/>
  <c r="BA41" i="5"/>
  <c r="AS41" i="5"/>
  <c r="AG41" i="5"/>
  <c r="AA41" i="5"/>
  <c r="BU40" i="5"/>
  <c r="BO40" i="5"/>
  <c r="BI40" i="5"/>
  <c r="BC40" i="5"/>
  <c r="AU41" i="5"/>
  <c r="AQ40" i="5"/>
  <c r="AE40" i="5"/>
  <c r="BU39" i="5"/>
  <c r="BO39" i="5"/>
  <c r="BI39" i="5"/>
  <c r="BC39" i="5"/>
  <c r="AW39" i="5"/>
  <c r="AQ39" i="5"/>
  <c r="AE39" i="5"/>
  <c r="BU38" i="5"/>
  <c r="BO38" i="5"/>
  <c r="BI38" i="5"/>
  <c r="BC38" i="5"/>
  <c r="AW38" i="5"/>
  <c r="AQ38" i="5"/>
  <c r="AE38" i="5"/>
  <c r="BU36" i="5"/>
  <c r="BO36" i="5"/>
  <c r="BI36" i="5"/>
  <c r="BC36" i="5"/>
  <c r="AW36" i="5"/>
  <c r="AQ36" i="5"/>
  <c r="BU35" i="5"/>
  <c r="BO35" i="5"/>
  <c r="BI35" i="5"/>
  <c r="AW35" i="5"/>
  <c r="AQ35" i="5"/>
  <c r="BU34" i="5"/>
  <c r="BO34" i="5"/>
  <c r="BI34" i="5"/>
  <c r="BC34" i="5"/>
  <c r="AW34" i="5"/>
  <c r="AQ34" i="5"/>
  <c r="BU33" i="5"/>
  <c r="BO33" i="5"/>
  <c r="BI33" i="5"/>
  <c r="BC33" i="5"/>
  <c r="AW33" i="5"/>
  <c r="AQ33" i="5"/>
  <c r="BU32" i="5"/>
  <c r="BO32" i="5"/>
  <c r="BI32" i="5"/>
  <c r="BC32" i="5"/>
  <c r="AW32" i="5"/>
  <c r="AQ32" i="5"/>
  <c r="BU31" i="5"/>
  <c r="BO31" i="5"/>
  <c r="BI31" i="5"/>
  <c r="BC31" i="5"/>
  <c r="AW31" i="5"/>
  <c r="AQ31" i="5"/>
  <c r="AK31" i="5"/>
  <c r="AC41" i="5"/>
  <c r="BU30" i="5"/>
  <c r="BO30" i="5"/>
  <c r="BI30" i="5"/>
  <c r="BC30" i="5"/>
  <c r="AW30" i="5"/>
  <c r="AQ30" i="5"/>
  <c r="AE30" i="5"/>
  <c r="BU29" i="5"/>
  <c r="BO29" i="5"/>
  <c r="BI29" i="5"/>
  <c r="BC29" i="5"/>
  <c r="AW29" i="5"/>
  <c r="AQ29" i="5"/>
  <c r="AE29" i="5"/>
  <c r="BU28" i="5"/>
  <c r="BO28" i="5"/>
  <c r="BI28" i="5"/>
  <c r="BC28" i="5"/>
  <c r="AW28" i="5"/>
  <c r="AQ28" i="5"/>
  <c r="AE28" i="5"/>
  <c r="BU25" i="5"/>
  <c r="BO25" i="5"/>
  <c r="BI25" i="5"/>
  <c r="BC25" i="5"/>
  <c r="AW25" i="5"/>
  <c r="AQ25" i="5"/>
  <c r="AE25" i="5"/>
  <c r="BU24" i="5"/>
  <c r="BO24" i="5"/>
  <c r="BI24" i="5"/>
  <c r="BC24" i="5"/>
  <c r="AW24" i="5"/>
  <c r="AQ24" i="5"/>
  <c r="AE24" i="5"/>
  <c r="BU23" i="5"/>
  <c r="BO23" i="5"/>
  <c r="BI23" i="5"/>
  <c r="BC23" i="5"/>
  <c r="AW23" i="5"/>
  <c r="AQ23" i="5"/>
  <c r="AE23" i="5"/>
  <c r="BU22" i="5"/>
  <c r="BO22" i="5"/>
  <c r="BI22" i="5"/>
  <c r="BC22" i="5"/>
  <c r="AW22" i="5"/>
  <c r="AQ22" i="5"/>
  <c r="AE22" i="5"/>
  <c r="BU21" i="5"/>
  <c r="BO21" i="5"/>
  <c r="BI21" i="5"/>
  <c r="BC21" i="5"/>
  <c r="AW21" i="5"/>
  <c r="AQ21" i="5"/>
  <c r="AE21" i="5"/>
  <c r="BU20" i="5"/>
  <c r="BO20" i="5"/>
  <c r="BI20" i="5"/>
  <c r="BC20" i="5"/>
  <c r="AW20" i="5"/>
  <c r="AQ20" i="5"/>
  <c r="AE20" i="5"/>
  <c r="BU19" i="5"/>
  <c r="BO19" i="5"/>
  <c r="BI19" i="5"/>
  <c r="BC19" i="5"/>
  <c r="AW19" i="5"/>
  <c r="AQ19" i="5"/>
  <c r="AE19" i="5"/>
  <c r="BU18" i="5"/>
  <c r="BO18" i="5"/>
  <c r="BI18" i="5"/>
  <c r="BC18" i="5"/>
  <c r="AW18" i="5"/>
  <c r="AE18" i="5"/>
  <c r="BU17" i="5"/>
  <c r="BO17" i="5"/>
  <c r="BI17" i="5"/>
  <c r="BC17" i="5"/>
  <c r="AW17" i="5"/>
  <c r="AQ17" i="5"/>
  <c r="AE17" i="5"/>
  <c r="BU16" i="5"/>
  <c r="BO16" i="5"/>
  <c r="BI16" i="5"/>
  <c r="BC16" i="5"/>
  <c r="AW16" i="5"/>
  <c r="AQ16" i="5"/>
  <c r="AE16" i="5"/>
  <c r="BU15" i="5"/>
  <c r="BO15" i="5"/>
  <c r="BI15" i="5"/>
  <c r="BC15" i="5"/>
  <c r="AW15" i="5"/>
  <c r="AQ15" i="5"/>
  <c r="AE15" i="5"/>
  <c r="BU14" i="5"/>
  <c r="BO14" i="5"/>
  <c r="BI14" i="5"/>
  <c r="BC14" i="5"/>
  <c r="AW14" i="5"/>
  <c r="AQ14" i="5"/>
  <c r="AE14" i="5"/>
  <c r="BG11" i="5"/>
  <c r="BI10" i="5"/>
  <c r="AW10" i="5"/>
  <c r="AQ10" i="5"/>
  <c r="BU9" i="5"/>
  <c r="BO9" i="5"/>
  <c r="BI9" i="5"/>
  <c r="BC9" i="5"/>
  <c r="AW9" i="5"/>
  <c r="AQ9" i="5"/>
  <c r="AK9" i="5"/>
  <c r="AE9" i="5"/>
  <c r="AY11" i="5"/>
  <c r="AW8" i="5"/>
  <c r="BY8" i="5" l="1"/>
  <c r="BY11" i="5" s="1"/>
  <c r="BY43" i="5" s="1"/>
  <c r="C84" i="6"/>
  <c r="C85" i="6"/>
  <c r="C82" i="6"/>
  <c r="C83" i="6"/>
  <c r="C81" i="6"/>
  <c r="C75" i="6"/>
  <c r="C80" i="6"/>
  <c r="C71" i="6"/>
  <c r="C79" i="6"/>
  <c r="C77" i="6"/>
  <c r="C73" i="6"/>
  <c r="C76" i="6"/>
  <c r="C74" i="6"/>
  <c r="C72" i="6"/>
  <c r="C70" i="6"/>
  <c r="C69" i="6"/>
  <c r="C68" i="6"/>
  <c r="C64" i="6"/>
  <c r="C63" i="6"/>
  <c r="C62" i="6"/>
  <c r="C61" i="6"/>
  <c r="C60" i="6"/>
  <c r="C59" i="6"/>
  <c r="C51" i="6"/>
  <c r="C13" i="6"/>
  <c r="C37" i="6"/>
  <c r="C14" i="6"/>
  <c r="C16" i="6"/>
  <c r="C5" i="6"/>
  <c r="C17" i="6"/>
  <c r="C6" i="6"/>
  <c r="C18" i="6"/>
  <c r="C31" i="6"/>
  <c r="C8" i="6"/>
  <c r="C21" i="6"/>
  <c r="C45" i="6"/>
  <c r="C9" i="6"/>
  <c r="C22" i="6"/>
  <c r="C10" i="6"/>
  <c r="C24" i="6"/>
  <c r="CE8" i="5"/>
  <c r="CE11" i="5" s="1"/>
  <c r="BG43" i="5"/>
  <c r="CC8" i="5"/>
  <c r="G20" i="5"/>
  <c r="Q11" i="5"/>
  <c r="BM11" i="5"/>
  <c r="BM43" i="5" s="1"/>
  <c r="BS11" i="5"/>
  <c r="BS43" i="5" s="1"/>
  <c r="BE43" i="5"/>
  <c r="C46" i="6"/>
  <c r="C25" i="6"/>
  <c r="C39" i="6"/>
  <c r="C53" i="6"/>
  <c r="C11" i="6"/>
  <c r="C19" i="6"/>
  <c r="C26" i="6"/>
  <c r="C34" i="6"/>
  <c r="C40" i="6"/>
  <c r="C48" i="6"/>
  <c r="C50" i="6"/>
  <c r="C54" i="6"/>
  <c r="C65" i="6"/>
  <c r="C33" i="6"/>
  <c r="C47" i="6"/>
  <c r="C49" i="6"/>
  <c r="C78" i="6"/>
  <c r="C12" i="6"/>
  <c r="C20" i="6"/>
  <c r="C27" i="6"/>
  <c r="C41" i="6"/>
  <c r="C55" i="6"/>
  <c r="C66" i="6"/>
  <c r="C87" i="6"/>
  <c r="C38" i="6"/>
  <c r="C28" i="6"/>
  <c r="C42" i="6"/>
  <c r="C56" i="6"/>
  <c r="C29" i="6"/>
  <c r="C43" i="6"/>
  <c r="C57" i="6"/>
  <c r="C67" i="6"/>
  <c r="C32" i="6"/>
  <c r="C52" i="6"/>
  <c r="C35" i="6"/>
  <c r="C7" i="6"/>
  <c r="C15" i="6"/>
  <c r="C23" i="6"/>
  <c r="C30" i="6"/>
  <c r="C36" i="6"/>
  <c r="C44" i="6"/>
  <c r="C58" i="6"/>
  <c r="AM11" i="5"/>
  <c r="Y8" i="5"/>
  <c r="C41" i="5"/>
  <c r="C43" i="5" s="1"/>
  <c r="C47" i="5" s="1"/>
  <c r="BC10" i="5"/>
  <c r="G8" i="5"/>
  <c r="G11" i="5" s="1"/>
  <c r="E11" i="5"/>
  <c r="E43" i="5" s="1"/>
  <c r="E47" i="5" s="1"/>
  <c r="AE8" i="5"/>
  <c r="AE11" i="5" s="1"/>
  <c r="BC8" i="5"/>
  <c r="U11" i="5"/>
  <c r="U43" i="5" s="1"/>
  <c r="Y11" i="5"/>
  <c r="S8" i="5"/>
  <c r="S11" i="5" s="1"/>
  <c r="G21" i="5"/>
  <c r="BU8" i="5"/>
  <c r="AS43" i="5"/>
  <c r="AC11" i="5"/>
  <c r="AC43" i="5" s="1"/>
  <c r="Y41" i="5"/>
  <c r="BA11" i="5"/>
  <c r="BA43" i="5" s="1"/>
  <c r="W11" i="5"/>
  <c r="W43" i="5" s="1"/>
  <c r="BU41" i="5"/>
  <c r="BO41" i="5"/>
  <c r="BI41" i="5"/>
  <c r="CG19" i="5"/>
  <c r="CG30" i="5"/>
  <c r="I43" i="5"/>
  <c r="AE41" i="5"/>
  <c r="AA43" i="5"/>
  <c r="AW11" i="5"/>
  <c r="CG9" i="5"/>
  <c r="BQ11" i="5"/>
  <c r="BQ43" i="5" s="1"/>
  <c r="O11" i="5"/>
  <c r="O43" i="5" s="1"/>
  <c r="Q41" i="5"/>
  <c r="S18" i="5"/>
  <c r="S41" i="5" s="1"/>
  <c r="M14" i="5"/>
  <c r="M41" i="5" s="1"/>
  <c r="K41" i="5"/>
  <c r="K43" i="5" s="1"/>
  <c r="M10" i="5"/>
  <c r="M8" i="5"/>
  <c r="BI8" i="5"/>
  <c r="BI11" i="5" s="1"/>
  <c r="G31" i="5"/>
  <c r="CG15" i="5"/>
  <c r="AK15" i="5"/>
  <c r="AK22" i="5"/>
  <c r="CG22" i="5"/>
  <c r="CG35" i="5"/>
  <c r="AK35" i="5"/>
  <c r="CG16" i="5"/>
  <c r="AK16" i="5"/>
  <c r="CG36" i="5"/>
  <c r="AK21" i="5"/>
  <c r="CG21" i="5"/>
  <c r="CG23" i="5"/>
  <c r="AK23" i="5"/>
  <c r="CG38" i="5"/>
  <c r="AK38" i="5"/>
  <c r="CG18" i="5"/>
  <c r="AK18" i="5"/>
  <c r="CG24" i="5"/>
  <c r="AK24" i="5"/>
  <c r="CG39" i="5"/>
  <c r="AK39" i="5"/>
  <c r="AK14" i="5"/>
  <c r="AI41" i="5"/>
  <c r="CG17" i="5"/>
  <c r="AK17" i="5"/>
  <c r="AQ18" i="5"/>
  <c r="AQ41" i="5" s="1"/>
  <c r="AO41" i="5"/>
  <c r="AO43" i="5" s="1"/>
  <c r="CG25" i="5"/>
  <c r="AK25" i="5"/>
  <c r="AK32" i="5"/>
  <c r="CG32" i="5"/>
  <c r="CG40" i="5"/>
  <c r="AK40" i="5"/>
  <c r="CG28" i="5"/>
  <c r="AK28" i="5"/>
  <c r="AK33" i="5"/>
  <c r="CG33" i="5"/>
  <c r="CC41" i="5"/>
  <c r="AK20" i="5"/>
  <c r="CG20" i="5"/>
  <c r="CG29" i="5"/>
  <c r="AK29" i="5"/>
  <c r="AK34" i="5"/>
  <c r="CG34" i="5"/>
  <c r="AK19" i="5"/>
  <c r="AK30" i="5"/>
  <c r="AY41" i="5"/>
  <c r="AY43" i="5" s="1"/>
  <c r="BO10" i="5"/>
  <c r="BO11" i="5" s="1"/>
  <c r="AQ8" i="5"/>
  <c r="AQ11" i="5" s="1"/>
  <c r="AK10" i="5"/>
  <c r="AK11" i="5" s="1"/>
  <c r="AU11" i="5"/>
  <c r="AU43" i="5" s="1"/>
  <c r="BK11" i="5"/>
  <c r="BK43" i="5" s="1"/>
  <c r="CG31" i="5"/>
  <c r="BC35" i="5"/>
  <c r="BC41" i="5" s="1"/>
  <c r="AM41" i="5"/>
  <c r="AG11" i="5"/>
  <c r="AG43" i="5" s="1"/>
  <c r="BU10" i="5"/>
  <c r="BU11" i="5" s="1"/>
  <c r="AI11" i="5"/>
  <c r="AK36" i="5"/>
  <c r="AW40" i="5"/>
  <c r="AW41" i="5" s="1"/>
  <c r="AA33" i="1"/>
  <c r="AY33" i="1"/>
  <c r="AW33" i="1"/>
  <c r="AQ33" i="1"/>
  <c r="AK33" i="1"/>
  <c r="AE33" i="1"/>
  <c r="Y33" i="1"/>
  <c r="G33" i="1"/>
  <c r="AY32" i="1"/>
  <c r="AW32" i="1"/>
  <c r="AQ32" i="1"/>
  <c r="AK32" i="1"/>
  <c r="AE32" i="1"/>
  <c r="Y32" i="1"/>
  <c r="G32" i="1"/>
  <c r="CA8" i="5" l="1"/>
  <c r="CA11" i="5" s="1"/>
  <c r="CA43" i="5" s="1"/>
  <c r="BC11" i="5"/>
  <c r="BC43" i="5" s="1"/>
  <c r="Q43" i="5"/>
  <c r="G41" i="5"/>
  <c r="G43" i="5" s="1"/>
  <c r="BU43" i="5"/>
  <c r="I46" i="5"/>
  <c r="M46" i="5" s="1"/>
  <c r="G47" i="5"/>
  <c r="Y43" i="5"/>
  <c r="CG10" i="5"/>
  <c r="AM43" i="5"/>
  <c r="AW43" i="5"/>
  <c r="M11" i="5"/>
  <c r="M43" i="5" s="1"/>
  <c r="Q46" i="5"/>
  <c r="CC11" i="5"/>
  <c r="CC43" i="5" s="1"/>
  <c r="BO43" i="5"/>
  <c r="AE43" i="5"/>
  <c r="BI43" i="5"/>
  <c r="S43" i="5"/>
  <c r="AQ43" i="5"/>
  <c r="CG14" i="5"/>
  <c r="CG41" i="5" s="1"/>
  <c r="CE41" i="5"/>
  <c r="AI43" i="5"/>
  <c r="AK41" i="5"/>
  <c r="AK43" i="5" s="1"/>
  <c r="CG8" i="5"/>
  <c r="W37" i="1"/>
  <c r="I47" i="5" l="1"/>
  <c r="M47" i="5" s="1"/>
  <c r="Q47" i="5"/>
  <c r="CG11" i="5"/>
  <c r="CG43" i="5" s="1"/>
  <c r="CE43" i="5"/>
  <c r="F18" i="2"/>
  <c r="W46" i="5" l="1"/>
  <c r="O46" i="5"/>
  <c r="AY34" i="1"/>
  <c r="AW34" i="1"/>
  <c r="AQ34" i="1"/>
  <c r="AK34" i="1"/>
  <c r="AE34" i="1"/>
  <c r="Y34" i="1"/>
  <c r="G34" i="1"/>
  <c r="W47" i="5" l="1"/>
  <c r="S46" i="5"/>
  <c r="O47" i="5"/>
  <c r="P4" i="2"/>
  <c r="O25" i="1"/>
  <c r="AC46" i="5" l="1"/>
  <c r="U46" i="5"/>
  <c r="S47" i="5"/>
  <c r="AY31" i="1"/>
  <c r="AY30" i="1"/>
  <c r="AW31" i="1"/>
  <c r="AW30" i="1"/>
  <c r="AQ31" i="1"/>
  <c r="AQ30" i="1"/>
  <c r="AK31" i="1"/>
  <c r="AK30" i="1"/>
  <c r="AE31" i="1"/>
  <c r="AE30" i="1"/>
  <c r="Y31" i="1"/>
  <c r="Y30" i="1"/>
  <c r="G30" i="1"/>
  <c r="AC47" i="5" l="1"/>
  <c r="U47" i="5"/>
  <c r="BW46" i="5"/>
  <c r="Y46" i="5"/>
  <c r="F125" i="2"/>
  <c r="F124" i="2"/>
  <c r="AI46" i="5" l="1"/>
  <c r="AA46" i="5"/>
  <c r="AA47" i="5" s="1"/>
  <c r="Y47" i="5"/>
  <c r="AE46" i="5"/>
  <c r="AS10" i="1"/>
  <c r="AU10" i="1"/>
  <c r="AI47" i="5" l="1"/>
  <c r="AG46" i="5"/>
  <c r="AE47" i="5"/>
  <c r="F148" i="2"/>
  <c r="AO46" i="5" l="1"/>
  <c r="AK46" i="5"/>
  <c r="AG47" i="5"/>
  <c r="I43" i="1"/>
  <c r="AO47" i="5" l="1"/>
  <c r="AK47" i="5"/>
  <c r="AM46" i="5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18" i="2"/>
  <c r="L19" i="2"/>
  <c r="AU46" i="5" l="1"/>
  <c r="AU47" i="5" s="1"/>
  <c r="BA46" i="5" s="1"/>
  <c r="BA47" i="5" s="1"/>
  <c r="BG46" i="5" s="1"/>
  <c r="BG47" i="5" s="1"/>
  <c r="BM46" i="5" s="1"/>
  <c r="AQ46" i="5"/>
  <c r="AM47" i="5"/>
  <c r="BW47" i="5" s="1"/>
  <c r="AS8" i="1"/>
  <c r="AM8" i="1"/>
  <c r="AG8" i="1"/>
  <c r="AA8" i="1"/>
  <c r="U8" i="1"/>
  <c r="O8" i="1"/>
  <c r="AU8" i="1"/>
  <c r="AI8" i="1"/>
  <c r="AC8" i="1"/>
  <c r="W8" i="1"/>
  <c r="Q8" i="1"/>
  <c r="AO10" i="1"/>
  <c r="AM10" i="1"/>
  <c r="AI10" i="1"/>
  <c r="AG10" i="1"/>
  <c r="AC10" i="1"/>
  <c r="AA10" i="1"/>
  <c r="W10" i="1"/>
  <c r="U10" i="1"/>
  <c r="Q10" i="1"/>
  <c r="O10" i="1"/>
  <c r="K10" i="1"/>
  <c r="I10" i="1"/>
  <c r="BM47" i="5" l="1"/>
  <c r="BY46" i="5"/>
  <c r="AQ47" i="5"/>
  <c r="AS46" i="5"/>
  <c r="BA9" i="1"/>
  <c r="BA8" i="1"/>
  <c r="AY37" i="1"/>
  <c r="AY36" i="1"/>
  <c r="AY35" i="1"/>
  <c r="AY29" i="1"/>
  <c r="AY28" i="1"/>
  <c r="AY27" i="1"/>
  <c r="AY26" i="1"/>
  <c r="AY25" i="1"/>
  <c r="AY24" i="1"/>
  <c r="AY23" i="1"/>
  <c r="AY22" i="1"/>
  <c r="AY21" i="1"/>
  <c r="AY20" i="1"/>
  <c r="AY19" i="1"/>
  <c r="AY18" i="1"/>
  <c r="AY17" i="1"/>
  <c r="AY16" i="1"/>
  <c r="AY15" i="1"/>
  <c r="AY14" i="1"/>
  <c r="AY9" i="1"/>
  <c r="AY8" i="1"/>
  <c r="E29" i="1"/>
  <c r="E38" i="1" s="1"/>
  <c r="F302" i="2"/>
  <c r="F296" i="2"/>
  <c r="F290" i="2"/>
  <c r="AU38" i="1"/>
  <c r="AS38" i="1"/>
  <c r="AO38" i="1"/>
  <c r="AM38" i="1"/>
  <c r="AI38" i="1"/>
  <c r="AG38" i="1"/>
  <c r="AC38" i="1"/>
  <c r="AA38" i="1"/>
  <c r="W38" i="1"/>
  <c r="U38" i="1"/>
  <c r="O38" i="1"/>
  <c r="I38" i="1"/>
  <c r="C38" i="1"/>
  <c r="BS46" i="5" l="1"/>
  <c r="BY47" i="5"/>
  <c r="AS47" i="5"/>
  <c r="AW46" i="5"/>
  <c r="BC8" i="1"/>
  <c r="BC9" i="1"/>
  <c r="AY38" i="1"/>
  <c r="AW35" i="1"/>
  <c r="AQ35" i="1"/>
  <c r="AK35" i="1"/>
  <c r="AE35" i="1"/>
  <c r="Y35" i="1"/>
  <c r="G35" i="1"/>
  <c r="G31" i="1"/>
  <c r="F202" i="2"/>
  <c r="M130" i="2"/>
  <c r="F166" i="2"/>
  <c r="H219" i="2"/>
  <c r="H218" i="2" s="1"/>
  <c r="H217" i="2" s="1"/>
  <c r="H216" i="2" s="1"/>
  <c r="H215" i="2" s="1"/>
  <c r="H214" i="2" s="1"/>
  <c r="H213" i="2" s="1"/>
  <c r="H212" i="2" s="1"/>
  <c r="H211" i="2" s="1"/>
  <c r="H210" i="2" s="1"/>
  <c r="H209" i="2" s="1"/>
  <c r="H208" i="2" s="1"/>
  <c r="H207" i="2" s="1"/>
  <c r="H206" i="2" s="1"/>
  <c r="H205" i="2" s="1"/>
  <c r="H204" i="2" s="1"/>
  <c r="AW37" i="1"/>
  <c r="AW36" i="1"/>
  <c r="AW29" i="1"/>
  <c r="AW28" i="1"/>
  <c r="AW27" i="1"/>
  <c r="AW26" i="1"/>
  <c r="AW25" i="1"/>
  <c r="AW24" i="1"/>
  <c r="AW23" i="1"/>
  <c r="AW22" i="1"/>
  <c r="AW21" i="1"/>
  <c r="AW20" i="1"/>
  <c r="AW19" i="1"/>
  <c r="AW18" i="1"/>
  <c r="AW17" i="1"/>
  <c r="AW16" i="1"/>
  <c r="AW15" i="1"/>
  <c r="AW14" i="1"/>
  <c r="AU11" i="1"/>
  <c r="AU40" i="1" s="1"/>
  <c r="AS11" i="1"/>
  <c r="AS40" i="1" s="1"/>
  <c r="AW9" i="1"/>
  <c r="AW8" i="1"/>
  <c r="AQ37" i="1"/>
  <c r="AQ36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M11" i="1"/>
  <c r="AM40" i="1" s="1"/>
  <c r="AO11" i="1"/>
  <c r="AO40" i="1" s="1"/>
  <c r="AQ9" i="1"/>
  <c r="AQ8" i="1"/>
  <c r="AK37" i="1"/>
  <c r="AK36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I11" i="1"/>
  <c r="AI40" i="1" s="1"/>
  <c r="AG11" i="1"/>
  <c r="AG40" i="1" s="1"/>
  <c r="AK9" i="1"/>
  <c r="AK8" i="1"/>
  <c r="AE37" i="1"/>
  <c r="AE36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C11" i="1"/>
  <c r="AC40" i="1" s="1"/>
  <c r="AA11" i="1"/>
  <c r="AA40" i="1" s="1"/>
  <c r="AA44" i="1" s="1"/>
  <c r="AE9" i="1"/>
  <c r="AE8" i="1"/>
  <c r="Y37" i="1"/>
  <c r="Y36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U11" i="1"/>
  <c r="U40" i="1" s="1"/>
  <c r="W11" i="1"/>
  <c r="W40" i="1" s="1"/>
  <c r="Y9" i="1"/>
  <c r="Y8" i="1"/>
  <c r="BS47" i="5" l="1"/>
  <c r="CE47" i="5" s="1"/>
  <c r="CE46" i="5"/>
  <c r="AW47" i="5"/>
  <c r="AY46" i="5"/>
  <c r="Q33" i="1" a="1"/>
  <c r="Q33" i="1" s="1"/>
  <c r="S33" i="1" s="1"/>
  <c r="Q32" i="1" a="1"/>
  <c r="Q32" i="1" s="1"/>
  <c r="S32" i="1" s="1"/>
  <c r="K33" i="1" a="1"/>
  <c r="K33" i="1" s="1"/>
  <c r="K32" i="1" a="1"/>
  <c r="K32" i="1" s="1"/>
  <c r="Q28" i="1" a="1"/>
  <c r="Q28" i="1" s="1"/>
  <c r="S28" i="1" s="1"/>
  <c r="K34" i="1" a="1"/>
  <c r="K34" i="1" s="1"/>
  <c r="K30" i="1" a="1"/>
  <c r="K30" i="1" s="1"/>
  <c r="Q35" i="1" a="1"/>
  <c r="Q35" i="1" s="1"/>
  <c r="S35" i="1" s="1"/>
  <c r="Q31" i="1" a="1"/>
  <c r="Q31" i="1" s="1"/>
  <c r="S31" i="1" s="1"/>
  <c r="Q18" i="1" a="1"/>
  <c r="Q18" i="1" s="1"/>
  <c r="Q30" i="1" a="1"/>
  <c r="Q30" i="1" s="1"/>
  <c r="S30" i="1" s="1"/>
  <c r="S37" i="1"/>
  <c r="Q36" i="1" a="1"/>
  <c r="Q36" i="1" s="1"/>
  <c r="S36" i="1" s="1"/>
  <c r="Q20" i="1" a="1"/>
  <c r="Q20" i="1" s="1"/>
  <c r="Q24" i="1" a="1"/>
  <c r="Q24" i="1" s="1"/>
  <c r="Q23" i="1" a="1"/>
  <c r="Q23" i="1" s="1"/>
  <c r="S23" i="1" s="1"/>
  <c r="Q25" i="1" a="1"/>
  <c r="Q25" i="1" s="1"/>
  <c r="S25" i="1" s="1"/>
  <c r="K31" i="1" a="1"/>
  <c r="K31" i="1" s="1"/>
  <c r="Q26" i="1" a="1"/>
  <c r="Q26" i="1" s="1"/>
  <c r="S26" i="1" s="1"/>
  <c r="Q22" i="1" a="1"/>
  <c r="Q22" i="1" s="1"/>
  <c r="S22" i="1" s="1"/>
  <c r="Q21" i="1" a="1"/>
  <c r="Q21" i="1" s="1"/>
  <c r="S21" i="1" s="1"/>
  <c r="Q29" i="1" a="1"/>
  <c r="Q29" i="1" s="1"/>
  <c r="S29" i="1" s="1"/>
  <c r="Q19" i="1" a="1"/>
  <c r="Q19" i="1" s="1"/>
  <c r="Q27" i="1" a="1"/>
  <c r="Q27" i="1" s="1"/>
  <c r="S27" i="1" s="1"/>
  <c r="Q34" i="1" a="1"/>
  <c r="Q34" i="1" s="1"/>
  <c r="S34" i="1" s="1"/>
  <c r="K26" i="1" a="1"/>
  <c r="K26" i="1" s="1"/>
  <c r="K35" i="1" a="1"/>
  <c r="K35" i="1" s="1"/>
  <c r="K14" i="1" a="1"/>
  <c r="K14" i="1" s="1"/>
  <c r="BA14" i="1" s="1"/>
  <c r="BC14" i="1" s="1"/>
  <c r="K15" i="1" a="1"/>
  <c r="K15" i="1" s="1"/>
  <c r="M15" i="1" s="1"/>
  <c r="K25" i="1" a="1"/>
  <c r="K25" i="1" s="1"/>
  <c r="K17" i="1" a="1"/>
  <c r="K17" i="1" s="1"/>
  <c r="BA17" i="1" s="1"/>
  <c r="BC17" i="1" s="1"/>
  <c r="K16" i="1" a="1"/>
  <c r="K16" i="1" s="1"/>
  <c r="BA16" i="1" s="1"/>
  <c r="BC16" i="1" s="1"/>
  <c r="K24" i="1" a="1"/>
  <c r="K24" i="1" s="1"/>
  <c r="BA24" i="1" s="1"/>
  <c r="BC24" i="1" s="1"/>
  <c r="K37" i="1" a="1"/>
  <c r="K37" i="1" s="1"/>
  <c r="K23" i="1" a="1"/>
  <c r="K23" i="1" s="1"/>
  <c r="K36" i="1" a="1"/>
  <c r="K36" i="1" s="1"/>
  <c r="K22" i="1" a="1"/>
  <c r="K22" i="1" s="1"/>
  <c r="K29" i="1" a="1"/>
  <c r="K29" i="1" s="1"/>
  <c r="BA29" i="1" s="1"/>
  <c r="BC29" i="1" s="1"/>
  <c r="K21" i="1" a="1"/>
  <c r="K21" i="1" s="1"/>
  <c r="K19" i="1" a="1"/>
  <c r="K19" i="1" s="1"/>
  <c r="BA19" i="1" s="1"/>
  <c r="BC19" i="1" s="1"/>
  <c r="K28" i="1" a="1"/>
  <c r="K28" i="1" s="1"/>
  <c r="K20" i="1" a="1"/>
  <c r="K20" i="1" s="1"/>
  <c r="BA20" i="1" s="1"/>
  <c r="BC20" i="1" s="1"/>
  <c r="K27" i="1" a="1"/>
  <c r="K27" i="1" s="1"/>
  <c r="K18" i="1" a="1"/>
  <c r="K18" i="1" s="1"/>
  <c r="BA18" i="1" s="1"/>
  <c r="BC18" i="1" s="1"/>
  <c r="H202" i="2"/>
  <c r="H201" i="2" s="1"/>
  <c r="H200" i="2" s="1"/>
  <c r="H199" i="2" s="1"/>
  <c r="H198" i="2" s="1"/>
  <c r="H197" i="2" s="1"/>
  <c r="H196" i="2" s="1"/>
  <c r="H195" i="2" s="1"/>
  <c r="H194" i="2" s="1"/>
  <c r="H193" i="2" s="1"/>
  <c r="H192" i="2" s="1"/>
  <c r="H191" i="2" s="1"/>
  <c r="H190" i="2" s="1"/>
  <c r="H189" i="2" s="1"/>
  <c r="H188" i="2" s="1"/>
  <c r="H187" i="2" s="1"/>
  <c r="H186" i="2" s="1"/>
  <c r="H185" i="2" s="1"/>
  <c r="H184" i="2" s="1"/>
  <c r="H183" i="2" s="1"/>
  <c r="H182" i="2" s="1"/>
  <c r="H181" i="2" s="1"/>
  <c r="H180" i="2" s="1"/>
  <c r="H179" i="2" s="1"/>
  <c r="H178" i="2" s="1"/>
  <c r="H177" i="2" s="1"/>
  <c r="H176" i="2" s="1"/>
  <c r="H175" i="2" s="1"/>
  <c r="H173" i="2" s="1"/>
  <c r="H172" i="2" s="1"/>
  <c r="H171" i="2" s="1"/>
  <c r="H170" i="2" s="1"/>
  <c r="H169" i="2" s="1"/>
  <c r="H168" i="2" s="1"/>
  <c r="H166" i="2" s="1"/>
  <c r="H165" i="2" s="1"/>
  <c r="H164" i="2" s="1"/>
  <c r="H163" i="2" s="1"/>
  <c r="H162" i="2" s="1"/>
  <c r="H161" i="2" s="1"/>
  <c r="H160" i="2" s="1"/>
  <c r="H159" i="2" s="1"/>
  <c r="H158" i="2" s="1"/>
  <c r="H157" i="2" s="1"/>
  <c r="H156" i="2" s="1"/>
  <c r="H155" i="2" s="1"/>
  <c r="H154" i="2" s="1"/>
  <c r="AE10" i="1"/>
  <c r="AY10" i="1"/>
  <c r="AY11" i="1" s="1"/>
  <c r="AY40" i="1" s="1"/>
  <c r="BA10" i="1"/>
  <c r="Y38" i="1"/>
  <c r="AE38" i="1"/>
  <c r="AK38" i="1"/>
  <c r="AQ38" i="1"/>
  <c r="AW38" i="1"/>
  <c r="AE11" i="1"/>
  <c r="AW10" i="1"/>
  <c r="AW11" i="1" s="1"/>
  <c r="AQ10" i="1"/>
  <c r="AQ11" i="1" s="1"/>
  <c r="AK10" i="1"/>
  <c r="AK11" i="1" s="1"/>
  <c r="Y10" i="1"/>
  <c r="Y11" i="1" s="1"/>
  <c r="S24" i="1"/>
  <c r="S20" i="1"/>
  <c r="S19" i="1"/>
  <c r="S18" i="1"/>
  <c r="S17" i="1"/>
  <c r="S16" i="1"/>
  <c r="S15" i="1"/>
  <c r="S14" i="1"/>
  <c r="Q11" i="1"/>
  <c r="O11" i="1"/>
  <c r="O40" i="1" s="1"/>
  <c r="O44" i="1" s="1"/>
  <c r="S10" i="1"/>
  <c r="S9" i="1"/>
  <c r="S8" i="1"/>
  <c r="K11" i="1"/>
  <c r="E11" i="1"/>
  <c r="E40" i="1" s="1"/>
  <c r="C11" i="1"/>
  <c r="C40" i="1" s="1"/>
  <c r="I11" i="1"/>
  <c r="I40" i="1" s="1"/>
  <c r="I44" i="1" s="1"/>
  <c r="M10" i="1"/>
  <c r="M9" i="1"/>
  <c r="M8" i="1"/>
  <c r="G37" i="1"/>
  <c r="G36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0" i="1"/>
  <c r="G9" i="1"/>
  <c r="G8" i="1"/>
  <c r="BC46" i="5" l="1"/>
  <c r="AY47" i="5"/>
  <c r="BA28" i="1"/>
  <c r="BC28" i="1" s="1"/>
  <c r="BA21" i="1"/>
  <c r="BC21" i="1" s="1"/>
  <c r="M32" i="1"/>
  <c r="BA32" i="1"/>
  <c r="BC32" i="1" s="1"/>
  <c r="BA27" i="1"/>
  <c r="BC27" i="1" s="1"/>
  <c r="BA23" i="1"/>
  <c r="BC23" i="1" s="1"/>
  <c r="M33" i="1"/>
  <c r="BA33" i="1"/>
  <c r="BC33" i="1" s="1"/>
  <c r="BA36" i="1"/>
  <c r="BC36" i="1" s="1"/>
  <c r="BA26" i="1"/>
  <c r="BC26" i="1" s="1"/>
  <c r="BA25" i="1"/>
  <c r="BC25" i="1" s="1"/>
  <c r="BA37" i="1"/>
  <c r="BC37" i="1" s="1"/>
  <c r="M31" i="1"/>
  <c r="BA31" i="1"/>
  <c r="BC31" i="1" s="1"/>
  <c r="Q38" i="1"/>
  <c r="Q40" i="1" s="1"/>
  <c r="Q44" i="1" s="1"/>
  <c r="BA30" i="1"/>
  <c r="BC30" i="1" s="1"/>
  <c r="M30" i="1"/>
  <c r="M34" i="1"/>
  <c r="BA34" i="1"/>
  <c r="BC34" i="1" s="1"/>
  <c r="BA22" i="1"/>
  <c r="BC22" i="1" s="1"/>
  <c r="M25" i="1"/>
  <c r="M17" i="1"/>
  <c r="M14" i="1"/>
  <c r="BA35" i="1"/>
  <c r="BC35" i="1" s="1"/>
  <c r="M35" i="1"/>
  <c r="M16" i="1"/>
  <c r="M24" i="1"/>
  <c r="M21" i="1"/>
  <c r="M28" i="1"/>
  <c r="M29" i="1"/>
  <c r="M37" i="1"/>
  <c r="M19" i="1"/>
  <c r="M20" i="1"/>
  <c r="M23" i="1"/>
  <c r="M18" i="1"/>
  <c r="M26" i="1"/>
  <c r="M22" i="1"/>
  <c r="M36" i="1"/>
  <c r="M27" i="1"/>
  <c r="BA15" i="1"/>
  <c r="BC15" i="1" s="1"/>
  <c r="K38" i="1"/>
  <c r="K40" i="1" s="1"/>
  <c r="K43" i="1"/>
  <c r="H153" i="2"/>
  <c r="H152" i="2" s="1"/>
  <c r="H151" i="2" s="1"/>
  <c r="H150" i="2" s="1"/>
  <c r="H149" i="2" s="1"/>
  <c r="H148" i="2" s="1"/>
  <c r="H147" i="2" s="1"/>
  <c r="H146" i="2" s="1"/>
  <c r="H145" i="2" s="1"/>
  <c r="H144" i="2" s="1"/>
  <c r="H143" i="2" s="1"/>
  <c r="H142" i="2" s="1"/>
  <c r="H141" i="2" s="1"/>
  <c r="H140" i="2" s="1"/>
  <c r="H139" i="2" s="1"/>
  <c r="H138" i="2" s="1"/>
  <c r="H137" i="2" s="1"/>
  <c r="H136" i="2" s="1"/>
  <c r="H135" i="2" s="1"/>
  <c r="H134" i="2" s="1"/>
  <c r="H133" i="2" s="1"/>
  <c r="H132" i="2" s="1"/>
  <c r="H131" i="2" s="1"/>
  <c r="H130" i="2" s="1"/>
  <c r="H129" i="2" s="1"/>
  <c r="H128" i="2" s="1"/>
  <c r="H127" i="2" s="1"/>
  <c r="H126" i="2" s="1"/>
  <c r="H125" i="2" s="1"/>
  <c r="BA11" i="1"/>
  <c r="BC10" i="1"/>
  <c r="BC11" i="1" s="1"/>
  <c r="AE40" i="1"/>
  <c r="Y40" i="1"/>
  <c r="S38" i="1"/>
  <c r="AK40" i="1"/>
  <c r="AW40" i="1"/>
  <c r="AQ40" i="1"/>
  <c r="G38" i="1"/>
  <c r="G11" i="1"/>
  <c r="M11" i="1"/>
  <c r="S11" i="1"/>
  <c r="BE46" i="5" l="1"/>
  <c r="BC47" i="5"/>
  <c r="H123" i="2"/>
  <c r="H122" i="2" s="1"/>
  <c r="H121" i="2" s="1"/>
  <c r="H120" i="2" s="1"/>
  <c r="H119" i="2" s="1"/>
  <c r="H118" i="2" s="1"/>
  <c r="H117" i="2" s="1"/>
  <c r="H116" i="2" s="1"/>
  <c r="H115" i="2" s="1"/>
  <c r="H114" i="2" s="1"/>
  <c r="H113" i="2" s="1"/>
  <c r="H112" i="2" s="1"/>
  <c r="H111" i="2" s="1"/>
  <c r="H110" i="2" s="1"/>
  <c r="H109" i="2" s="1"/>
  <c r="H108" i="2" s="1"/>
  <c r="H107" i="2" s="1"/>
  <c r="H106" i="2" s="1"/>
  <c r="H105" i="2" s="1"/>
  <c r="H104" i="2" s="1"/>
  <c r="H103" i="2" s="1"/>
  <c r="H102" i="2" s="1"/>
  <c r="H101" i="2" s="1"/>
  <c r="H100" i="2" s="1"/>
  <c r="H99" i="2" s="1"/>
  <c r="H98" i="2" s="1"/>
  <c r="H97" i="2" s="1"/>
  <c r="H96" i="2" s="1"/>
  <c r="H95" i="2" s="1"/>
  <c r="H94" i="2" s="1"/>
  <c r="H93" i="2" s="1"/>
  <c r="H92" i="2" s="1"/>
  <c r="H124" i="2"/>
  <c r="BC38" i="1"/>
  <c r="BC40" i="1" s="1"/>
  <c r="M38" i="1"/>
  <c r="M40" i="1" s="1"/>
  <c r="BA38" i="1"/>
  <c r="BA40" i="1" s="1"/>
  <c r="K44" i="1"/>
  <c r="W43" i="1" s="1"/>
  <c r="W44" i="1" s="1"/>
  <c r="U43" i="1"/>
  <c r="U44" i="1" s="1"/>
  <c r="S40" i="1"/>
  <c r="G40" i="1"/>
  <c r="BE47" i="5" l="1"/>
  <c r="BI46" i="5"/>
  <c r="H91" i="2"/>
  <c r="H90" i="2" s="1"/>
  <c r="H89" i="2" s="1"/>
  <c r="H88" i="2" s="1"/>
  <c r="H87" i="2" s="1"/>
  <c r="H86" i="2" s="1"/>
  <c r="H85" i="2" s="1"/>
  <c r="H84" i="2" s="1"/>
  <c r="H83" i="2" s="1"/>
  <c r="H82" i="2" s="1"/>
  <c r="AC43" i="1"/>
  <c r="AC44" i="1" s="1"/>
  <c r="BK46" i="5" l="1"/>
  <c r="CA46" i="5" s="1"/>
  <c r="BI47" i="5"/>
  <c r="H81" i="2"/>
  <c r="H79" i="2" s="1"/>
  <c r="H78" i="2" s="1"/>
  <c r="H77" i="2" s="1"/>
  <c r="H76" i="2" s="1"/>
  <c r="H75" i="2" s="1"/>
  <c r="H74" i="2" s="1"/>
  <c r="H73" i="2" s="1"/>
  <c r="H72" i="2" s="1"/>
  <c r="H71" i="2" s="1"/>
  <c r="H70" i="2" s="1"/>
  <c r="H69" i="2" s="1"/>
  <c r="H68" i="2" s="1"/>
  <c r="H67" i="2" s="1"/>
  <c r="H66" i="2" s="1"/>
  <c r="H80" i="2"/>
  <c r="AG43" i="1"/>
  <c r="AG44" i="1" s="1"/>
  <c r="AM43" i="1" s="1"/>
  <c r="AM44" i="1" s="1"/>
  <c r="AI43" i="1"/>
  <c r="AI44" i="1" s="1"/>
  <c r="BK47" i="5" l="1"/>
  <c r="CA47" i="5" s="1"/>
  <c r="BO46" i="5"/>
  <c r="H64" i="2"/>
  <c r="H63" i="2" s="1"/>
  <c r="H62" i="2" s="1"/>
  <c r="H61" i="2" s="1"/>
  <c r="H60" i="2" s="1"/>
  <c r="H59" i="2" s="1"/>
  <c r="H58" i="2" s="1"/>
  <c r="H57" i="2" s="1"/>
  <c r="H56" i="2" s="1"/>
  <c r="H55" i="2" s="1"/>
  <c r="H54" i="2" s="1"/>
  <c r="H53" i="2" s="1"/>
  <c r="H52" i="2" s="1"/>
  <c r="H51" i="2" s="1"/>
  <c r="H50" i="2" s="1"/>
  <c r="H49" i="2" s="1"/>
  <c r="H48" i="2" s="1"/>
  <c r="H47" i="2" s="1"/>
  <c r="H46" i="2" s="1"/>
  <c r="H45" i="2" s="1"/>
  <c r="H44" i="2" s="1"/>
  <c r="H43" i="2" s="1"/>
  <c r="H42" i="2" s="1"/>
  <c r="H41" i="2" s="1"/>
  <c r="H40" i="2" s="1"/>
  <c r="H39" i="2" s="1"/>
  <c r="H38" i="2" s="1"/>
  <c r="H37" i="2" s="1"/>
  <c r="H36" i="2" s="1"/>
  <c r="H35" i="2" s="1"/>
  <c r="H34" i="2" s="1"/>
  <c r="H33" i="2" s="1"/>
  <c r="H32" i="2" s="1"/>
  <c r="H31" i="2" s="1"/>
  <c r="H30" i="2" s="1"/>
  <c r="H29" i="2" s="1"/>
  <c r="H28" i="2" s="1"/>
  <c r="H27" i="2" s="1"/>
  <c r="H26" i="2" s="1"/>
  <c r="H25" i="2" s="1"/>
  <c r="H24" i="2" s="1"/>
  <c r="H23" i="2" s="1"/>
  <c r="H22" i="2" s="1"/>
  <c r="H21" i="2" s="1"/>
  <c r="H20" i="2" s="1"/>
  <c r="H19" i="2" s="1"/>
  <c r="H18" i="2" s="1"/>
  <c r="H17" i="2" s="1"/>
  <c r="H16" i="2" s="1"/>
  <c r="H15" i="2" s="1"/>
  <c r="H14" i="2" s="1"/>
  <c r="H13" i="2" s="1"/>
  <c r="H12" i="2" s="1"/>
  <c r="H11" i="2" s="1"/>
  <c r="H10" i="2" s="1"/>
  <c r="H9" i="2" s="1"/>
  <c r="H8" i="2" s="1"/>
  <c r="H7" i="2" s="1"/>
  <c r="H6" i="2" s="1"/>
  <c r="H5" i="2" s="1"/>
  <c r="H65" i="2"/>
  <c r="AS43" i="1"/>
  <c r="AS44" i="1" s="1"/>
  <c r="AO43" i="1"/>
  <c r="AO44" i="1" s="1"/>
  <c r="BQ46" i="5" l="1"/>
  <c r="BO47" i="5"/>
  <c r="AY44" i="1"/>
  <c r="AY43" i="1"/>
  <c r="AU43" i="1"/>
  <c r="AU44" i="1" s="1"/>
  <c r="BQ47" i="5" l="1"/>
  <c r="BU46" i="5"/>
  <c r="CC46" i="5"/>
  <c r="CG46" i="5" s="1"/>
  <c r="BA44" i="1"/>
  <c r="BA43" i="1"/>
  <c r="BU47" i="5" l="1"/>
  <c r="CC47" i="5"/>
  <c r="CG47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Baumgarten, Allen</author>
  </authors>
  <commentList>
    <comment ref="C14" authorId="0" shapeId="0" xr:uid="{04AE4822-8B54-4E1B-863F-6EA89CA35096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C15" authorId="0" shapeId="0" xr:uid="{7C9C9EC0-A4CD-471C-BCE9-23E6BE3C094E}">
      <text>
        <r>
          <rPr>
            <b/>
            <sz val="11"/>
            <color indexed="81"/>
            <rFont val="Tahoma"/>
            <family val="2"/>
          </rPr>
          <t>29th</t>
        </r>
      </text>
    </comment>
    <comment ref="C16" authorId="0" shapeId="0" xr:uid="{5CFDE2CC-7266-4518-A4F5-DFE196185834}">
      <text>
        <r>
          <rPr>
            <b/>
            <sz val="11"/>
            <color indexed="81"/>
            <rFont val="Tahoma"/>
            <family val="2"/>
          </rPr>
          <t>1st-5th</t>
        </r>
      </text>
    </comment>
    <comment ref="C18" authorId="0" shapeId="0" xr:uid="{545E8C3C-0C3C-4D1A-9D23-2E8E50F45C78}">
      <text>
        <r>
          <rPr>
            <b/>
            <sz val="11"/>
            <color indexed="81"/>
            <rFont val="Tahoma"/>
            <family val="2"/>
          </rPr>
          <t>10th</t>
        </r>
      </text>
    </comment>
    <comment ref="C25" authorId="0" shapeId="0" xr:uid="{BC789B58-1CB9-48C8-A7BF-CA97F2783D83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I25" authorId="0" shapeId="0" xr:uid="{176EC9BA-F2F2-46D7-A78F-93B0A3AAFD8E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O25" authorId="0" shapeId="0" xr:uid="{C1455B07-9C8D-40FC-A042-92760377D1DE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U25" authorId="0" shapeId="0" xr:uid="{7336C7AA-27BF-427E-9856-5BEF5D387126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AM25" authorId="0" shapeId="0" xr:uid="{38BAA45B-0DAB-440C-A0A1-469D6F56046F}">
      <text>
        <r>
          <rPr>
            <b/>
            <sz val="11"/>
            <color indexed="81"/>
            <rFont val="Tahoma"/>
            <family val="2"/>
          </rPr>
          <t>Synchronicity pmt due by 18th!</t>
        </r>
      </text>
    </comment>
    <comment ref="C31" authorId="0" shapeId="0" xr:uid="{B12A43BC-3DA3-4315-990A-96FAF98DE7BE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I31" authorId="0" shapeId="0" xr:uid="{5175FA25-E747-4674-A29D-2D631AF4D28C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O31" authorId="0" shapeId="0" xr:uid="{B4094EAE-43CD-4BB4-8D09-521DFE060BDA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U31" authorId="0" shapeId="0" xr:uid="{A513D7D8-119F-4CB5-891A-831FBC595B2A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AA31" authorId="0" shapeId="0" xr:uid="{521910EE-0097-4FEC-8BD3-020C02D7EC70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AG31" authorId="0" shapeId="0" xr:uid="{D9B1B77D-D46A-4B1D-91D7-AFD42FE1B9FE}">
      <text>
        <r>
          <rPr>
            <b/>
            <sz val="11"/>
            <color indexed="81"/>
            <rFont val="Tahoma"/>
            <family val="2"/>
          </rPr>
          <t>28th</t>
        </r>
      </text>
    </comment>
    <comment ref="C32" authorId="0" shapeId="0" xr:uid="{525191C6-D86B-4045-8CC9-48E1F106F0DA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I32" authorId="0" shapeId="0" xr:uid="{9A16CEB8-894B-4DA8-9FF5-DAAE164A5706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O32" authorId="0" shapeId="0" xr:uid="{BA1190DE-A8F8-4502-8E85-751EA72E0BA4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U32" authorId="0" shapeId="0" xr:uid="{06DF5881-E447-45AC-ACC6-561827460492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AA32" authorId="0" shapeId="0" xr:uid="{28B7FDB1-0F1A-400A-AC4D-CD4EF0735100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AG32" authorId="0" shapeId="0" xr:uid="{BC88D419-681F-4509-8B5B-B2E2F1EA4C66}">
      <text>
        <r>
          <rPr>
            <b/>
            <sz val="11"/>
            <color indexed="81"/>
            <rFont val="Tahoma"/>
            <family val="2"/>
          </rPr>
          <t>7th-9th</t>
        </r>
      </text>
    </comment>
    <comment ref="C33" authorId="0" shapeId="0" xr:uid="{CB714CD2-0702-4C5F-8D2E-1A62B25B9657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I33" authorId="0" shapeId="0" xr:uid="{0099C585-30DC-43A9-AEAF-304EF265140F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O33" authorId="0" shapeId="0" xr:uid="{239DE474-DED6-43B4-A000-69482E6AD39A}">
      <text>
        <r>
          <rPr>
            <b/>
            <sz val="11"/>
            <color indexed="81"/>
            <rFont val="Tahoma"/>
            <family val="2"/>
          </rPr>
          <t>25th</t>
        </r>
      </text>
    </comment>
    <comment ref="U33" authorId="0" shapeId="0" xr:uid="{9E4A14FD-D682-4924-8E97-FE7A9E1A8526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AA33" authorId="0" shapeId="0" xr:uid="{1EAD1868-4C6E-40E1-BCA8-3769E82D19BD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AG33" authorId="0" shapeId="0" xr:uid="{E5B01B3F-7723-4F3E-BAB8-E8A37D6DF55B}">
      <text>
        <r>
          <rPr>
            <b/>
            <sz val="11"/>
            <color indexed="81"/>
            <rFont val="Tahoma"/>
            <family val="2"/>
          </rPr>
          <t>21st</t>
        </r>
      </text>
    </comment>
    <comment ref="C34" authorId="0" shapeId="0" xr:uid="{2F603BD8-F753-41B9-9BDE-B9B3613CE615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I34" authorId="0" shapeId="0" xr:uid="{6C23F989-1C6F-4CBB-8467-E2B0982E9DDF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O34" authorId="0" shapeId="0" xr:uid="{38B4F0E9-22D9-4FC1-A46C-96201B25980C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U34" authorId="0" shapeId="0" xr:uid="{0B0684C3-8AC9-4A47-8DA2-A047F032D720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AA34" authorId="0" shapeId="0" xr:uid="{A12C2CBC-7EF9-479C-A8D2-0EBD73E80C76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AG34" authorId="0" shapeId="0" xr:uid="{17D49E41-DD15-400B-A235-14CD7C81C264}">
      <text>
        <r>
          <rPr>
            <b/>
            <sz val="11"/>
            <color indexed="81"/>
            <rFont val="Tahoma"/>
            <family val="2"/>
          </rPr>
          <t>2nd</t>
        </r>
      </text>
    </comment>
    <comment ref="C35" authorId="0" shapeId="0" xr:uid="{7BAB634C-D0D4-4B1A-B8A2-52BB2B1999BF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I35" authorId="0" shapeId="0" xr:uid="{CCE14938-0DE4-46C5-82D3-BB8019C04B6A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O35" authorId="0" shapeId="0" xr:uid="{A4526813-A2A2-46FE-8104-D951F6FBE382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U35" authorId="0" shapeId="0" xr:uid="{F83CC532-017B-4E71-9790-4EAB38122C59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AA35" authorId="0" shapeId="0" xr:uid="{0A7DE486-8CEB-4A28-9660-E3CC0D83C83A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AG35" authorId="0" shapeId="0" xr:uid="{08CB1AC6-F6C4-4BBE-9EF0-BE7FF97E3142}">
      <text>
        <r>
          <rPr>
            <b/>
            <sz val="11"/>
            <color indexed="81"/>
            <rFont val="Tahoma"/>
            <family val="2"/>
          </rPr>
          <t>3rd/4th</t>
        </r>
      </text>
    </comment>
    <comment ref="C36" authorId="0" shapeId="0" xr:uid="{AF4F8D57-B138-4DFF-A550-5E30DA2D9C56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I36" authorId="0" shapeId="0" xr:uid="{4818C1D8-FF7F-49ED-AA61-81159E135C3E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O36" authorId="0" shapeId="0" xr:uid="{0D39CA76-2C72-463E-9121-E15BA59F3DF1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U36" authorId="0" shapeId="0" xr:uid="{7A0C3394-F332-4C90-A198-F9875BDF01A1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AA36" authorId="0" shapeId="0" xr:uid="{919E169F-BB28-4825-BF00-44B3F2B62CB8}">
      <text>
        <r>
          <rPr>
            <b/>
            <sz val="11"/>
            <color indexed="81"/>
            <rFont val="Tahoma"/>
            <family val="2"/>
          </rPr>
          <t>2nd-4th</t>
        </r>
      </text>
    </comment>
    <comment ref="AG36" authorId="0" shapeId="0" xr:uid="{BE91DB0D-34F8-4CB0-B30A-FB0F725DB29C}">
      <text>
        <r>
          <rPr>
            <b/>
            <sz val="11"/>
            <color indexed="81"/>
            <rFont val="Tahoma"/>
            <family val="2"/>
          </rPr>
          <t>2nd-4th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tc={7E6E21DF-4D68-493A-A10B-5CF5BDFB5EBA}</author>
    <author>tc={1CD325E5-2436-48EF-928E-10741AB9DA85}</author>
  </authors>
  <commentList>
    <comment ref="D1041" authorId="0" shapeId="0" xr:uid="{7E6E21DF-4D68-493A-A10B-5CF5BDFB5EBA}">
      <text>
        <t>[Threaded comment]
Your version of Excel allows you to read this threaded comment; however, any edits to it will get removed if the file is opened in a newer version of Excel. Learn more: https://go.microsoft.com/fwlink/?linkid=870924
Comment:
    Guitar Lesson for $50</t>
      </text>
    </comment>
    <comment ref="D1043" authorId="1" shapeId="0" xr:uid="{1CD325E5-2436-48EF-928E-10741AB9DA85}">
      <text>
        <t>[Threaded comment]
Your version of Excel allows you to read this threaded comment; however, any edits to it will get removed if the file is opened in a newer version of Excel. Learn more: https://go.microsoft.com/fwlink/?linkid=870924
Comment:
    Pie, groceries for Gladys, house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Baumgarten, Allen</author>
  </authors>
  <commentList>
    <comment ref="E79" authorId="0" shapeId="0" xr:uid="{45A0512C-2483-41A0-8FCD-66B042784BC1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20 for tutoring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Baumgarten, Allen</author>
  </authors>
  <commentList>
    <comment ref="AC10" authorId="0" shapeId="0" xr:uid="{6E8A61F5-BFA1-4E2A-900F-722D3F3E1EC1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$100 sent through BillPay on 9/4.  Earlier one sent on 8/14.</t>
        </r>
      </text>
    </comment>
    <comment ref="O25" authorId="0" shapeId="0" xr:uid="{14195DB6-080B-4C11-BB04-1933E662E515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--Pay the balance of $437 due to Boca Reg Med Ctr
--Give $200 to Austin Peay</t>
        </r>
      </text>
    </comment>
    <comment ref="AC25" authorId="0" shapeId="0" xr:uid="{4F36FD0E-BE14-46D4-981B-3C986E0C2EE1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Pay $300 towards Fender amp; balance in October.</t>
        </r>
      </text>
    </comment>
    <comment ref="AI25" authorId="0" shapeId="0" xr:uid="{334483E6-EDE3-4614-98F5-4E667184AFFE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Pay balance on Fender amp.</t>
        </r>
      </text>
    </comment>
    <comment ref="Q37" authorId="0" shapeId="0" xr:uid="{C891C648-9030-4977-9A7B-AE559BFF08F3}">
      <text>
        <r>
          <rPr>
            <b/>
            <sz val="9"/>
            <color indexed="81"/>
            <rFont val="Tahoma"/>
            <family val="2"/>
          </rPr>
          <t>Baumgarten, Allen:</t>
        </r>
        <r>
          <rPr>
            <sz val="9"/>
            <color indexed="81"/>
            <rFont val="Tahoma"/>
            <family val="2"/>
          </rPr>
          <t xml:space="preserve">
Airline tics to San Fran</t>
        </r>
      </text>
    </comment>
  </commentList>
</comments>
</file>

<file path=xl/sharedStrings.xml><?xml version="1.0" encoding="utf-8"?>
<sst xmlns="http://schemas.openxmlformats.org/spreadsheetml/2006/main" count="10382" uniqueCount="2144">
  <si>
    <t>May, 2018</t>
  </si>
  <si>
    <t>Jun, 2018</t>
  </si>
  <si>
    <t>Fcst/</t>
  </si>
  <si>
    <t>Budget</t>
  </si>
  <si>
    <t>Actual</t>
  </si>
  <si>
    <t>Income</t>
  </si>
  <si>
    <t>CTCA</t>
  </si>
  <si>
    <t>Condo</t>
  </si>
  <si>
    <t>HOA</t>
  </si>
  <si>
    <t>Subtotal:</t>
  </si>
  <si>
    <t>Expenses</t>
  </si>
  <si>
    <t>Mortgage</t>
  </si>
  <si>
    <t>Rent</t>
  </si>
  <si>
    <t>Auto Insurance</t>
  </si>
  <si>
    <t>Cell Phone</t>
  </si>
  <si>
    <t>Groceries</t>
  </si>
  <si>
    <t>Gas</t>
  </si>
  <si>
    <t>Eating Out</t>
  </si>
  <si>
    <t>Entertainment</t>
  </si>
  <si>
    <t>Coffees</t>
  </si>
  <si>
    <t>Misc</t>
  </si>
  <si>
    <t>For Sam; house</t>
  </si>
  <si>
    <t>Condo Extra Princ</t>
  </si>
  <si>
    <t>Car Extra Princ</t>
  </si>
  <si>
    <t>Opening Cash Balance:</t>
  </si>
  <si>
    <t>Closing Cash Balance:</t>
  </si>
  <si>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</si>
  <si>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</si>
  <si>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</si>
  <si>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</si>
  <si>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</si>
  <si>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</si>
  <si>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</si>
  <si>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</si>
  <si>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POS DEBIT                WAL-MART #1589            DELRAY BEACH FL</t>
  </si>
  <si>
    <t>MISC_DEBIT</t>
  </si>
  <si>
    <t>POS DEBIT                COSTCO WHSE #0345         BOCA RATON   FL</t>
  </si>
  <si>
    <t>POS DEBIT                PETSMART # 2113           DELRAY BEACH FL</t>
  </si>
  <si>
    <t>POS DEBIT                OUTBACK #1082             DELRAY BCH.  FL</t>
  </si>
  <si>
    <t>POS DEBIT                TIPSY BOAR                HOLLYWOOD    FL</t>
  </si>
  <si>
    <t>POS DEBIT                HOLLYWD TOWN PKG ON ST    HOLLYWOOD    FL</t>
  </si>
  <si>
    <t>POS DEBIT                SUNSHINE # 30010          POMPANO BEAC FL</t>
  </si>
  <si>
    <t>POS DEBIT                STARBUCKS STORE 11609     HOLLYWOOD    FL</t>
  </si>
  <si>
    <t>POS DEBIT                BARNESNOBLE 1400 GLADES   BOCA RATON   FL</t>
  </si>
  <si>
    <t>POS DEBIT                SUNPASS OPERATIONS       BOCA RATON    FL</t>
  </si>
  <si>
    <t>BARNESNOBLE 1400 Glade BOCA RATON FL 353899  05/18</t>
  </si>
  <si>
    <t>DEBIT_CARD</t>
  </si>
  <si>
    <t>CHILI'S THE CREEK FORT LAUDERDA FL           05/18</t>
  </si>
  <si>
    <t>STARBUCKS STORE 2971 FORT LAUDERDA FL        05/17</t>
  </si>
  <si>
    <t>CREDIT</t>
  </si>
  <si>
    <t>CANCER TREATMENT DIRECT DEP                 PPD ID: 9111111102</t>
  </si>
  <si>
    <t>ACH_CREDIT</t>
  </si>
  <si>
    <t>PUBLIX SUPER MAR 114 POMPANO BEACH FL930791  05/17</t>
  </si>
  <si>
    <t>PEI WEI #0203  Q02 BOCA RATON FL             05/16</t>
  </si>
  <si>
    <t>DTV*DIRECTV HARDWARE 800-347-3288 CA         05/17</t>
  </si>
  <si>
    <t>CVS/PHARMACY #07 07173 BOCA RATON FL 963668  05/16</t>
  </si>
  <si>
    <t>SEMC - CAFETERIA NEWNAN GA                   05/14</t>
  </si>
  <si>
    <t>ATM WITHDRAWAL                       005587  05/15101 S POM</t>
  </si>
  <si>
    <t>ATM</t>
  </si>
  <si>
    <t>PUBLIX SUPER MAR 21230 BOCA RATON FL 625106  05/15</t>
  </si>
  <si>
    <t>FT LAUD HOLLYWOOD IN FT LAUDERDALE FL        05/14</t>
  </si>
  <si>
    <t>ATLANTA CHOPHOUSE ATL ATLANTA GA             05/14</t>
  </si>
  <si>
    <t>HOME2 SUITES NEWNAN/AT NEWNAN GA             05/15</t>
  </si>
  <si>
    <t>Tipsy Boar Hollywood FL                      05/13</t>
  </si>
  <si>
    <t>SEMC - PHARMACY NEWNAN GA            652769  05/14</t>
  </si>
  <si>
    <t>TACO MAC 15 NEWNAN GA                        05/13</t>
  </si>
  <si>
    <t>STIRLING PETROL FORT LAUDERDA FL             05/13</t>
  </si>
  <si>
    <t>STARBUCKS STORE 11609 HOLLYWOOD FL           05/12</t>
  </si>
  <si>
    <t>PUBLIX SUPER MAR 21230 BOCA RATON FL 557896  05/12</t>
  </si>
  <si>
    <t>WHOLEFDS BCA 101 1400B BOCA RATON FL 752019  05/12</t>
  </si>
  <si>
    <t>BARNESNOBLE 1400 Glade BOCA RATON FL 812640  05/12</t>
  </si>
  <si>
    <t>SUPERCUTS BOCA RATON FL              365125  05/11</t>
  </si>
  <si>
    <t>CHILI'S THE CREEK FORT LAUDERDA FL           05/10</t>
  </si>
  <si>
    <t>TOTAL WINE AND MORE 90 BOCA RATON FL 298172  05/10</t>
  </si>
  <si>
    <t>PEI WEI #0203  Q02 BOCA RATON FL             05/09</t>
  </si>
  <si>
    <t>ATM WITHDRAWAL                       001432  05/09101 S POM</t>
  </si>
  <si>
    <t>TST* BRASS TAPS - FT FORT LAUDERDA FL        05/09</t>
  </si>
  <si>
    <t>INVASIVE SPECIES BRE FORT LAUDERDA FL        05/08</t>
  </si>
  <si>
    <t>CYPRESS CREEK MA FORT LAUDERDA FL    716190  05/08</t>
  </si>
  <si>
    <t>PUBLIX SUPER MAR 5050 BOCA RATON FL  537431  05/08</t>
  </si>
  <si>
    <t>CHILI'S THE CREEK FORT LAUDERDA FL           05/07</t>
  </si>
  <si>
    <t>Tipsy Boar Hollywood FL                      05/06</t>
  </si>
  <si>
    <t>PUBLIX SUPER MAR 5050 BOCA RATON FL          05/07 Purchase $25.01 Cash Back $20.00</t>
  </si>
  <si>
    <t>CDD SELF PARKING GARAGE HOLLYWOOD FL         05/06</t>
  </si>
  <si>
    <t>STARBUCKS STORE 11609 HOLLYWOOD FL           05/06</t>
  </si>
  <si>
    <t>PEI WEI #0203  Q02 BOCA RATON FL             05/06</t>
  </si>
  <si>
    <t>PUBLIX SUPER MAR 21230 BOCA RATON FL         05/06 Purchase $32.09 Cash Back $20.00</t>
  </si>
  <si>
    <t>BARNESNOBLE 1400 Glade BOCA RATON FL 704513  05/05</t>
  </si>
  <si>
    <t>BARNESNOBLE 1400 Glade BOCA RATON FL 754445  05/05</t>
  </si>
  <si>
    <t>SQUARE ONE AMERICAN RE 561-9239176 FL        05/03</t>
  </si>
  <si>
    <t>SHELL Service Station BOCA RATON FL  061321  05/04</t>
  </si>
  <si>
    <t>PUBLIX SUPER MAR 21230 BOCA RATON FL         05/04 Purchase $9.36 Cash Back $20.00</t>
  </si>
  <si>
    <t>COSTCO WHSE #0345 BOCA RATON FL      027899  05/04</t>
  </si>
  <si>
    <t>DSLIP</t>
  </si>
  <si>
    <t>DEPOSIT  ID NUMBER 725414</t>
  </si>
  <si>
    <t>DEPOSIT</t>
  </si>
  <si>
    <t>STARBUCKS STORE 08588 BOCA RATON FL          05/01</t>
  </si>
  <si>
    <t>FAU- TRAFFIC &amp; PARKING BOCA RATON FL         05/01</t>
  </si>
  <si>
    <t>BARNESNOBLE 1400 Glade BOCA RATON FL 608051  05/01</t>
  </si>
  <si>
    <t>CHILI'S THE CREEK FORT LAUDERDA FL           04/30</t>
  </si>
  <si>
    <t>STARBUCKS STORE 0847 POMPANO BEACH FL        04/30</t>
  </si>
  <si>
    <t>STARBUCKS STORE 08588 BOCA RATON FL          04/30</t>
  </si>
  <si>
    <t>HOLLYWOOD BEACH GARAGE HOLLYWOOD FL          04/29</t>
  </si>
  <si>
    <t>Giorgio's Bakery &amp; Bist hollywood FL         04/29</t>
  </si>
  <si>
    <t>INTEREST PAYMENT</t>
  </si>
  <si>
    <t>MISC_CREDIT</t>
  </si>
  <si>
    <t>KMF              KMFUSA.com                 PPD ID: 9200704262</t>
  </si>
  <si>
    <t>ACH_DEBIT</t>
  </si>
  <si>
    <t>PUBLIX SUPER MAR 21230 BOCA RATON FL 607278  04/30</t>
  </si>
  <si>
    <t>CHILI'S THE CREEK FORT LAUDERDA FL           04/29</t>
  </si>
  <si>
    <t>ATM WITHDRAWAL                       003734  04/29101 S POM</t>
  </si>
  <si>
    <t>CHEVRON 0308377 POMPANO BEACH FL             04/29</t>
  </si>
  <si>
    <t>TIPSY BOAR HOLLYWOOD FL                      04/28</t>
  </si>
  <si>
    <t>STIRLING PETROL FORT LAUDERDA FL             04/28</t>
  </si>
  <si>
    <t>BARNESNOBLE 1400 Glade BOCA RATON FL 211830  04/28</t>
  </si>
  <si>
    <t>BARNESNOBLE 1400 Glade BOCA RATON FL 653300  04/28</t>
  </si>
  <si>
    <t>BARNESNOBLE 1400 Glade BOCA RATON FL 759886  04/28</t>
  </si>
  <si>
    <t>BARNESNOBLE 1400 Glade BOCA RATON FL 758511  04/28</t>
  </si>
  <si>
    <t>WORLD OF BEER PLANTATION FL                  04/26</t>
  </si>
  <si>
    <t>SWEET TOMATOES 80 Q14 BOCA RATON FL          04/25</t>
  </si>
  <si>
    <t>SHELL Service Station BOCA RATON FL  060354  04/25</t>
  </si>
  <si>
    <t>CVS/PHARMACY #03 03818 BOCA RATON FL 062382  04/25</t>
  </si>
  <si>
    <t>NON-CHASE ATM WITHDRAW               201558  04/2421230 SAI</t>
  </si>
  <si>
    <t>21230 SAINT ANDREWS BLV BOCA RATON FL201558  04/24</t>
  </si>
  <si>
    <t>ATM WITHDRAWAL                       001385  04/225950 GLAD</t>
  </si>
  <si>
    <t>ATM WITHDRAWAL                       008463  04/21101 S POM</t>
  </si>
  <si>
    <t>ATM WITHDRAWAL                       006668  04/215950 GLAD</t>
  </si>
  <si>
    <t>Transfer from CHK XXXXX3721</t>
  </si>
  <si>
    <t>ACCT_XFER</t>
  </si>
  <si>
    <t>ATM CHECK DEPOSIT 04/21 5950 GLADES RD BOCA RATON FL</t>
  </si>
  <si>
    <t>ATM_DEPOSIT</t>
  </si>
  <si>
    <t>Jul, 2018</t>
  </si>
  <si>
    <t>Delta</t>
  </si>
  <si>
    <t>Dec, 2018</t>
  </si>
  <si>
    <t>Nov, 2018</t>
  </si>
  <si>
    <t>Oct, 2018</t>
  </si>
  <si>
    <t>Sep, 2018</t>
  </si>
  <si>
    <t>Aug, 2018</t>
  </si>
  <si>
    <t>Gym</t>
  </si>
  <si>
    <t>= to be recorded; clear cells are recorded</t>
  </si>
  <si>
    <t>ORIG CO NAME:KMF              CO ENTRY DESCR:KMFUSA.com SEC:PPD                        ORIG ID:9200704262</t>
  </si>
  <si>
    <t>POS DEBIT                CHILIS THE CREEK          FORT LAUDERD FL</t>
  </si>
  <si>
    <t>ATM DEBIT 101 S POMPANO PKWY       POMPANO BEACHFL</t>
  </si>
  <si>
    <t>POS DEBIT                WM SUPERC WAL-MART SUP    POMPANO      FL</t>
  </si>
  <si>
    <t>POS DEBIT                WHISKEY TANGO ALL AMERI   HOLLYWOOD    FL</t>
  </si>
  <si>
    <t>POS DEBIT                HOLLYWD BCH PKG-ON STR    HOLLYWOOD    FL</t>
  </si>
  <si>
    <t>POS DEBIT                MARATHON PETRO149062      BOCA RATON   FL</t>
  </si>
  <si>
    <t>POS DEBIT                RAW JUCE                  BOCA RATON   FL</t>
  </si>
  <si>
    <t>POS DEBIT                FT LAUD HOLLYWOOD INTL    FT LAUDERDAL FL</t>
  </si>
  <si>
    <t>POS DEBIT                LYFT   *PENDING           SAN FRANCISC CA</t>
  </si>
  <si>
    <t>POS DEBIT                DINICS BEEF AND PORK      PHILADELPHIA PA</t>
  </si>
  <si>
    <t>POS DEBIT                PHILADELPHIA MUSEUM OF    PHILADELPHIA PA</t>
  </si>
  <si>
    <t>POS DEBIT                KAMAL MIDDLE EASTERN SP   PHILADELPHIA PA</t>
  </si>
  <si>
    <t>POS DEBIT                DOWNTOWN CHEESE           PHILADELPHIA PA</t>
  </si>
  <si>
    <t>POS DEBIT                OLD CITY COFFEE  - 2 RT   PHILADELPHIA PA</t>
  </si>
  <si>
    <t>POS DEBIT                PROFI'S CREPERIE I        PHILADELPHIA PA</t>
  </si>
  <si>
    <t>POS DEBIT                FOUR POINTS BY SHERATO    PHILADELPHIA PA</t>
  </si>
  <si>
    <t>POS DEBIT                TST* INDEPENDENC          PHILADELPHIA PA</t>
  </si>
  <si>
    <t>POS DEBIT                OLYMPIA GYRO              PHILADELPHIA PA</t>
  </si>
  <si>
    <t>POS DEBIT                THE FRANKLIN INSTITUTE    PHILADELPHIA PA</t>
  </si>
  <si>
    <t>POS DEBIT                COMMISSARY AT THE FRANK   PHILADELPHIA PA</t>
  </si>
  <si>
    <t>POS DEBIT                PMOA ADMISSIONS           PHILADELPHIA PA</t>
  </si>
  <si>
    <t>POS DEBIT                SWEET AS FUDGE CANDY S    PHILADELPHIA PA</t>
  </si>
  <si>
    <t>POS DEBIT                KAUFFMANS LANCASTER CO    PHILADELPHIA PA</t>
  </si>
  <si>
    <t>POS DEBIT                BEILERS DONUTS            PHILADELPHIA PA</t>
  </si>
  <si>
    <t>POS DEBIT                FOUR POINTS BY SHERATO   PHILADELPHIA  PA</t>
  </si>
  <si>
    <t>POS DEBIT                LYFT   *PENDING          SAN FRANCISC  CA</t>
  </si>
  <si>
    <t>POS DEBIT                YARDS BREWING CO         PHILADELPHIA  PA</t>
  </si>
  <si>
    <t>POS DEBIT                ERMC-CAFETERIA           PHILADELPHIA  PA</t>
  </si>
  <si>
    <t>POS DEBIT                LYFT   *CANCEL FEE       SAN FRANCISC  CA</t>
  </si>
  <si>
    <t>POS DEBIT                LORI'S GIFTS STORE #481  PHILADELPHIA  PA</t>
  </si>
  <si>
    <t>MAGGIANOS 12TH &amp; FILB PHILADELPHIA PA        05/24</t>
  </si>
  <si>
    <t>ERMC-CAFETERIA PHILADELPHIA PA               05/24</t>
  </si>
  <si>
    <t>LYFT   *RIDE THU 7AM LYFT.COM CA             05/24</t>
  </si>
  <si>
    <t>FOUR POINTS BY SHERAT PHILADELPHIA PA        05/24</t>
  </si>
  <si>
    <t>FOUR POINTS BY SHERAT PHILADELPHIA PA        05/25</t>
  </si>
  <si>
    <t>MAGGIANOS 12TH &amp; FILB PHILADELPHIA PA        05/23</t>
  </si>
  <si>
    <t>LYFT   *RIDE WED 6PM LYFT.COM CA             05/23</t>
  </si>
  <si>
    <t>ERMC-CAFETERIA PHILADELPHIA PA               05/23</t>
  </si>
  <si>
    <t>ERMC PHARMACY PHILADELPHIA PA                05/23</t>
  </si>
  <si>
    <t>LYFT   *RIDE WED 7AM LYFT.COM CA             05/23</t>
  </si>
  <si>
    <t>FOUR POINTS BY SHERAT PHILADELPHIA PA        05/23</t>
  </si>
  <si>
    <t>LYFT   *RIDE TUE 9PM LYFT.COM CA             05/22</t>
  </si>
  <si>
    <t>LYFT   *RIDE TUE 7PM LYFT.COM CA             05/22</t>
  </si>
  <si>
    <t>MARSHALLS 1026 MARKET PHILADELPHIA PA        05/23</t>
  </si>
  <si>
    <t>LYFT   *CANCEL FEE LYFT.COM CA               05/22</t>
  </si>
  <si>
    <t>LYFT   *RIDE TUE 6PM LYFT.COM CA             05/22</t>
  </si>
  <si>
    <t>FORT LAUDERDALE AIRP FORT LAUDERDA FL        05/22</t>
  </si>
  <si>
    <t>BOCAS PREMIER DRY YAMAT BOCA RATON FL        05/22</t>
  </si>
  <si>
    <t>Tipsy Boar Hollywood FL                      05/20</t>
  </si>
  <si>
    <t>MARSHALLS 8180 GLADES BOCA RATON FL          05/21</t>
  </si>
  <si>
    <t>Class</t>
  </si>
  <si>
    <t>Auto Pmt</t>
  </si>
  <si>
    <t>Business Travel</t>
  </si>
  <si>
    <t>Travel</t>
  </si>
  <si>
    <t>Dry Cleaning</t>
  </si>
  <si>
    <t>Paycheck</t>
  </si>
  <si>
    <t>Withdrawal</t>
  </si>
  <si>
    <t>Haircut</t>
  </si>
  <si>
    <t>Month</t>
  </si>
  <si>
    <t>May</t>
  </si>
  <si>
    <t>Apr</t>
  </si>
  <si>
    <t>Cash</t>
  </si>
  <si>
    <t>Juicer</t>
  </si>
  <si>
    <t>Grand Total</t>
  </si>
  <si>
    <t>Sum of Amount</t>
  </si>
  <si>
    <t>(All)</t>
  </si>
  <si>
    <t>Sam/house</t>
  </si>
  <si>
    <t>Transfer</t>
  </si>
  <si>
    <t>Condo Income</t>
  </si>
  <si>
    <t>Int Pmt</t>
  </si>
  <si>
    <t>Savings(Loss)</t>
  </si>
  <si>
    <t>May-Dec, 2018</t>
  </si>
  <si>
    <t>budgeted</t>
  </si>
  <si>
    <t>actual</t>
  </si>
  <si>
    <t>shorts</t>
  </si>
  <si>
    <t>lunch</t>
  </si>
  <si>
    <t>DONE</t>
  </si>
  <si>
    <t>Tue night</t>
  </si>
  <si>
    <t>Wed morning</t>
  </si>
  <si>
    <t>Wed night</t>
  </si>
  <si>
    <t>Thur morning</t>
  </si>
  <si>
    <t>Thur night (dinner)</t>
  </si>
  <si>
    <t>Snack</t>
  </si>
  <si>
    <t>WHISKTY TANGO ALL AMERICAN HOLLYWOOD FL</t>
  </si>
  <si>
    <t>POS DEBIT SHELL SERVICE STATION BOCA RATON FL</t>
  </si>
  <si>
    <t>POS DEBIT DUNKIN #353914 Q35 BOCA RATON FL</t>
  </si>
  <si>
    <t>POS DEBIT CVS/PHARM 03818--21140 BOCA RATON FL</t>
  </si>
  <si>
    <t>WITHDRAWAL FOR SAM'S BIRTHDAY GIFT</t>
  </si>
  <si>
    <t>&lt;--- update with ending May balance!</t>
  </si>
  <si>
    <t>Paychecks</t>
  </si>
  <si>
    <t>To do:</t>
  </si>
  <si>
    <t>Jun</t>
  </si>
  <si>
    <t>Jul</t>
  </si>
  <si>
    <t>Aug</t>
  </si>
  <si>
    <t>Sep</t>
  </si>
  <si>
    <t>Oct</t>
  </si>
  <si>
    <t>Nov</t>
  </si>
  <si>
    <t>Dec</t>
  </si>
  <si>
    <t>Wire Gladys some cash, including</t>
  </si>
  <si>
    <t>$298 for Gardens North hitting</t>
  </si>
  <si>
    <t>between Jun 5-10th</t>
  </si>
  <si>
    <t>POS DEBIT HEALTHY FAMILY DENTIST COCONUT CREEK</t>
  </si>
  <si>
    <t>POS DEBIT BOCAS PREMIER DRY YAMA BOCA RATON</t>
  </si>
  <si>
    <t>Look for:</t>
  </si>
  <si>
    <t>$248.61 for Hope Joy Pride</t>
  </si>
  <si>
    <t>$1,588.42 for Philly Trip</t>
  </si>
  <si>
    <t>$500 from KIA</t>
  </si>
  <si>
    <t>Transfer from CHK XXXXX1115 to cover $298 condo fees</t>
  </si>
  <si>
    <t>Transfer from CHK XXXXX1115 to cover $100 for cell</t>
  </si>
  <si>
    <t>Transfer from CHK XXXXX1115 to cover $102 for auto insurance/other</t>
  </si>
  <si>
    <t>ORIG CO NAME:WF HOME MTG      CO ENTRY DESCR:AUTO PAY   SEC:PPD                        ORIG ID:W952318940</t>
  </si>
  <si>
    <t>POS DEBIT                STARBUCKS STORE 08476     POMPANO BEAC FL</t>
  </si>
  <si>
    <t>POS DEBIT                PEI WEI #0203  Q02        BOCA RATON   FL</t>
  </si>
  <si>
    <t>POS DEBIT                210 WEST BOCA MEDICAL C   BOCA RATON   FL</t>
  </si>
  <si>
    <t>POS DEBIT                HOLLYWOOD BEACH GARAGE    HOLLYWOOD    FL</t>
  </si>
  <si>
    <t>POS DEBIT                QUICKMART                 HALLANDALE   FL</t>
  </si>
  <si>
    <t>POS DEBIT                WHOLEFDS BCA 101 1400B    BOCA RATON   FL</t>
  </si>
  <si>
    <t>POS DEBIT                BOCAS PREMIER DRY YAMA   BOCA RATON    FL</t>
  </si>
  <si>
    <t>Fcst only</t>
  </si>
  <si>
    <t>PUBLIX SUPER MAR 21230 BOCA RATON FL 817091  06/04</t>
  </si>
  <si>
    <t>POS DEBIT                REGAL CINEMSA CYPRESS C   FT LAUDERDAL FL</t>
  </si>
  <si>
    <t>POS DEBIT                HOOTERS OF FT. LAU        FT LAUDERDAL FL</t>
  </si>
  <si>
    <t>POS DEBIT                RACETRAC469               POMPANO BCH  FL</t>
  </si>
  <si>
    <t>POS DEBIT                SHELL SERVICE STATION     HOLLYWOOD    FL</t>
  </si>
  <si>
    <t>POS DEBIT                PICANHA BRAZIL STEAK H   BOCA RATON    FL</t>
  </si>
  <si>
    <t>PUBLIX SUPER MAR 5050 BOCA RATON FL  042305  06/08</t>
  </si>
  <si>
    <t>WOB COCONUT CREEK COCONUT CREEK FL           06/07</t>
  </si>
  <si>
    <t>PUBLIX SUPER MAR 5050 BOCA RATON FL  757540  06/07</t>
  </si>
  <si>
    <t>CHILI'S THE CREEK FORT LAUDERDA FL           06/07</t>
  </si>
  <si>
    <t>UROMEDIX-EU6 SUNRISE FL                      06/06</t>
  </si>
  <si>
    <t>RACETRAC121 OAKLAND PARK FL          080554  06/06</t>
  </si>
  <si>
    <t>BARNESNOBLE 1400 Glade BOCA RATON FL 957984  06/05</t>
  </si>
  <si>
    <t>BARNESNOBLE 1400 Glade BOCA RATON FL 637836  06/05</t>
  </si>
  <si>
    <t>OCEANSIDE PARKING LO POMPANO BEACH FL        06/04</t>
  </si>
  <si>
    <t>POS DEBIT                PUBLIX SUPER MAR 5050 C   BOCA RATON   FL</t>
  </si>
  <si>
    <t>POS DEBIT                EINSTEIN BROS BAGELS077   BOCA RATON   FL</t>
  </si>
  <si>
    <t>POS DEBIT                THE SEED                  BOCA RATON   FL</t>
  </si>
  <si>
    <t>POS DEBIT                Two Georges at the Cove  Deerfield Be  FL</t>
  </si>
  <si>
    <t>POS DEBIT                DUNKIN #353914 Q35       BOCA RATON    FL</t>
  </si>
  <si>
    <t>ORIG CO NAME:CANCER TREATMENT CO ENTRY DESCR:DIRECT DEP SEC:PPD                        ORIG ID:9111111102</t>
  </si>
  <si>
    <t>PUBLIX SUPER MAR 21230 BOCA RATON FL 636260  06/14</t>
  </si>
  <si>
    <t>BARNESNOBLE 1400 Glade BOCA RATON FL 901907  06/14</t>
  </si>
  <si>
    <t>PUBLIX SUPER MAR 5050 BOCA RATON FL  124393  06/14</t>
  </si>
  <si>
    <t>PUBLIX SUPER MAR 21230 BOCA RATON FL 726038  06/13</t>
  </si>
  <si>
    <t>BIERGARTEN BOCA RATON FL                     06/12</t>
  </si>
  <si>
    <t>PUBLIX SUPER MAR 21230 BOCA RATON FL 349659  06/12</t>
  </si>
  <si>
    <t>BARNESNOBLE 1400 Glade BOCA RATON FL 539262  06/12</t>
  </si>
  <si>
    <t>WHOLEFDS BCA 101 1400B BOCA RATON FL 643212  06/12</t>
  </si>
  <si>
    <t>BARNESNOBLE 1400 Glade BOCA RATON FL 906088  06/12</t>
  </si>
  <si>
    <t>Tipsy Boar Hollywood FL                      06/10</t>
  </si>
  <si>
    <t>Jun Total</t>
  </si>
  <si>
    <t>FORECASTED</t>
  </si>
  <si>
    <t>DEPOSIT  ID NUMBER 257919</t>
  </si>
  <si>
    <t>DUNKIN #353914 Q35 BOCA RATON FL             06/14</t>
  </si>
  <si>
    <t>1400 GLADES ROAD, BOCA RATON FL      538524  06/16</t>
  </si>
  <si>
    <t>GLADES ROAD MAR BOCA RATON FL                06/15</t>
  </si>
  <si>
    <t>POS DEBIT                MCDONALD'S F29261        BOCA RATON    FL</t>
  </si>
  <si>
    <t>TOTAL WINE AND MORE 90 BOCA RATON FL 271956  06/20</t>
  </si>
  <si>
    <t>NORTH PAVILION PARKI DEERFIELD BEA FL        06/19</t>
  </si>
  <si>
    <t>HAIR CUTTERY #3983 BOCA RATON FL             06/20</t>
  </si>
  <si>
    <t>BARNESNOBLE 1400 Glade BOCA RATON FL 234383  06/19</t>
  </si>
  <si>
    <t>PUBLIX SUPER MAR 5050 BOCA RATON FL  754248  06/19</t>
  </si>
  <si>
    <t>CHILI'S THE CREEK FORT LAUDERDA FL           06/18</t>
  </si>
  <si>
    <t>THE SEED BOCA RATON FL                       06/19</t>
  </si>
  <si>
    <t>SAM ASH MUSIC #32 MARGATE FL                 06/17</t>
  </si>
  <si>
    <t>Tipsy Boar Hollywood FL                      06/17</t>
  </si>
  <si>
    <t>PUBLIX SUPER MAR 5050 BOCA RATON FL  501229  06/18</t>
  </si>
  <si>
    <t>BARNESNOBLE 1400 Glade BOCA RATON FL 924351  06/17</t>
  </si>
  <si>
    <t>WHOLEFDS BCA 101 1400B BOCA RATON FL         06/17 Purchase $6.95 Cash Back $20.00</t>
  </si>
  <si>
    <t>CRYSTAL LAKE CIT POMPANO BEACH FL    803468  06/17</t>
  </si>
  <si>
    <t>HOLLYWD BCH PKG-ON STRE HOLLYWOOD FL         06/16</t>
  </si>
  <si>
    <t>HOLLYWD BCH PKG-OFF STR HOLLYWOOD FL         06/16</t>
  </si>
  <si>
    <t>SQ *FRANCIS PRODUCE Hollywood FL             06/16</t>
  </si>
  <si>
    <t>AMAZON MKTPLACE PMTS AMZN.COM/BILL WA        06/17</t>
  </si>
  <si>
    <t>NON-CHASE ATM WITHDRAW               538524  06/161400 GLAD</t>
  </si>
  <si>
    <t>BARNESNOBLE 1400 Glade BOCA RATON FL 634778  06/16</t>
  </si>
  <si>
    <t>ATM -     1701 E YOUNG CIR         HOLLYWOOD    FL</t>
  </si>
  <si>
    <t>ATM DEBIT                @DOWNTOWN HOLLYWOO        HOLLYWOOD    FL</t>
  </si>
  <si>
    <t>POS DEBIT                CHEVRON/SUNSHINE #503     DAVIE        FL</t>
  </si>
  <si>
    <t>POS DEBIT                AMAZON MKTPLACE PMTS      AMZN.COM/BIL WA</t>
  </si>
  <si>
    <t>POS DEBIT                FAU- TRAFFIC &amp; PARKING    BOCA RATON   FL</t>
  </si>
  <si>
    <t>ATM DEBIT                1400 GLADES ROAD,         BOCA RATON   FL</t>
  </si>
  <si>
    <t>BIS STORE # 129 BOCA RATON FL                06/22</t>
  </si>
  <si>
    <t>CHEVRON 0308377 POMPANO BEACH FL             06/22</t>
  </si>
  <si>
    <t>SWEET TOMATOES 80 Q14 BOCA RATON FL          06/22</t>
  </si>
  <si>
    <t>SWEET TOMATOES 80 Q14 BOCA RATON FL          06/21</t>
  </si>
  <si>
    <t>ATM WITHDRAWAL                       001821  06/21101 S POM</t>
  </si>
  <si>
    <t>ATM WITHDRAWAL                       001821  06/21101 S POM Half for Tutoring</t>
  </si>
  <si>
    <t>Electric</t>
  </si>
  <si>
    <t>current balance</t>
  </si>
  <si>
    <t>Projected</t>
  </si>
  <si>
    <t>Paycheck 6/29</t>
  </si>
  <si>
    <t>Xfinity</t>
  </si>
  <si>
    <t>Netflix</t>
  </si>
  <si>
    <t>Tipsy Boar Hollywood FL                      06/24</t>
  </si>
  <si>
    <t>POS DEBIT                SWEET TOMATOES #80       BOCA RATON    FL</t>
  </si>
  <si>
    <t xml:space="preserve">CHECK 4101  </t>
  </si>
  <si>
    <t>WORLD OF BEER PLANTATION FL                  06/28</t>
  </si>
  <si>
    <t>COMCAST/XFINITY 800-266-2278 FL              06/29</t>
  </si>
  <si>
    <t>BOCAS PREMIER DRY YAMAT BOCA RATON FL        06/28</t>
  </si>
  <si>
    <t>WEST BROWARD FORT LAUDERDA FL                06/28</t>
  </si>
  <si>
    <t>BRANDSMART USA -DFB DEERFIELD BEA FL         06/28</t>
  </si>
  <si>
    <t>TOTAL WINE AND MORE 90 BOCA RATON FL 346957  06/27</t>
  </si>
  <si>
    <t>NON-CHASE ATM WITHDRAW               708040  06/2721230 SAI</t>
  </si>
  <si>
    <t>ATM WITHDRAWAL                       007984  06/27853 S FED</t>
  </si>
  <si>
    <t>21230 SAINT ANDREWS BLV BOCA RATON FL708040  06/27</t>
  </si>
  <si>
    <t>ATM WITHDRAWAL                       008281  06/265950 GLAD</t>
  </si>
  <si>
    <t>WITHDRAWAL 06/26</t>
  </si>
  <si>
    <t>POS DEBIT                WM SUPERC WAL-MART SUP    BOCA RATON   FL</t>
  </si>
  <si>
    <t>POS DEBIT                PUBLIX SUPER MAR 1001 S   BOCA RATON   FL</t>
  </si>
  <si>
    <t>ATM CREDIT               00000000000               ISA980400000 00</t>
  </si>
  <si>
    <t>POS DEBIT                CVS/PHARM 03275--686 G    BOCA RATON   FL</t>
  </si>
  <si>
    <t>POS DEBIT                DUFFY'S OF BOCA           BOCA RATON   FL</t>
  </si>
  <si>
    <t>POS DEBIT                WM SUPERC WAL-MART SUP    SUNRISE (W)  FL</t>
  </si>
  <si>
    <t>POS DEBIT                IKEA SUNRISE              SUNRISE      FL</t>
  </si>
  <si>
    <t>WITHDRAWAL</t>
  </si>
  <si>
    <t>ATM DEP - 5950 GLADES RD           BOCA RATON   FL</t>
  </si>
  <si>
    <t>POS DEBIT                TRANSFERRED $75 FOR CELL, GYM, OTHER ON 7/2</t>
  </si>
  <si>
    <t>POS DEBIT                HERTZ RENT A CAR         OKLAHOMA CIT  OK</t>
  </si>
  <si>
    <t>POS DEBIT                PRIP MART 299            BOCA RATON    FL</t>
  </si>
  <si>
    <t>POS DEBIT                TRAVEL INSURANCE POLIC   RICHMOND      VA</t>
  </si>
  <si>
    <t>POS DEBIT                BIERGARTEN               BOCA RATON    FL</t>
  </si>
  <si>
    <t>POS DEBIT                MENCHIE'S BOCA RATON     BOCA RATON    FL</t>
  </si>
  <si>
    <t>THE GARDENS NORT LOCKBOX                    PPD ID: 1592314821</t>
  </si>
  <si>
    <t>BARNESNOBLE 1400 Glade BOCA RATON FL 841015  08/06</t>
  </si>
  <si>
    <t>PUBLIX SUPER MAR 1001 BOCA RATON FL  030687  08/05</t>
  </si>
  <si>
    <t>SUPERCUTS BOCA RATON FL              329466  08/05</t>
  </si>
  <si>
    <t>WAL-MART #3858 BOCA RATON FL                 08/05</t>
  </si>
  <si>
    <t>ROBOT BREWING COMPANY BOCA RATON FL          08/04</t>
  </si>
  <si>
    <t>ATM WITHDRAWAL                       002238  08/048285 W SU</t>
  </si>
  <si>
    <t>MENCHIE'S BOCA RATON BOCA RATON FL           08/03</t>
  </si>
  <si>
    <t>SWEET TOMATOES 80 Q14 BOCA RATON FL          08/03</t>
  </si>
  <si>
    <t>PRICELINE*HOTEL ROOMS 800-774-2354 CT        08/03</t>
  </si>
  <si>
    <t>DEPOSIT  ID NUMBER 813077</t>
  </si>
  <si>
    <t>BARNESNOBLE 1400 Glade BOCA RATON FL 535635  08/03</t>
  </si>
  <si>
    <t>PEI WEI #0203  Q02 BOCA RATON FL             08/02</t>
  </si>
  <si>
    <t>WF HOME MTG      AUTO PAY                   PPD ID: W952318940</t>
  </si>
  <si>
    <t>NETFLIX.COM NETFLIX.COM CA                   08/02</t>
  </si>
  <si>
    <t>APL* ITUNES.COM/BILL 866-712-7753 CA         08/02</t>
  </si>
  <si>
    <t>PRIP MART 299 BOCA RATON FL          053850  08/01</t>
  </si>
  <si>
    <t>GUPPIES #33 BOCA RATON FL                    08/01</t>
  </si>
  <si>
    <t>BIERGARTEN BOCA RATON FL                     07/31</t>
  </si>
  <si>
    <t>GUITAR CENTER #783 COCONUT CREEK FL          07/31</t>
  </si>
  <si>
    <t>BOCAS PREMIER DRY YAMAT BOCA RATON FL        07/30</t>
  </si>
  <si>
    <t>Tipsy Boar Hollywood FL                      07/29</t>
  </si>
  <si>
    <t>PUBLIX SUPER MAR 1001 BOCA RATON FL  535555  07/30</t>
  </si>
  <si>
    <t>WITHDRAWAL 07/30</t>
  </si>
  <si>
    <t>TOTAL WINE AND MORE 90 BOCA RATON FL 301567  07/29</t>
  </si>
  <si>
    <t>PUBLIX SUPER MAR 7060 BOCA RATON FL  942953  07/29</t>
  </si>
  <si>
    <t>MD NOW BR (561)361-1515 BOCA RATON FL        07/29</t>
  </si>
  <si>
    <t>IKEA SUNRISE SUNRISE FL              409592  07/29</t>
  </si>
  <si>
    <t>IKEA SUNRISE SUNRISE FL              398569  07/29</t>
  </si>
  <si>
    <t>BARNESNOBLE 1400 Glade BOCA RATON FL 201006  07/29</t>
  </si>
  <si>
    <t>BARNESNOBLE 1400 Glade BOCA RATON FL 624834  07/29</t>
  </si>
  <si>
    <t>ROBOT BREWING COMPANY BOCA RATON FL          07/28</t>
  </si>
  <si>
    <t>SHELL Service Station HOLLYWOOD FL   040573  07/28</t>
  </si>
  <si>
    <t>ATM WITHDRAWAL                       007429  07/281701 E YO</t>
  </si>
  <si>
    <t>BARNESNOBLE 1400 Glade BOCA RATON FL 514820  07/28</t>
  </si>
  <si>
    <t>BARNESNOBLE 1400 Glade BOCA RATON FL 840271  07/28</t>
  </si>
  <si>
    <t>TREK BICYCLE BOCA RATON FL                   07/27</t>
  </si>
  <si>
    <t>DEPOSIT  ID NUMBER 673898</t>
  </si>
  <si>
    <t>PUBLIX SUPER MAR 1001 BOCA RATON FL          07/27 Purchase $10.30 Cash Back $20.00</t>
  </si>
  <si>
    <t>GUITAR CENTER #791 DELRAY BEACH FL           07/27</t>
  </si>
  <si>
    <t>GUITARCENTER.COM INTE 866-498-7882 CA        07/25</t>
  </si>
  <si>
    <t>WIKIMEDIAFO 415-839-6885 CA                  07/25</t>
  </si>
  <si>
    <t>PUBLIX SUPER MAR 1001 BOCA RATON FL  815987  07/25</t>
  </si>
  <si>
    <t>GUITAR CENTER #783 COCONUT CREEK FL  226703  07/25</t>
  </si>
  <si>
    <t>PEI WEI #0203  Q02 BOCA RATON FL             07/24</t>
  </si>
  <si>
    <t>BIERGARTEN BOCA RATON FL                     07/24</t>
  </si>
  <si>
    <t>ANNSFLORIST_1 FT LAUDERDALE FL               07/22</t>
  </si>
  <si>
    <t>BOCA DEL MAR'S BOCA RATON FL                 07/24</t>
  </si>
  <si>
    <t>BRANDSMART USA -DFB DEERFIELD BEA FL         07/24</t>
  </si>
  <si>
    <t>PUBLIX SUPER MAR 1001 BOCA RATON FL  910279  07/24</t>
  </si>
  <si>
    <t>DEPOSITED ITEM RETURNED       NSF 1st        099003879                                       # OF ITEMS00001CK#:0000000177                                        DEP AMT0000130000     DEP DATE072018CK AMT0000130000</t>
  </si>
  <si>
    <t>DEPOSIT_RETURN</t>
  </si>
  <si>
    <t>COMCAST/XFINITY 800-266-2278 FL              07/21</t>
  </si>
  <si>
    <t>APL* ITUNES.COM/BILL 866-712-7753 CA         07/23</t>
  </si>
  <si>
    <t>WORLD OF BEER PLANTATION FL                  07/22</t>
  </si>
  <si>
    <t>THE HOME DEPOT #0208 POMPANO BEACH FL        07/22 Purchase $47.79 Cash Back $40.00</t>
  </si>
  <si>
    <t>STIRLING PETROL FORT LAUDERDA FL             07/21</t>
  </si>
  <si>
    <t>GUITAR CENTER #770 HALLANDALE FL             07/21</t>
  </si>
  <si>
    <t>PUBLIX SUPER MAR 1740 HOLLYWOOD FL   855350  07/21</t>
  </si>
  <si>
    <t>BARNESNOBLE 1400 Glade BOCA RATON FL 664972  07/21</t>
  </si>
  <si>
    <t>BARNESNOBLE 1400 Glade BOCA RATON FL 639818  07/21</t>
  </si>
  <si>
    <t>BEER TRADE CO DELRAY BEACH FL                07/21</t>
  </si>
  <si>
    <t>CITY OF DELRAY BEACH DELRAY BEACH FL         07/21</t>
  </si>
  <si>
    <t>THE HOME DEPOT #0208 POMPANO BEACH FL085266  07/22</t>
  </si>
  <si>
    <t>CAMINO REAL MOB BOCA RATON FL                07/20</t>
  </si>
  <si>
    <t>PEI WEI #0203  Q02 BOCA RATON FL             07/19</t>
  </si>
  <si>
    <t>ATM CHECK DEPOSIT 07/20 714 NW 51ST ST BOCA RATON FL</t>
  </si>
  <si>
    <t>DUNKIN #353914 Q35 BOCA RATON FL             07/18</t>
  </si>
  <si>
    <t>CHECK</t>
  </si>
  <si>
    <t xml:space="preserve">CHECK 4102  </t>
  </si>
  <si>
    <t>CHECK_PAID</t>
  </si>
  <si>
    <t>PUBLIX SUPER MAR 1001 BOCA RATON FL  807806  07/18</t>
  </si>
  <si>
    <t>BARNESNOBLE 1400 Glade BOCA RATON FL 964366  07/18</t>
  </si>
  <si>
    <t>Online Payment 7324174953 To Gardens North Condo Association 07/18</t>
  </si>
  <si>
    <t>BILLPAY</t>
  </si>
  <si>
    <t>SWEET TOMATOES 80 Q14 BOCA RATON FL          07/17</t>
  </si>
  <si>
    <t>FAU- TRAFFIC &amp; PARKING BOCA RATON FL         07/17</t>
  </si>
  <si>
    <t>BIERGARTEN BOCA RATON FL                     07/17</t>
  </si>
  <si>
    <t>FPL DIRECT DEBIT ELEC PYMT  6111089451 WEBI WEB ID: 3590247775</t>
  </si>
  <si>
    <t>WINN-DIXIE   #03 7024 BOCA RATON FL          07/17 Purchase $19.25 Cash Back $20.00</t>
  </si>
  <si>
    <t>BARNESNOBLE 1400 Glade BOCA RATON FL 241578  07/17</t>
  </si>
  <si>
    <t>PACKY'S SPORTS PUB L LIGHTHOUSE PO FL        07/16</t>
  </si>
  <si>
    <t>UNITED      016716375 800-932-2732 TX        07/15</t>
  </si>
  <si>
    <t>AMERICAN AIR00171637506 FORT WORTH TX        07/15</t>
  </si>
  <si>
    <t>Tipsy Boar Hollywood FL                      07/15</t>
  </si>
  <si>
    <t>EXPEDIA 7366242798802 EXPEDIA.COM WA         07/15</t>
  </si>
  <si>
    <t>BARNESNOBLE 1400 Glade BOCA RATON FL 827159  07/15</t>
  </si>
  <si>
    <t>CVS/PHARMACY #03 03818 BOCA RATON FL 547136  07/15</t>
  </si>
  <si>
    <t>SHELL Service Station HOLLYWOOD FL   080507  07/15</t>
  </si>
  <si>
    <t>BARNESNOBLE 1400 Glade BOCA RATON FL 205169  07/15</t>
  </si>
  <si>
    <t>ROBOT BREWING COMPANY BOCA RATON FL          07/14</t>
  </si>
  <si>
    <t>PUBLIX SUPER MAR 21230 BOCA RATON FL         07/14 Purchase $20.78 Cash Back $20.00</t>
  </si>
  <si>
    <t>HAIR CUTTERY #3983 BOCA RATON FL             07/15</t>
  </si>
  <si>
    <t>BARNESNOBLE 1400 Glade BOCA RATON FL 318228  07/14</t>
  </si>
  <si>
    <t>DEATH OR GLORY DELRAY BEACH FL               07/14</t>
  </si>
  <si>
    <t>PUBLIX SUPER MAR 1001 BOCA RATON FL  628619  07/13</t>
  </si>
  <si>
    <t>WITHDRAWAL 07/13</t>
  </si>
  <si>
    <t>PEI WEI #0203  Q02 BOCA RATON FL             07/12</t>
  </si>
  <si>
    <t>SHELL Service Station BOCA RATON FL  043016  07/12</t>
  </si>
  <si>
    <t>ROBOT BREWING COMPANY BOCA RATON FL          07/11</t>
  </si>
  <si>
    <t>THE SEED BOCA RATON FL                       07/12</t>
  </si>
  <si>
    <t>PUBLIX SUPER MAR 1001 BOCA RATON FL  322764  07/11</t>
  </si>
  <si>
    <t>WORLD OF BEER PLANTATION FL                  07/10</t>
  </si>
  <si>
    <t>BIERGARTEN BOCA RATON FL                     07/10</t>
  </si>
  <si>
    <t>BOCAS PREMIER DRY YAMAT BOCA RATON FL        07/09</t>
  </si>
  <si>
    <t>PUBLIX SUPER MAR 1001 BOCA RATON FL  750871  07/08</t>
  </si>
  <si>
    <t>WM SUPERC Wal-Mart Sup BOCA RATON FL         07/08</t>
  </si>
  <si>
    <t>GUITAR CENTER #770 HALLANDALE FL             07/08</t>
  </si>
  <si>
    <t>ROBOT BREWING COMPANY BOCA RATON FL          07/07</t>
  </si>
  <si>
    <t>SHELL Service Station HOLLYWOOD FL   043544  07/07</t>
  </si>
  <si>
    <t>MICKEY BYRNES IRISH PUB HOLLYWOOD FL         07/07</t>
  </si>
  <si>
    <t>ATM WITHDRAWAL                       009118  07/071701 E YO</t>
  </si>
  <si>
    <t>BARNESNOBLE 1400 Glade BOCA RATON FL 136236  07/07</t>
  </si>
  <si>
    <t>PUBLIX SUPER MAR 1001 BOCA RATON FL  351075  07/06</t>
  </si>
  <si>
    <t>BARNESNOBLE 1400 Glade BOCA RATON FL 734817  07/06</t>
  </si>
  <si>
    <t>SWEET TOMATOES 80 Q14 BOCA RATON FL          07/05</t>
  </si>
  <si>
    <t>THE SEED BOCA RATON FL                       07/06</t>
  </si>
  <si>
    <t>WM SUPERC Wal-Mart Sup BOCA RATON FL         07/05</t>
  </si>
  <si>
    <t>SHELL Service Station DELRAY BEACH FL066596  07/05</t>
  </si>
  <si>
    <t>PUBLIX SUPER MAR 5050 BOCA RATON FL  813314  07/05</t>
  </si>
  <si>
    <t>BARNESNOBLE 1400 Glade BOCA RATON FL 802562  07/04</t>
  </si>
  <si>
    <t>TST* BOB S PIZZA &amp; A DEERFIELD BEA FL        07/05</t>
  </si>
  <si>
    <t>BARNESNOBLE 1400 Glade BOCA RATON FL 664675  07/04</t>
  </si>
  <si>
    <t>CINEMARK THEATRES 1048 BOCA RATON FL         07/03</t>
  </si>
  <si>
    <t>TILTED KILT-BOCA RATON BOCA RATON FL         07/03</t>
  </si>
  <si>
    <t>BRANDSMART USA -DFB DEERFIELD BEA FL         07/03</t>
  </si>
  <si>
    <t>CHILI'S THE CREEK FORT LAUDERDA FL           07/02</t>
  </si>
  <si>
    <t>SHELL Service Station BOCA RATON FL  097083  07/02</t>
  </si>
  <si>
    <t>Online Transfer to CHK ...3721 transaction#: 7280525053 07/02</t>
  </si>
  <si>
    <t>WM SUPERC Wal-Mart Sup BOCA RATON FL         07/01</t>
  </si>
  <si>
    <t>PUBLIX SUPER MAR 1001 BOCA RATON FL  741288  07/01</t>
  </si>
  <si>
    <t>BARNESNOBLE 1400 Glade BOCA RATON FL 729321  07/01</t>
  </si>
  <si>
    <t>BARNESNOBLE 1400 Glade BOCA RATON FL 763499  07/01</t>
  </si>
  <si>
    <t>CVS/PHARM 03275--686 G BOCA RATON FL         07/01</t>
  </si>
  <si>
    <t>DUFFY'S OF BOCA BOCA RATON FL                06/30</t>
  </si>
  <si>
    <t>WM SUPERC Wal-Mart Sup SUNRISE (W) FL        06/30</t>
  </si>
  <si>
    <t>IKEA SUNRISE SUNRISE FL              932084  06/30</t>
  </si>
  <si>
    <t>WITHDRAWAL 07/02</t>
  </si>
  <si>
    <t>SWEET TOMATOES 80 Q14 BOCA RATON FL          06/29</t>
  </si>
  <si>
    <t>ATM CHECK DEPOSIT 06/30 5950 GLADES RD BOCA RATON FL</t>
  </si>
  <si>
    <t>AT&amp;T</t>
  </si>
  <si>
    <t>YouFit</t>
  </si>
  <si>
    <t>Massage Envy</t>
  </si>
  <si>
    <t>Public Storage</t>
  </si>
  <si>
    <t>Jan, 19</t>
  </si>
  <si>
    <t>Feb</t>
  </si>
  <si>
    <t>Mar</t>
  </si>
  <si>
    <t>Jan-Dec, 2019</t>
  </si>
  <si>
    <t>delta</t>
  </si>
  <si>
    <t>Xfinity = $37.95 (on the 21st)</t>
  </si>
  <si>
    <t>9/20</t>
  </si>
  <si>
    <t>9/21</t>
  </si>
  <si>
    <t>Balance:</t>
  </si>
  <si>
    <t>9/21-10/5</t>
  </si>
  <si>
    <t>Misc exp</t>
  </si>
  <si>
    <t>($212 watches, $65 lesson)</t>
  </si>
  <si>
    <t>9/26</t>
  </si>
  <si>
    <t>Amp</t>
  </si>
  <si>
    <t>pick up Saturday to play over weekend?</t>
  </si>
  <si>
    <t>9/28</t>
  </si>
  <si>
    <t>adjust to match balance</t>
  </si>
  <si>
    <t>Atty</t>
  </si>
  <si>
    <t>9/27</t>
  </si>
  <si>
    <t>Car pmt</t>
  </si>
  <si>
    <t>10/1</t>
  </si>
  <si>
    <t>10/2</t>
  </si>
  <si>
    <t>Mortg</t>
  </si>
  <si>
    <t>Transfer in to maintain balance</t>
  </si>
  <si>
    <t>10/4</t>
  </si>
  <si>
    <t>10/5</t>
  </si>
  <si>
    <t>Assessmt</t>
  </si>
  <si>
    <t>10/6</t>
  </si>
  <si>
    <t>Sam; other stuff</t>
  </si>
  <si>
    <t>Guitar lessons:  Jimi F.</t>
  </si>
  <si>
    <t>10/10</t>
  </si>
  <si>
    <t>Rent Inc</t>
  </si>
  <si>
    <t>Put into savings account</t>
  </si>
  <si>
    <t>Shoes</t>
  </si>
  <si>
    <t>10/12</t>
  </si>
  <si>
    <t>Bonus check</t>
  </si>
  <si>
    <t>TRANSFTER to SAVINGS</t>
  </si>
  <si>
    <t>10/16</t>
  </si>
  <si>
    <t>Tax refund hit</t>
  </si>
  <si>
    <t>10/17</t>
  </si>
  <si>
    <t>Synchronicity Pmt</t>
  </si>
  <si>
    <t>10/18</t>
  </si>
  <si>
    <t>Return shoes to Nordstrom</t>
  </si>
  <si>
    <t>10/19</t>
  </si>
  <si>
    <t>Appraiser (transfer to Gladys)</t>
  </si>
  <si>
    <t>10/27</t>
  </si>
  <si>
    <t>Other expenses</t>
  </si>
  <si>
    <t>Maintain Balance</t>
  </si>
  <si>
    <t>11/2</t>
  </si>
  <si>
    <t>Music ticket</t>
  </si>
  <si>
    <t>11/5</t>
  </si>
  <si>
    <t>11/4</t>
  </si>
  <si>
    <t>transf in</t>
  </si>
  <si>
    <t>transf out</t>
  </si>
  <si>
    <t>Savings:</t>
  </si>
  <si>
    <t>Checking:</t>
  </si>
  <si>
    <t>11/10</t>
  </si>
  <si>
    <t>11/8</t>
  </si>
  <si>
    <t>11/16</t>
  </si>
  <si>
    <t>Address changes.  Update address with:</t>
  </si>
  <si>
    <t>Synchronicity pmt</t>
  </si>
  <si>
    <t>Synchronicity</t>
  </si>
  <si>
    <t>Chase billing</t>
  </si>
  <si>
    <t>11/19</t>
  </si>
  <si>
    <t>Voice translator</t>
  </si>
  <si>
    <t>Bring to balance</t>
  </si>
  <si>
    <t>FPL</t>
  </si>
  <si>
    <t>Increase to cover car pmt</t>
  </si>
  <si>
    <t>11/27</t>
  </si>
  <si>
    <t>11/30</t>
  </si>
  <si>
    <t>12/2</t>
  </si>
  <si>
    <t>12/4</t>
  </si>
  <si>
    <t>12/14</t>
  </si>
  <si>
    <t>12/16</t>
  </si>
  <si>
    <t>12/27</t>
  </si>
  <si>
    <t>12/28</t>
  </si>
  <si>
    <t>1/2</t>
  </si>
  <si>
    <t>1/4</t>
  </si>
  <si>
    <t>11/18</t>
  </si>
  <si>
    <t>Pedal:  Sam Ash</t>
  </si>
  <si>
    <t>2019 Budget</t>
  </si>
  <si>
    <t>2018 Budget</t>
  </si>
  <si>
    <t>12/10</t>
  </si>
  <si>
    <t>Christmas gifts</t>
  </si>
  <si>
    <t>11/20</t>
  </si>
  <si>
    <t>11/23</t>
  </si>
  <si>
    <t>11/29</t>
  </si>
  <si>
    <t>12/3</t>
  </si>
  <si>
    <t>Assessmt (last one)</t>
  </si>
  <si>
    <t>12/1-2</t>
  </si>
  <si>
    <t>DR Trip</t>
  </si>
  <si>
    <t>1/3</t>
  </si>
  <si>
    <t>12/5</t>
  </si>
  <si>
    <t>Increase to cover rent</t>
  </si>
  <si>
    <t>current --&gt;</t>
  </si>
  <si>
    <t>M Bal</t>
  </si>
  <si>
    <t>Esur (Nov)</t>
  </si>
  <si>
    <t>12/25</t>
  </si>
  <si>
    <t>12/26</t>
  </si>
  <si>
    <t>Jan</t>
  </si>
  <si>
    <t>POS DEBIT                MASSAGE ENVY 0180         BOCA RATON   FL</t>
  </si>
  <si>
    <t>POS DEBIT                PUBLIX SUPER MAR 21230    BOCA RATON   FL</t>
  </si>
  <si>
    <t>POS DEBIT                NEW ROYAL DAY SPA INC    KEY LARGO     FL</t>
  </si>
  <si>
    <t>POS DEBIT                GILBERTS RESORT          KEY LARGO     FL</t>
  </si>
  <si>
    <t>POS DEBIT                APL*ITUNES.COM/BILL      800-275-2273  CA</t>
  </si>
  <si>
    <t>Category</t>
  </si>
  <si>
    <t>POS DEBIT                GOTINDER.COM/HELP         000-0000000  TX</t>
  </si>
  <si>
    <t>POS DEBIT                CRAZY UNCLE MIKES        BOCA RATON    FL</t>
  </si>
  <si>
    <t>Netflix.com netflix.com CA                   01/02</t>
  </si>
  <si>
    <t>PUBLIC STORAGE 26829 800-567-0759 FL         01/02</t>
  </si>
  <si>
    <t>BARNESNOBLE 1400 Glade BOCA RATON FL 825108  01/03</t>
  </si>
  <si>
    <t>ORIG CO NAME:THE GARDENS NORT CO ENTRY DESCR:LOCKBOX    SEC:PPD                        ORIG ID:1592314821</t>
  </si>
  <si>
    <t>ATM DEBIT 3901 N FEDERAL HWY       BOCA RATON   FL</t>
  </si>
  <si>
    <t>POS DEBIT                PUBLIX SUPER MAR 4141 N   BOCA RATON   FL</t>
  </si>
  <si>
    <t>POS DEBIT                APL* ITUNES.COM/BILL      866-712-7753 CA</t>
  </si>
  <si>
    <t>POS DEBIT                CRAZY UNCLE MIKES         BOCA RATON   FL</t>
  </si>
  <si>
    <t>POS DEBIT                SUPERCUTS                 BOCA RATON   FL</t>
  </si>
  <si>
    <t>POS DEBIT                CHEVRON/GRYPHON 2080 MG   FT. LAUDERDA FL</t>
  </si>
  <si>
    <t>POS DEBIT                CVS/PHARMACY #03 03818-   BOCA RATON   FL</t>
  </si>
  <si>
    <t>WHOLEFDS BCA 101 1400B BOCA RATON FL 144255  01/04</t>
  </si>
  <si>
    <t>Forecasted</t>
  </si>
  <si>
    <t>ORIG CO NAME:FPL DIRECT DEBIT CO ENTRY DESCR:ELEC PYMT  SEC:PPD                        ORIG ID:3590247775</t>
  </si>
  <si>
    <t>POS DEBIT                MY MUSIC MASTER CLASS    GLENDALE      CA</t>
  </si>
  <si>
    <t>Synchrony</t>
  </si>
  <si>
    <t>POS DEBIT                POLLO TROPICAL 10247     BOCA RATON    FL</t>
  </si>
  <si>
    <t>TOTAL WINE AND MORE 90 BOCA RATON FL 263705  01/09</t>
  </si>
  <si>
    <t>SHELL Service Station BOCA RATON FL  076301  01/09</t>
  </si>
  <si>
    <t>Current balance:</t>
  </si>
  <si>
    <t>POS DEBIT                SHELL SERVICE STATION     LAUDERHILL   FL</t>
  </si>
  <si>
    <t>POS DEBIT                JO BABY                   LAUDERHILL   FL</t>
  </si>
  <si>
    <t>POS DEBIT                ANTHONYS COAL FIRED PIZ  BOCA RATON    FL</t>
  </si>
  <si>
    <t>POS DEBIT                SQ *LAUDERALE            Fort Lauderd  FL</t>
  </si>
  <si>
    <t>NON-CHASE ATM WITHDRAW               294805  01/117024 BERA</t>
  </si>
  <si>
    <t>PUBLIX SUPER MAR 21230 BOCA RATON FL 701032  01/11</t>
  </si>
  <si>
    <t>First Watch Restaurants BOCA RATON FL        01/10</t>
  </si>
  <si>
    <t>7024 BERACASAWAY BOCA RATON FL       294805  01/11</t>
  </si>
  <si>
    <t>Deposit/Withdr</t>
  </si>
  <si>
    <t>Achieved balance:</t>
  </si>
  <si>
    <t>POS DEBIT                APL* ITUNES.COM/BILL     866-712-7753  CA</t>
  </si>
  <si>
    <t>gotinder.com/help 000-0000000 TX             01/15</t>
  </si>
  <si>
    <t>PUBLIX SUPER MAR 4141 BOCA RATON FL  317230  01/14</t>
  </si>
  <si>
    <t>Savings</t>
  </si>
  <si>
    <t>Checking</t>
  </si>
  <si>
    <t>cover rent, mortgage, car, HOA</t>
  </si>
  <si>
    <t>GUITAR CENTER #791 DELRAY BEACH FL           01/16</t>
  </si>
  <si>
    <t>POS DEBIT                POLLO TROPICAL 10058     DELRAY BEACH  FL</t>
  </si>
  <si>
    <t>POS DEBIT                STARBUCKS STORE 21822     DELRAY BEACH FL</t>
  </si>
  <si>
    <t>POS DEBIT                GUITAR CENTER #791        DELRAY BEACH FL</t>
  </si>
  <si>
    <t>POS DEBIT                GUITARCENTER.COM CALL     DRAPER       UT</t>
  </si>
  <si>
    <t>POS DEBIT                DR DAVID GOLDBERG         BOCA RATON   FL</t>
  </si>
  <si>
    <t>POS DEBIT                MARATHON PETRO149062     BOCA RATON    FL</t>
  </si>
  <si>
    <t>gotinder.com/help 000-0000000 TX             01/17</t>
  </si>
  <si>
    <t>WHOLEFDS BCA 101 1400B BOCA RATON FL 858599  01/17</t>
  </si>
  <si>
    <t>POS DEBIT                CORNER PORCH             DELRAY BEACH  FL</t>
  </si>
  <si>
    <t>Synchrony Bank   CC PYMT    602052281390228 TEL ID: 9856794001</t>
  </si>
  <si>
    <t>POS DEBIT                SUBWAY RESTAURANT         LAUDERDALE L FL</t>
  </si>
  <si>
    <t>POS DEBIT                THE HOME DEPOT #6315      DELRAY BEACH FL</t>
  </si>
  <si>
    <t>ONLINE TRANSFER TO CHK ...3721 TRANSACTION#: 7867603097 01/22</t>
  </si>
  <si>
    <t>POS DEBIT                BOCA MART, INC.           BOCA RATON   FL</t>
  </si>
  <si>
    <t>POS DEBIT                7-ELEVEN 34819            WESTON       FL</t>
  </si>
  <si>
    <t>POS DEBIT                APL*ITUNES.COM/BILL       800-275-2273 CA</t>
  </si>
  <si>
    <t>POS DEBIT                STARBUCKS STORE 08588    BOCA RATON    FL</t>
  </si>
  <si>
    <t>POS DEBIT                IN *CENTER FOR HEALTH    BOCA RATON    FL</t>
  </si>
  <si>
    <t>POS DEBIT                COMCAST/XFINITY          800-266-2278  FL</t>
  </si>
  <si>
    <t>POS DEBIT                LATINAMERICANCUPID.COM    SOUTHPORT    PA</t>
  </si>
  <si>
    <t>WHOLEFDS BCA 101 1400B BOCA RATON FL 000597  01/24</t>
  </si>
  <si>
    <t>SWEET TOMATOES 80 Q14 BOCA RATON FL          01/23</t>
  </si>
  <si>
    <t>TRADER JOE'S #771 QPS DELRAY BEACH FL478626  01/23</t>
  </si>
  <si>
    <t>Med/Dental</t>
  </si>
  <si>
    <t>HAIR CUTTERY #2846 DEERFIELD BEA FL          01/25</t>
  </si>
  <si>
    <t>POS DEBIT                UROMEDIX-EU6             SUNRISE       FL</t>
  </si>
  <si>
    <t>POS DEBIT                ABC*YOUFIT HEALTH CLUB   561-3672326   FL</t>
  </si>
  <si>
    <t>TOTAL WINE AND MORE 90 BOCA RATON FL 345568  01/28</t>
  </si>
  <si>
    <t>PUBLIX SUPER MAR 4141 BOCA RATON FL  950786  01/27</t>
  </si>
  <si>
    <t>TRADER JOE'S #771 QPS DELRAY BEACH FL092948  01/27</t>
  </si>
  <si>
    <t>WHOLEFDS BCA 101 1400B BOCA RATON FL 337627  01/27</t>
  </si>
  <si>
    <t>BARNESNOBLE 1400 Glade BOCA RATON FL 753217  01/27</t>
  </si>
  <si>
    <t>WHOLEFDS BCA 101 1400B BOCA RATON FL 338865  01/27</t>
  </si>
  <si>
    <t>SUNPASS*ACC588612 888-865-5352 FL            01/27</t>
  </si>
  <si>
    <t>MARATHON PETRO14 BOCA RATON FL       885321  01/26</t>
  </si>
  <si>
    <t>FUNKY BUDDHA LOUNGE AND BOCA RATON FL        01/26</t>
  </si>
  <si>
    <t>WHOLEFDS BCA 101 1400B BOCA RATON FL 605797  01/26</t>
  </si>
  <si>
    <t>STARBUCKS STORE 08257 BOCA RATON FL          01/26</t>
  </si>
  <si>
    <t>ATM WITHDRAWAL                       009561  01/263901 N FE</t>
  </si>
  <si>
    <t>SUNPASS*ACC588612 888-865-5352 FL            01/26</t>
  </si>
  <si>
    <t>CRAZY UNCLE MIKES BOCA RATON FL              01/25</t>
  </si>
  <si>
    <t>DR DAVID GOLDBERG BOCA RATON FL              01/25</t>
  </si>
  <si>
    <t>PUBLIX SUPER MAR 5050 BOCA RATON FL  761010  01/29</t>
  </si>
  <si>
    <t>CVS/PHARMACY #00 00770 BOCA RATON FL 016361  01/31</t>
  </si>
  <si>
    <t>POLLO TROPICAL 10058 DELRAY BEACH FL         01/30</t>
  </si>
  <si>
    <t>BOCAS PREMIER DRY YAMAT BOCA RATON FL        01/30</t>
  </si>
  <si>
    <t>SHELL Service Station DELRAY BEACH FL005489  01/30</t>
  </si>
  <si>
    <t>PUBLIX SUPER MAR 5050 BOCA RATON FL  314410  01/30</t>
  </si>
  <si>
    <t>GUITAR CENTER #791 DELRAY BEACH FL           01/29</t>
  </si>
  <si>
    <t>POS DEBIT                TST* YUCA RESTAU          MIAMI BEACH  FL</t>
  </si>
  <si>
    <t>POS DEBIT                PARK ONE OF FLORDIA       MIAMI        FL</t>
  </si>
  <si>
    <t>POS DEBIT                BB *PEREZ ART MUSEUM      MIAMI        FL</t>
  </si>
  <si>
    <t>POS DEBIT                CRAZY UNCLE MIKE          BOCA RATON   FL</t>
  </si>
  <si>
    <t>POS DEBIT                MARATHON PETRO14          BOCA RATON   FL</t>
  </si>
  <si>
    <t>POS DEBIT                PUBLIC STORAGE 26829      BOCA RATON   FL</t>
  </si>
  <si>
    <t>POS DEBIT                NETFLIX.COM               NETFLIX.COM  CA                                                                                                                                                                                                                                                                   00NN08172</t>
  </si>
  <si>
    <t>ATM WITHDRAWAL                       006454  02/011850 N FE</t>
  </si>
  <si>
    <t>IN *CENTER FOR HEALTH 561-7899558 FL         01/31</t>
  </si>
  <si>
    <t>POS DEBIT                AVENTURA EYE SPECIALIS    WEESTON      FL</t>
  </si>
  <si>
    <t>POS DEBIT                TOTAL WINE AND MORE 905   BOCA RATON   FL</t>
  </si>
  <si>
    <t>POS DEBIT                BEDBATH&amp;BEYOND# 1400C G   BOCA RATON   FL</t>
  </si>
  <si>
    <t>POS DEBIT                HAIR CUTTERY #2846        DEERFIELD BE FL</t>
  </si>
  <si>
    <t>POS DEBIT                CABANA NUEVO LATINO- D   DELRAY BEACH  FL</t>
  </si>
  <si>
    <t>POS DEBIT                TST* ALL MEATS B         BOCA RATON    FL</t>
  </si>
  <si>
    <t>POS DEBIT                CRAZY UNCLE MIKE         BOCA RATON    FL</t>
  </si>
  <si>
    <t>POS DEBIT                818 HEAT                  BOCA RATON   FL</t>
  </si>
  <si>
    <t>CRAZY UNCLE MIKES BOCA RATON FL              02/06</t>
  </si>
  <si>
    <t>WHOLEFDS BCA 101 1400B BOCA RATON FL         02/07 Purchase $2.49 Cash Back $10.00</t>
  </si>
  <si>
    <t>BOCA MART, INC. BOCA RATON FL                02/07</t>
  </si>
  <si>
    <t>POLLO TROPICAL 10247 BOCA RATON FL           02/06</t>
  </si>
  <si>
    <t>Online Transfer from SAV ...0138 transaction#: 7919850372</t>
  </si>
  <si>
    <t>FPL DIRECT DEBIT ELEC PYMT                  PPD ID: 3590247775</t>
  </si>
  <si>
    <t>PUBLIX SUPER MAR 9846 BOCA RATON FL  062362  02/06</t>
  </si>
  <si>
    <t>PETCO 1789 BOCA RATON FL             132613  02/06</t>
  </si>
  <si>
    <t>PUBLIX SUPER MAR 4141 BOCA RATON FL  228297  02/06</t>
  </si>
  <si>
    <t>TRADER JOE'S #771 QPS DELRAY BEACH FL539567  02/06</t>
  </si>
  <si>
    <t>POLLO TROPICAL 10058 DELRAY BEACH FL         02/05</t>
  </si>
  <si>
    <t>IN *CENTER FOR HEALTH 561-7899558 FL         02/05</t>
  </si>
  <si>
    <t>BIERGARTEN BOCA RATON FL                     02/05</t>
  </si>
  <si>
    <t>MARATHON PETRO14 BOCA RATON FL       797802  02/05</t>
  </si>
  <si>
    <t>WITHDRAWAL 02/05</t>
  </si>
  <si>
    <t>PUBLIX SUPER MAR 4141 BOCA RATON FL  615534  02/05</t>
  </si>
  <si>
    <t>IKEA.COM 320623212 888-434-4532 MD           02/04</t>
  </si>
  <si>
    <t>Household</t>
  </si>
  <si>
    <t>Rent deposit</t>
  </si>
  <si>
    <t>POS DEBIT                IN *CENTER FOR HEALTH     BOCA RATON   FL</t>
  </si>
  <si>
    <t>POS DEBIT                ROBOT BREWING COMPANY    BOCA RATON    FL</t>
  </si>
  <si>
    <t>ATM WITHDRAWAL                       004811  02/123901 N FE</t>
  </si>
  <si>
    <t>CRAZY UNCLE MIKES BOCA RATON FL              02/10</t>
  </si>
  <si>
    <t>PUBLIX SUPER MAR 4141 BOCA RATON FL  903245  02/11</t>
  </si>
  <si>
    <t>THE HOME DEPOT #6315 DELRAY BEACH FL 635836  02/11</t>
  </si>
  <si>
    <t>WHOLEFDS BCA 101 1400B BOCA RATON FL 623640  02/11</t>
  </si>
  <si>
    <t>POS DEBIT                STARBUCKS STORE 08588     BOCA RATON   FL</t>
  </si>
  <si>
    <t>POS DEBIT                TRADER JOE'S #771 QPS     DELRAY BEACH FL</t>
  </si>
  <si>
    <t>POS DEBIT                PRIP MART 199             BOCA RATON   FL</t>
  </si>
  <si>
    <t>CRAZY UNCLE MIKES BOCA RATON FL              02/13</t>
  </si>
  <si>
    <t>POLLO TROPICAL 10058 DELRAY BEACH FL         02/13</t>
  </si>
  <si>
    <t>GUITAR CENTER #791 DELRAY BEACH FL           02/13</t>
  </si>
  <si>
    <t>SWEET TOMATOES 80 Q14 BOCA RATON FL          02/13</t>
  </si>
  <si>
    <t>THE HOME DEPOT #6315 DELRAY BEACH FL 063173  02/13</t>
  </si>
  <si>
    <t>book</t>
  </si>
  <si>
    <t>Music/hobbies</t>
  </si>
  <si>
    <t>WHOLEFDS BCA 101 1400B BOCA RATON FL 907356  02/21</t>
  </si>
  <si>
    <t>MARATHON PETRO14 BOCA RATON FL       773033  02/21</t>
  </si>
  <si>
    <t>PUBLIX SUPER MAR 4141 BOCA RATON FL  621274  02/21</t>
  </si>
  <si>
    <t>POLLO TROPICAL 10058 DELRAY BEACH FL         02/20</t>
  </si>
  <si>
    <t>STARBUCKS STORE 08588 BOCA RATON FL          02/20</t>
  </si>
  <si>
    <t>HAIR CUTTERY #3983 BOCA RATON FL             02/20</t>
  </si>
  <si>
    <t>WHOLEFDS BCA 101 1400B BOCA RATON FL 861016  02/20</t>
  </si>
  <si>
    <t>STARBUCKS STORE 08588 BOCA RATON FL          02/19</t>
  </si>
  <si>
    <t>Online Transfer to CHK ...3721 transaction#: 7954030791 02/19</t>
  </si>
  <si>
    <t>POS DEBIT                SQ *BOCA WALK IN ORTHO    BOCA RATON   FL</t>
  </si>
  <si>
    <t>POS DEBIT                ABC*YOUFIT HEALTH CLUB    561-3672326  FL</t>
  </si>
  <si>
    <t>POS DEBIT                STARBUCKS STORE 08257     BOCA RATON   FL</t>
  </si>
  <si>
    <t>POS CREDIT               THE HOME DEPOT #6315      DELRAY BEACH FL</t>
  </si>
  <si>
    <t>POS DEBIT                NORDSTROM RACK # 1400 G   BOCA RATON   FL</t>
  </si>
  <si>
    <t>POS DEBIT                COMCAST/XFINITY           800-266-2278 FL</t>
  </si>
  <si>
    <t>POS DEBIT                HOMEDEPOT.COM             800-430-3376 GA</t>
  </si>
  <si>
    <t>POS DEBIT                RAMI PETROLEUM,           POMPANO BEAC FL</t>
  </si>
  <si>
    <t>POS DEBIT                THE HOME DEPOT #0218      DEERFIELD BE FL</t>
  </si>
  <si>
    <t>POS DEBIT                APL*ITUNES.COM/BILL       866-712-7753 CA</t>
  </si>
  <si>
    <t>PUBLIX SUPER MAR 21230 BOCA RATON FL 756885  02/22</t>
  </si>
  <si>
    <t>Clothes</t>
  </si>
  <si>
    <t>POS DEBIT                WMV*MATCH.COM             800-326-5161 TX</t>
  </si>
  <si>
    <t>POS DEBIT                GUITAR CENTER #770        HALLANDALE   FL</t>
  </si>
  <si>
    <t>POS DEBIT                CARRABBAS  #6017         DELRAY BEACH  FL</t>
  </si>
  <si>
    <t>POS DEBIT                CHOCOLADA BAKERY AND CA  HOLLYWOOD     FL</t>
  </si>
  <si>
    <t>ABC*YOUFIT HEALTH CLUB 561-3672326 FL        02/28</t>
  </si>
  <si>
    <t>SQ *GO BISTRO Hollywood FL                   02/28</t>
  </si>
  <si>
    <t>HOLLYWD TOWN PKG ON STR HOLLYWOOD FL         02/28</t>
  </si>
  <si>
    <t>STARBUCKS STORE 08588 BOCA RATON FL          02/28</t>
  </si>
  <si>
    <t>CRAZY UNCLE MIKES BOCA RATON FL              02/27</t>
  </si>
  <si>
    <t>SHELL Service Station BOCA RATON FL  069545  02/28</t>
  </si>
  <si>
    <t>BIS STORE # 129 BOCA RATON FL                02/28</t>
  </si>
  <si>
    <t>WHOLEFDS BCA 101 1400B BOCA RATON FL 552003  02/28</t>
  </si>
  <si>
    <t>ECHST.NET 866-452-5108 WA                    02/28</t>
  </si>
  <si>
    <t>POLLO TROPICAL 10247 BOCA RATON FL           02/27</t>
  </si>
  <si>
    <t>BOCAS PREMIER DRY YAMAT BOCA RATON FL        02/27</t>
  </si>
  <si>
    <t>STARBUCKS STORE 08588 BOCA RATON FL          02/27</t>
  </si>
  <si>
    <t>HOMEDEPOT.COM 800-430-3376 GA                02/26</t>
  </si>
  <si>
    <t>BIERGARTEN BOCA RATON FL                     02/26</t>
  </si>
  <si>
    <t>ABC*YOUFIT HEALTH CLUB 561-3672326 FL        02/25</t>
  </si>
  <si>
    <t>TOTAL WINE AND MORE 90 BOCA RATON FL 223633  02/26</t>
  </si>
  <si>
    <t>SECUREHOOKUP.COM/BILL 833-344-3573 CA        02/25</t>
  </si>
  <si>
    <t>CRAZY UNCLE MIKES BOCA RATON FL              02/24</t>
  </si>
  <si>
    <t>APL*ITUNES.COM/BILL 866-712-7753 CA          02/23</t>
  </si>
  <si>
    <t>PUBLIX SUPER MAR 21230 BOCA RATON FL 735573  02/25</t>
  </si>
  <si>
    <t>PUBLIX SUPER MAR 4141 BOCA RATON FL          03/04 Purchase $18.73 Cash Back $20.00</t>
  </si>
  <si>
    <t>PUBLIX SUPER MAR 4141 BOCA RATON FL  229809  03/04</t>
  </si>
  <si>
    <t>POS DEBIT                Colombiancupid.com       Southport     PA</t>
  </si>
  <si>
    <t>POS DEBIT                GUITAR CENTER #791       DELRAY BEACH  FL</t>
  </si>
  <si>
    <t>PUBLIX SUPER MAR 4141 BOCA RATON FL  503639  03/06</t>
  </si>
  <si>
    <t>MARATHON PETRO14 BOCA RATON FL       891651  03/06</t>
  </si>
  <si>
    <t>POS DEBIT                HAIR CUTTERY #3983        BOCA RATON   FL</t>
  </si>
  <si>
    <t>PUBLIX SUPER MAR 21230 BOCA RATON FL 728366  03/07</t>
  </si>
  <si>
    <t>WHOLEFDS BCA 101 1400B BOCA RATON FL 438934  03/07</t>
  </si>
  <si>
    <t>POS DEBIT                MENCHIES B586 GARDEN SH  BOCA RATON    FL</t>
  </si>
  <si>
    <t>PUBLIX SUPER MAR 4141 BOCA RATON FL  633320  03/14</t>
  </si>
  <si>
    <t>WHOLEFDS BCA 101 1400B BOCA RATON FL 933958  03/13</t>
  </si>
  <si>
    <t>WHOLEFDS BCA 101 1400B BOCA RATON FL 759230  03/13</t>
  </si>
  <si>
    <t>PUBLIX SUPER MAR 4141 BOCA RATON FL  610416  03/13</t>
  </si>
  <si>
    <t>GUITAR CENTER #791 DELRAY BEACH FL           03/13</t>
  </si>
  <si>
    <t>PUBLIX SUPER MAR 5050 BOCA RATON FL  123523  03/13</t>
  </si>
  <si>
    <t>WHOLEFDS BCA 101 1400B BOCA RATON FL 154806  03/12</t>
  </si>
  <si>
    <t>STARBUCKS STORE 08588 BOCA RATON FL          03/11</t>
  </si>
  <si>
    <t>AVENTURA EYE SPECIALIST WEESTON FL           03/11</t>
  </si>
  <si>
    <t>SUNPASS*ACC588612 888-865-5352 FL            03/11</t>
  </si>
  <si>
    <t>WHOLEFDS BCA 101 1400B BOCA RATON FL 819243  03/11</t>
  </si>
  <si>
    <t>BARNESNOBLE 1400 Glade BOCA RATON FL 645086  03/11</t>
  </si>
  <si>
    <t>CHEVRON/SUNSHINE 39 PLANTATION FL    057556  03/11</t>
  </si>
  <si>
    <t>TST* BRASS TAPS - FT FORT LAUDERDA FL        03/11</t>
  </si>
  <si>
    <t>MENCHIES B586 GARDEN SH BOCA RATON FL        03/10</t>
  </si>
  <si>
    <t>POLLO TROPICAL 10247 BOCA RATON FL           03/10</t>
  </si>
  <si>
    <t>Wal-Mart Super Center BOCA RATON FL          03/10</t>
  </si>
  <si>
    <t>THE HOME DEPOT #0204 BOCA RATON FL   354179  03/10</t>
  </si>
  <si>
    <t>PUBLIX SUPER MAR 4141 BOCA RATON FL  713688  03/10</t>
  </si>
  <si>
    <t>CRAZY UNCLE MIKES BOCA RATON FL              03/09</t>
  </si>
  <si>
    <t>SUNPASS*ACC588612 888-865-5352 FL            03/09</t>
  </si>
  <si>
    <t>ORIENTAL MART LAUDERHILL FL                  03/09</t>
  </si>
  <si>
    <t>SUBWAY        03019932 LAUDERHILL FL         03/09</t>
  </si>
  <si>
    <t>MARATHON PETRO14 BOCA RATON FL       723966  03/09</t>
  </si>
  <si>
    <t>ATM WITHDRAWAL                       005293  03/093901 N FE</t>
  </si>
  <si>
    <t>POLLO TROPICAL 10247 BOCA RATON FL           03/08</t>
  </si>
  <si>
    <t>CRAZY UNCLE MIKES BOCA RATON FL              03/07</t>
  </si>
  <si>
    <t>WHOLEFDS BCA 101 1400B BOCA RATON FL 104278  03/15</t>
  </si>
  <si>
    <t>PUBLIX SUPER MAR 4141 BOCA RATON FL  227884  03/15</t>
  </si>
  <si>
    <t>POS DEBIT                SUSHI YAMA- BOCA          BOCA RATON   FL</t>
  </si>
  <si>
    <t>POS DEBIT                TWO GEORGES AT THE COVE   DEERFIELD BE FL</t>
  </si>
  <si>
    <t>POS DEBIT                SQ *GO BISTRO             HOLLYWOOD    FL</t>
  </si>
  <si>
    <t>Dinner (Brian, John)</t>
  </si>
  <si>
    <t>John down for the day</t>
  </si>
  <si>
    <t>WHOLEFDS BCA 101 1400B BOCA RATON FL 104278  03/18</t>
  </si>
  <si>
    <t>PUBLIX SUPER MAR 21230 BOCA RATON FL 717974 03/18</t>
  </si>
  <si>
    <t>POS DEBIT LEONA`S PALACE HOLLYWOOD FL</t>
  </si>
  <si>
    <t>Paycheck (3/22)</t>
  </si>
  <si>
    <t>POS DEBIT                STARBUCKS STORE 08262    BOCA RATON    FL</t>
  </si>
  <si>
    <t>SQ *GO BISTRO Hollywood FL                   03/20</t>
  </si>
  <si>
    <t>HOLLYWD TOWN PKG ON STR HOLLYWOOD FL         03/20</t>
  </si>
  <si>
    <t>STARBUCKS STORE 21822 DELRAY BEACH FL        03/20</t>
  </si>
  <si>
    <t>SUNPASS*ACC588612 888-865-5352 FL            03/19</t>
  </si>
  <si>
    <t>BARNESNOBLE 1400 Glade BOCA RATON FL 829315  03/19</t>
  </si>
  <si>
    <t>WHOLEFDS BCA 101 1400B BOCA RATON FL 806547  03/19</t>
  </si>
  <si>
    <t>MARATHON PETRO14 BOCA RATON FL       801147  03/19</t>
  </si>
  <si>
    <t>PUBLIX SUPER MAR 4141 BOCA RATON FL  750234  03/19</t>
  </si>
  <si>
    <t>1940 N 30TH RD HOLLYWOOD FL          440095  03/24</t>
  </si>
  <si>
    <t>WHOLEFDS BCA 101 1400B BOCA RATON FL 526425  03/22</t>
  </si>
  <si>
    <t>PUBLIX SUPER MAR 4141 BOCA RATON FL  508212  03/22</t>
  </si>
  <si>
    <t>HAIR CUTTERY #3983 BOCA RATON FL             03/22</t>
  </si>
  <si>
    <t>PUBLIX SUPER MAR 5050 BOCA RATON FL  963607  03/22</t>
  </si>
  <si>
    <t>POS DEBIT                BOCAS PREMIER DRY YAMA    BOCA RATON   FL</t>
  </si>
  <si>
    <t>POS DEBIT                DUFFY'S OF BOCA          BOCA RATON    FL</t>
  </si>
  <si>
    <t>BOCA MART, INC. BOCA RATON FL                03/27</t>
  </si>
  <si>
    <t>CRAZY UNCLE MIKES BOCA RATON FL              03/25</t>
  </si>
  <si>
    <t>BARNESNOBLE 1400 Glade BOCA RATON FL 660830  03/26</t>
  </si>
  <si>
    <t>BARNESNOBLE 1400 Glade BOCA RATON FL 657522  03/26</t>
  </si>
  <si>
    <t>WHOLEFDS BCA 101 1400B BOCA RATON FL 835337  03/26</t>
  </si>
  <si>
    <t>CRAZY UNCLE MIKES BOCA RATON FL              03/24</t>
  </si>
  <si>
    <t>APL*ITUNES.COM/BILL 866-712-7753 CA          03/23</t>
  </si>
  <si>
    <t>COMCAST/XFINITY 800-266-2278 FL              03/25</t>
  </si>
  <si>
    <t>PUBLIX SUPER MAR 1740 HOLLYWOOD FL   807339  03/24</t>
  </si>
  <si>
    <t>MARATHON PETRO14 BOCA RATON FL       825058  03/24</t>
  </si>
  <si>
    <t>BARNESNOBLE 1400 Glade BOCA RATON FL 800032  03/24</t>
  </si>
  <si>
    <t>CVS/PHARMACY #03 03818 BOCA RATON FL 113316  03/24</t>
  </si>
  <si>
    <t>POLLO TROPICAL 10247 BOCA RATON FL           03/24</t>
  </si>
  <si>
    <t>SQ *NATURE'S NEST AROMA Hollywood FL         03/24</t>
  </si>
  <si>
    <t>NON-CHASE ATM WITHDRAW               440095  03/241940 N 30</t>
  </si>
  <si>
    <t>SQ *K&amp;K BOHEMIAN SOU Sunny Isles B FL        03/24</t>
  </si>
  <si>
    <t>WHOLEFDS BCA 101 1400B BOCA RATON FL 161121  03/23</t>
  </si>
  <si>
    <t>WHOLEFDS BCA 101 1400B BOCA RATON FL 862666  03/23</t>
  </si>
  <si>
    <t>BARNESNOBLE 1400 Glade BOCA RATON FL 544965  03/23</t>
  </si>
  <si>
    <t>YELLOW GREEN FARMERS M HOLLYWOOD FL          03/23</t>
  </si>
  <si>
    <t>WINN-DIXIE   #03 604 KEY BISCAYNE FL         03/23 Purchase $3.59 Cash Back $20.00</t>
  </si>
  <si>
    <t>MARATHON PETRO14 BOCA RATON FL       720667  03/23</t>
  </si>
  <si>
    <t>CRAZY UNCLE MIKES BOCA RATON FL              03/22</t>
  </si>
  <si>
    <t>MARATHON PETRO14 BOCA RATON FL       755383  03/28</t>
  </si>
  <si>
    <t>PUBLIX SUPER MAR 4141 BOCA RATON FL  106925  03/28</t>
  </si>
  <si>
    <t>PUBLIX SUPER MAR 21230 BOCA RATON FL 662272  03/29</t>
  </si>
  <si>
    <t>BARNESNOBLE 1400 Glade BOCA RATON FL 661076  03/29</t>
  </si>
  <si>
    <t>WHOLEFDS BCA 101 1400B BOCA RATON FL 646022  03/29</t>
  </si>
  <si>
    <t>POLLO TROPICAL 10247 BOCA RATON FL           03/28</t>
  </si>
  <si>
    <t>STARBUCKS STORE 08588 BOCA RATON FL          03/28</t>
  </si>
  <si>
    <t>ECHST.NET 866-452-5108 WA                    03/29</t>
  </si>
  <si>
    <t>PUBLIX SUPER MAR 21230 BOCA RATON FL 720008  04/01</t>
  </si>
  <si>
    <t>PRIP MART 199 BOCA RATON FL          040206  04/01</t>
  </si>
  <si>
    <t>CVS/PHARM 03818--21140 BOCA RATON FL         03/31</t>
  </si>
  <si>
    <t>SUSHI YAMA- BOCA BOCA RATON FL               03/31</t>
  </si>
  <si>
    <t>BARNESNOBLE 1400 Glade BOCA RATON FL 359643  03/31</t>
  </si>
  <si>
    <t>BARNESNOBLE 1400 Glade BOCA RATON FL 555575  03/31</t>
  </si>
  <si>
    <t>PET SUPERMARKET #126 BOCA RATON FL           03/31</t>
  </si>
  <si>
    <t>BARNESNOBLE 1400 Glade BOCA RATON FL 653122  03/31</t>
  </si>
  <si>
    <t>WHOLEFDS BCA 101 1400B BOCA RATON FL 822094  03/30</t>
  </si>
  <si>
    <t>BARNESNOBLE 1400 Glade BOCA RATON FL 842102  03/30</t>
  </si>
  <si>
    <t>BARNESNOBLE 1400 Glade BOCA RATON FL 761113  03/30</t>
  </si>
  <si>
    <t>BARNESNOBLE 1400 Glade BOCA RATON FL 946418  03/30</t>
  </si>
  <si>
    <t>CRAZY UNCLE MIKES BOCA RATON FL              03/29</t>
  </si>
  <si>
    <t>Book</t>
  </si>
  <si>
    <t>STARBUCKS STORE 08257 BOCA RATON FL          04/03</t>
  </si>
  <si>
    <t>APL* ITUNES.COM/BILL 866-712-7753 CA         04/03</t>
  </si>
  <si>
    <t>CRAZY UNCLE MIKES BOCA RATON FL              04/02</t>
  </si>
  <si>
    <t>Netflix.com netflix.com CA                   04/02</t>
  </si>
  <si>
    <t>MASSAGE ENVY 0180 561-368-2111 FL            04/02</t>
  </si>
  <si>
    <t>PUBLIC STORAGE 26829 800-567-0759 FL         04/02</t>
  </si>
  <si>
    <t>STARBUCKS STORE 08588 BOCA RATON FL          04/02</t>
  </si>
  <si>
    <t>BIERGARTEN BOCA RATON FL                     04/02</t>
  </si>
  <si>
    <t>BARNESNOBLE 1400 Glade BOCA RATON FL 516118  04/02</t>
  </si>
  <si>
    <t>WHOLEFDS BCA 101 1400B BOCA RATON FL 456093  04/02</t>
  </si>
  <si>
    <t>WHOLEFDS BCA 101 1400B BOCA RATON FL 735656  04/02</t>
  </si>
  <si>
    <t>CRAZY UNCLE MIKES BOCA RATON FL              03/31</t>
  </si>
  <si>
    <t>POS DEBIT                WALGREENS STORE 3900 N    BOCA RATON   FL</t>
  </si>
  <si>
    <t>POS DEBIT                MENCHIES B586 GARDEN SH   BOCA RATON   FL</t>
  </si>
  <si>
    <t>POS DEBIT                SHELL SERVICE STATION     POMPANO BEAC FL</t>
  </si>
  <si>
    <t>POS DEBIT                SAM ASH MUSIC #32         MARGATE      FL</t>
  </si>
  <si>
    <t>POS DEBIT                QUEEN NAILS               BOCA RATON   FL</t>
  </si>
  <si>
    <t>WHOLEFDS BCA 101 1400B BOCA RATON FL 531802  04/05</t>
  </si>
  <si>
    <t>BARNESNOBLE 1400 Glade BOCA RATON FL 847712  04/05</t>
  </si>
  <si>
    <t>MARATHON PETRO14 BOCA RATON FL       791730  04/05</t>
  </si>
  <si>
    <t>WHOLEFDS BCA 101 1400B BOCA RATON FL 629519  04/08</t>
  </si>
  <si>
    <t>BARNESNOBLE 1400 Glade BOCA RATON FL 902197  04/08</t>
  </si>
  <si>
    <t>POS DEBIT                GUITAR INSTRUCTOR        WINONA        MN</t>
  </si>
  <si>
    <t>WHOLEFDS BCA 101 1400B BOCA RATON FL 737298  04/10</t>
  </si>
  <si>
    <t>WHOLEFDS BCA 101 1400B BOCA RATON FL 658771  04/10</t>
  </si>
  <si>
    <t>STARBUCKS STORE 08588 BOCA RATON FL          04/09</t>
  </si>
  <si>
    <t>FLORIDA ATLANTIC STDNT DISB                 PPD ID: 3650385507</t>
  </si>
  <si>
    <t>BARNESNOBLE 1400 Glade BOCA RATON FL 207988  04/09</t>
  </si>
  <si>
    <t>STARBUCKS STORE 08588 BOCA RATON FL          04/08</t>
  </si>
  <si>
    <t>PUBLIX SUPER MAR 4141 BOCA RATON FL  265116  04/17</t>
  </si>
  <si>
    <t>APL* ITUNES.COM/BILL 866-712-7753 CA         04/17</t>
  </si>
  <si>
    <t>BIERGARTEN BOCA RATON FL                     04/16</t>
  </si>
  <si>
    <t>EHARMONY 424-258-1199 CA                     04/16</t>
  </si>
  <si>
    <t>WHOLEFDS BCA 101 1400B BOCA RATON FL 312574  04/16</t>
  </si>
  <si>
    <t>WHOLEFDS BCA 101 1400B BOCA RATON FL 131493  04/16</t>
  </si>
  <si>
    <t>STARBUCKS STORE 08257 BOCA RATON FL          04/15</t>
  </si>
  <si>
    <t>ANTHONYS COAL FIRED PIZ BOCA RATON FL        04/14</t>
  </si>
  <si>
    <t>PUBLIX SUPER MAR 4141 BOCA RATON FL  944318  04/14</t>
  </si>
  <si>
    <t>QUEEN NAILS BOCA RATON FL                    04/14</t>
  </si>
  <si>
    <t>WHOLEFDS BCA 101 1400B BOCA RATON FL 654199  04/14</t>
  </si>
  <si>
    <t>NORDSTROM RACK # 1400 BOCA RATON FL  937184  04/14</t>
  </si>
  <si>
    <t>BARNESNOBLE 1400 Glade BOCA RATON FL 060924  04/14</t>
  </si>
  <si>
    <t>CRAZY UNCLE MIKES BOCA RATON FL              04/13</t>
  </si>
  <si>
    <t>WHOLEFDS BCA 101 1400B BOCA RATON FL 537296  04/13</t>
  </si>
  <si>
    <t>SAM ASH MUSIC #32 MARGATE FL                 04/13</t>
  </si>
  <si>
    <t>SHELL Service Statio COCONUT CREEK FL006396  04/13</t>
  </si>
  <si>
    <t>BARNESNOBLE 1400 Glade BOCA RATON FL 907524  04/13</t>
  </si>
  <si>
    <t>DUFFY'S OF BOCA BOCA RATON FL                04/12</t>
  </si>
  <si>
    <t>STARBUCKS STORE 08588 BOCA RATON FL          04/12</t>
  </si>
  <si>
    <t>GUITAR INSTRUCTOR GUITARINSTRUC MN           04/12</t>
  </si>
  <si>
    <t>WHOLEFDS BCA 101 1400B BOCA RATON FL 204907  04/12</t>
  </si>
  <si>
    <t>STARBUCKS STORE 08588 BOCA RATON FL          04/11</t>
  </si>
  <si>
    <t>APL* ITUNES.COM/BILL 866-712-7753 CA         04/11</t>
  </si>
  <si>
    <t>PUBLIX SUPER MAR 4141 BOCA RATON FL  964923  04/11</t>
  </si>
  <si>
    <t>BARNESNOBLE 1400 Glade BOCA RATON FL 922290  04/19</t>
  </si>
  <si>
    <t>BARNESNOBLE 1400 Glade BOCA RATON FL 615627  04/19</t>
  </si>
  <si>
    <t>WHOLEFDS BCA 101 1400B BOCA RATON FL 321133  04/19</t>
  </si>
  <si>
    <t>KALPESH M. PATE BOCA RATON FL                04/19</t>
  </si>
  <si>
    <t>HAIR CUTTERY #3983 BOCA RATON FL             04/19</t>
  </si>
  <si>
    <t>POS DEBIT                ECHST.NET                 866-452-5108 WA</t>
  </si>
  <si>
    <t>POS DEBIT                MARATHON PETRO219626      FORT LAUDERD FL</t>
  </si>
  <si>
    <t>POS DEBIT                WAL-MART #3858            BOCA RATON   FL</t>
  </si>
  <si>
    <t>POS DEBIT                POLLO TROPICAL 10247      BOCA RATON   FL</t>
  </si>
  <si>
    <t>POS DEBIT                AMZN MKTP US              AMZN.COM/BIL WA</t>
  </si>
  <si>
    <t>POS DEBIT                SHELL SERVICE STATION     DELRAY BEACH FL</t>
  </si>
  <si>
    <t>BEDBATH&amp;BEYOND# 1400C BOCA RATON FL  524000  04/26</t>
  </si>
  <si>
    <t>WHOLEFDS BCA 101 1400B BOCA RATON FL 142908  04/26</t>
  </si>
  <si>
    <t>COMCAST/XFINITY 800-266-2278 FL              04/25</t>
  </si>
  <si>
    <t>GUITAR CENTER #791 DELRAY BEACH FL           04/24</t>
  </si>
  <si>
    <t>POLLO TROPICAL 10247 BOCA RATON FL           04/24</t>
  </si>
  <si>
    <t>APL*ITUNES.COM/BILL 866-712-7753 CA          04/23</t>
  </si>
  <si>
    <t>BARNESNOBLE 1400 Glade BOCA RATON FL 603037  04/24</t>
  </si>
  <si>
    <t>WHOLEFDS BCA 101 1400B BOCA RATON FL 517531  04/24</t>
  </si>
  <si>
    <t>Amazon.com*MZ7CX0QD1 Amzn.com/bill WA        04/24</t>
  </si>
  <si>
    <t>BIERGARTEN BOCA RATON FL                     04/23</t>
  </si>
  <si>
    <t>WHOLEFDS BCA 101 1400B BOCA RATON FL 661253  04/23</t>
  </si>
  <si>
    <t>PUBLIX SUPER MAR 4141 BOCA RATON FL  945557  04/23</t>
  </si>
  <si>
    <t>WHOLEFDS BCA 101 1400B BOCA RATON FL 428878  04/22</t>
  </si>
  <si>
    <t>SHELL Service Station BOCA RATON FL  049066  04/21</t>
  </si>
  <si>
    <t>CVS/PHARMACY #03 03818 BOCA RATON FL 800996  04/21</t>
  </si>
  <si>
    <t>BARNESNOBLE 1400 Glade BOCA RATON FL 513354  04/21</t>
  </si>
  <si>
    <t>WHOLEFDS BCA 101 1400B BOCA RATON FL         04/21 Purchase $9.08 Cash Back $20.00</t>
  </si>
  <si>
    <t>BARNESNOBLE 1400 Glade BOCA RATON FL 262520  04/21</t>
  </si>
  <si>
    <t>SQ *GO BISTRO Hollywood FL                   04/20</t>
  </si>
  <si>
    <t>GUITAR CENTER #791 DELRAY BEACH FL           04/20</t>
  </si>
  <si>
    <t>BARNESNOBLE 1400 Glade BOCA RATON FL 232481  04/20</t>
  </si>
  <si>
    <t>DEERFIELD BEACH CAFE DEERFIELD BEA FL        04/20</t>
  </si>
  <si>
    <t>NORTH PAVILION PARKI DEERFIELD BEA FL        04/20</t>
  </si>
  <si>
    <t>STARBUCKS STORE 08262 BOCA RATON FL          04/19</t>
  </si>
  <si>
    <t>Guitar lessons:  $80, $50</t>
  </si>
  <si>
    <t>POS CREDIT CMM MEMO - CREDIT APPLIED - V73093</t>
  </si>
  <si>
    <t>WITHDRAWAL 04/29</t>
  </si>
  <si>
    <t>Fraudulent</t>
  </si>
  <si>
    <t>reimbursed</t>
  </si>
  <si>
    <t>LatinAmericanCupid.Com Southport             04/25</t>
  </si>
  <si>
    <t>GUITAR CENTER #791 DELRAY BEACH FL           04/28</t>
  </si>
  <si>
    <t>POS DEBIT                NETFLIX.COM               NETFLIX.COM  CA</t>
  </si>
  <si>
    <t>POLLO TROPICAL 10247 BOCA RATON FL           05/01</t>
  </si>
  <si>
    <t>PETSMART # 2113 DELRAY BEACH FL      180673  05/01</t>
  </si>
  <si>
    <t>PUBLIX SUPER MAR 4141 BOCA RATON FL  713197  04/30</t>
  </si>
  <si>
    <t>WHOLEFDS BCA 101 1400B BOCA RATON FL 762700  04/30</t>
  </si>
  <si>
    <t>WHOLEFDS BCA 101 1400B BOCA RATON FL 031791  04/30</t>
  </si>
  <si>
    <t>Tipsy Boar Hollywood FL                      04/28</t>
  </si>
  <si>
    <t>Notes</t>
  </si>
  <si>
    <t>POS DEBIT                DNH*GODADDY.COM           480-5058855  AZ</t>
  </si>
  <si>
    <t>POS DEBIT                CHEVRON/BOCA RATON CHEV   BOCA RATON   FL</t>
  </si>
  <si>
    <t>ATM DEBIT 5950 GLADES RD           BOCA RATON   FL</t>
  </si>
  <si>
    <t>toaster oven</t>
  </si>
  <si>
    <t>SAM ASH MUSIC #32 MARGATE FL                 05/05</t>
  </si>
  <si>
    <t>Netflix.com netflix.com CA                   05/03</t>
  </si>
  <si>
    <t>POLLO TROPICAL 10247 BOCA RATON FL           05/08</t>
  </si>
  <si>
    <t>Wal-Mart Super Center DELRAY BEACH FL        05/08</t>
  </si>
  <si>
    <t>SHELL SERVICE STATION DELRAY BEACH FL065476  05/08</t>
  </si>
  <si>
    <t>BOCAS PREMIER DRY YAMAT BOCA RATON FL        05/07</t>
  </si>
  <si>
    <t>BIERGARTEN BOCA RATON FL                     05/07</t>
  </si>
  <si>
    <t>WHOLEFDS BCA 101 1400B BOCA RATON FL 609099  05/07</t>
  </si>
  <si>
    <t>BARNESNOBLE 1400 Glade BOCA RATON FL 534708  05/07</t>
  </si>
  <si>
    <t>PUBLIX SUPER MAR 21230 BOCA RATON FL 850217  05/07</t>
  </si>
  <si>
    <t>PUBLIX SUPER MAR 4141 BOCA RATON FL  826614  05/07</t>
  </si>
  <si>
    <t>PUBLIC STORAGE 25801 BOCA RATON FL           05/06</t>
  </si>
  <si>
    <t>WAL-MART #1589 DELRAY BEACH FL               05/10</t>
  </si>
  <si>
    <t>POLLO TROPICAL 10247 BOCA RATON FL           05/15</t>
  </si>
  <si>
    <t>CRAZY UNCLE MIKES BOCA RATON FL              05/14</t>
  </si>
  <si>
    <t>KALPESH M. PATE BOCA RATON FL                05/15</t>
  </si>
  <si>
    <t>PUBLIX SUPER MAR 4141 BOCA RATON FL  759651  05/15</t>
  </si>
  <si>
    <t>STARBUCKS STORE 08588 BOCA RATON FL          05/14</t>
  </si>
  <si>
    <t>M&amp;M THAI CAFE BOCA RATON FL                  05/13</t>
  </si>
  <si>
    <t>STARBUCKS STORE 08262 BOCA RATON FL          05/10</t>
  </si>
  <si>
    <t>APL* ITUNES.COM/BILL 866-712-7753 CA         05/14</t>
  </si>
  <si>
    <t>STARBUCKS STORE 08588 BOCA RATON FL          05/13</t>
  </si>
  <si>
    <t>Tipsy Boar Hollywood FL                      05/12</t>
  </si>
  <si>
    <t>WALGREENS STORE 3900 N BOCA RATON FL 600182  05/12</t>
  </si>
  <si>
    <t>BARNESNOBLE 1400 Glade BOCA RATON FL 603765  05/12</t>
  </si>
  <si>
    <t>REGAL CINEMSA CYPRES FT LAUDERDALE FL        05/12</t>
  </si>
  <si>
    <t>HOOTERS OF FT. LAUDE FORT LAUDERDA FL        05/12</t>
  </si>
  <si>
    <t>BARNESNOBLE 1400 Glade BOCA RATON FL 905218  05/12</t>
  </si>
  <si>
    <t>BARNESNOBLE 1400 Glade BOCA RATON FL 727046  05/11</t>
  </si>
  <si>
    <t>PUBLIX SUPER MAR 114 POMPANO BEACH FL542073  05/11</t>
  </si>
  <si>
    <t>KALPESH M. PATE BOCA RATON FL                05/11</t>
  </si>
  <si>
    <t>BARNESNOBLE 1400 Glade BOCA RATON FL 936800  05/11</t>
  </si>
  <si>
    <t>BARNESNOBLE 1400 Glade BOCA RATON FL 918479  05/11</t>
  </si>
  <si>
    <t>MENCHIES B586 GARDEN SH BOCA RATON FL        05/10</t>
  </si>
  <si>
    <t>BIERGARTEN BOCA RATON FL                     05/11</t>
  </si>
  <si>
    <t>Think this is gas station on Dixie</t>
  </si>
  <si>
    <t>WHOLEFDS BCA 101 1400B BOCA RATON FL 948190  05/17</t>
  </si>
  <si>
    <t>WHOLEFDS BCA 101 1400B BOCA RATON FL 906474  05/27</t>
  </si>
  <si>
    <t>WM SUPERC Wal-Mart Sup BOCA RATON FL         05/27</t>
  </si>
  <si>
    <t>BARNESNOBLE 1400 Glade BOCA RATON FL 148049  05/27</t>
  </si>
  <si>
    <t>CRAZY UNCLE MIKES BOCA RATON FL              05/26</t>
  </si>
  <si>
    <t>BARNESNOBLE 1400 Glade BOCA RATON FL 725704  05/26</t>
  </si>
  <si>
    <t>APL* ITUNES.COM/BILL 866-712-7753 CA         05/26</t>
  </si>
  <si>
    <t>PUBLIX SUPER MAR 5050 BOCA RATON FL  963883  05/26</t>
  </si>
  <si>
    <t>SHELL SERVICE STATION BOCA RATON FL  000676  05/26</t>
  </si>
  <si>
    <t>TOTAL WINE AND MORE 90 BOCA RATON FL         05/26</t>
  </si>
  <si>
    <t>CVS/PHARMACY #00 00770 BOCA RATON FL 725823  05/25</t>
  </si>
  <si>
    <t>WHOLEFDS BCA 101 1400B BOCA RATON FL 905508  05/25</t>
  </si>
  <si>
    <t>NORDSTROM RACK # 1400 BOCA RATON FL  938290  05/25</t>
  </si>
  <si>
    <t>HAIR CUTTERY #3983 BOCA RATON FL             05/25</t>
  </si>
  <si>
    <t>CRAZY UNCLE MIKES BOCA RATON FL              05/23</t>
  </si>
  <si>
    <t>APL*ITUNES.COM/BILL 866-712-7753 CA          05/23</t>
  </si>
  <si>
    <t>PUBLIX SUPER MAR 4141 BOCA RATON FL  602753  05/24</t>
  </si>
  <si>
    <t>WHOLEFDS BCA 101 1400B BOCA RATON FL 955584  05/24</t>
  </si>
  <si>
    <t>WHOLEFDS BCA 101 1400B BOCA RATON FL 665086  05/24</t>
  </si>
  <si>
    <t>CVS/PHARM 03818--21140 BOCA RATON FL         05/23</t>
  </si>
  <si>
    <t>POLLO TROPICAL 10247 BOCA RATON FL           05/22</t>
  </si>
  <si>
    <t>TOBU #91 BOCA RATON FL                       05/22</t>
  </si>
  <si>
    <t>CRAZY UNCLE MIKES BOCA RATON FL              05/21</t>
  </si>
  <si>
    <t>TOTAL WINE AND MORE 90 BOCA RATON FL         05/22</t>
  </si>
  <si>
    <t>PUBLIX SUPER MAR 4141 BOCA RATON FL  813320  05/22</t>
  </si>
  <si>
    <t>FAST FIX JEWELRY&amp;WATCH BOCA RATON FL 191654  05/22</t>
  </si>
  <si>
    <t>BIERGARTEN BOCA RATON FL                     05/21</t>
  </si>
  <si>
    <t>PUBLIX SUPER MAR 5050 BOCA RATON FL  719299  05/21</t>
  </si>
  <si>
    <t>PUBLIX SUPER MAR 4141 BOCA RATON FL  964496  05/20</t>
  </si>
  <si>
    <t>CINEMARK MOVIE BISTRO BOCA RATON FL          05/19</t>
  </si>
  <si>
    <t>WHOLEFDS BCA 101 1400B BOCA RATON FL 302323  05/19</t>
  </si>
  <si>
    <t>CNK*CINEMARK.COM 1048 800-246-3627 FL        05/20</t>
  </si>
  <si>
    <t>7-ELEVEN FORT LAUDERDA FL                    05/19</t>
  </si>
  <si>
    <t>BARNESNOBLE 1400 Glade BOCA RATON FL 837984  05/19</t>
  </si>
  <si>
    <t>CRAZY UNCLE MIKES BOCA RATON FL              05/18</t>
  </si>
  <si>
    <t>ROBOT BREWING COMPANY BOCA RATON FL          05/18</t>
  </si>
  <si>
    <t>CHIPOTLE 1689 BOCA RATON FL                  05/18</t>
  </si>
  <si>
    <t>SUSHI YAMA- BOCA BOCA RATON FL               05/18</t>
  </si>
  <si>
    <t>ATM WITHDRAWAL                       005434  05/185950 GLAD</t>
  </si>
  <si>
    <t>BARNESNOBLE 1400 Glade BOCA RATON FL 555791  05/18</t>
  </si>
  <si>
    <t>SAM ASH MUSIC #32 MARGATE FL                 05/18</t>
  </si>
  <si>
    <t>ATM WITHDRAWAL                       004172  05/183901 N FE</t>
  </si>
  <si>
    <t>BIERGARTEN BOCA RATON FL                     05/18</t>
  </si>
  <si>
    <t>APL* ITUNES.COM/BILL 866-712-7753 CA         05/18</t>
  </si>
  <si>
    <t>Guitar lessons:  $50</t>
  </si>
  <si>
    <t>Gift for Howard</t>
  </si>
  <si>
    <t>Transferred money into 3721 account to cover 58% of auto insurance</t>
  </si>
  <si>
    <t>CVS/PHARMACY #00 00770 BOCA RATON FL 460198  05/30</t>
  </si>
  <si>
    <t>BARNESNOBLE 1400 Glade BOCA RATON FL 910124  05/30</t>
  </si>
  <si>
    <t>PUBLIX SUPER MAR 4141 BOCA RATON FL  934727  05/30</t>
  </si>
  <si>
    <t>POLLO TROPICAL 10247 BOCA RATON FL           05/29</t>
  </si>
  <si>
    <t>AUSTIN PEAY STATE UNIV CLARKSVILLE TN        05/29</t>
  </si>
  <si>
    <t>BARNESNOBLE 1400 Glade BOCA RATON FL 014102  05/31</t>
  </si>
  <si>
    <t>PUBLIX SUPER MAR 4141 BOCA RATON FL  512606  05/31</t>
  </si>
  <si>
    <t>CVS/PHARMACY #00 00426 Boca Raton FL 656288  05/31</t>
  </si>
  <si>
    <t>ATM WITHDRAWAL                       005157  05/31853 S FED</t>
  </si>
  <si>
    <t>WALGREENS STORE 3900 N BOCA RATON FL 828288  05/31</t>
  </si>
  <si>
    <t>WHOLEFDS BCA 101 1400B BOCA RATON FL 429956  06/04</t>
  </si>
  <si>
    <t>PUBLIX SUPER MAR 5050 BOCA RATON FL  626093  06/04</t>
  </si>
  <si>
    <t>WALGREENS #5433 BOCA RATON FL                06/03</t>
  </si>
  <si>
    <t>RENAISSANCE HOTELS SEA ORLANDO FL            06/03</t>
  </si>
  <si>
    <t>SPICE ROAD TABLE LAKE BUENA VI FL            06/01</t>
  </si>
  <si>
    <t>AVIS RENT-A-CAR 1 BOCA RATON FL              06/03</t>
  </si>
  <si>
    <t>ATM CASH DEPOSIT 06/04 3901 N FEDERAL HWY BOCA RATON FL</t>
  </si>
  <si>
    <t>PUBLIC STORAGE 26829 BOCA RATON FL           06/03</t>
  </si>
  <si>
    <t>WALGREENS STORE 3900 N BOCA RATON FL 826187  06/03</t>
  </si>
  <si>
    <t>PUBLIX SUPER MAR 4141 BOCA RATON FL  904735  06/03</t>
  </si>
  <si>
    <t>MARATHON PETRO14 BOCA RATON FL       725259  06/03</t>
  </si>
  <si>
    <t>MARATHON PETRO14 BOCA RATON FL       747338  06/02</t>
  </si>
  <si>
    <t>PUBLIX SUPER MAR 4141 BOCA RATON FL  946853  06/02</t>
  </si>
  <si>
    <t>HAMMOCK LANDING WEST MELBOURN FL             06/02</t>
  </si>
  <si>
    <t>APL* ITUNES.COM/BILL 866-712-7753 CA         06/02</t>
  </si>
  <si>
    <t>Netflix.com netflix.com CA                   06/02</t>
  </si>
  <si>
    <t>JOFFREY'S COFFEE #30 LAKE BUENA VI FL        06/02</t>
  </si>
  <si>
    <t>FISH &amp; CHIPS KIOSK LAKE BUENA VI FL          06/01</t>
  </si>
  <si>
    <t>TEST TRACK SIMPORIU LAKE BUENA VI FL         06/01</t>
  </si>
  <si>
    <t>GERMANY PRETZEL WAG LAKE BUENA VI FL         06/01</t>
  </si>
  <si>
    <t>DISNEY TICKETS EPCO LAKE BUENA VI FL         06/01</t>
  </si>
  <si>
    <t>DISNEY EC PARKING LAKE BUENA VI FL           06/01</t>
  </si>
  <si>
    <t>SQ *GO BISTRO Hollywood FL                   05/31</t>
  </si>
  <si>
    <t>HOLLYWD TOWN PKG ON STR HOLLYWOOD FL         05/31</t>
  </si>
  <si>
    <t>RAW JUCE BOCA RATON FL                       05/31</t>
  </si>
  <si>
    <t>BIERGARTEN BOCA RATON FL                     05/31</t>
  </si>
  <si>
    <t>Birthday money</t>
  </si>
  <si>
    <t>POS DEBIT                RAW JUCE                 BOCA RATON    FL</t>
  </si>
  <si>
    <t>SHELL SERVICE STATION BOCA RATON FL  098587  06/18</t>
  </si>
  <si>
    <t>CVS/PHARMACY #03 03818 BOCA RATON FL 704889  06/18</t>
  </si>
  <si>
    <t>AVIS RENT-A-CAR 1 BOCA RATON FL              06/17</t>
  </si>
  <si>
    <t>HUBBARDS MARINA STRIPE.COM FL                06/15</t>
  </si>
  <si>
    <t>PUBLIX SUPER MAR 4141 BOCA RATON FL  940026  06/17</t>
  </si>
  <si>
    <t>WHOLEFDS BCA 101 1400B BOCA RATON FL 941010  06/16</t>
  </si>
  <si>
    <t>BARNESNOBLE 1400 Glade BOCA RATON FL 115103  06/16</t>
  </si>
  <si>
    <t>YAMATO U GAS BOCA RATON FL                   06/16</t>
  </si>
  <si>
    <t>RACETRAC  2301 FT MYERS FL           060479  06/16</t>
  </si>
  <si>
    <t>RACETRAC  2301 FT MYERS FL           859341  06/16</t>
  </si>
  <si>
    <t>HILTON HOTELS ST PET SAINT PETERSB FL        06/16</t>
  </si>
  <si>
    <t>OAK AND STONE OF ST ST PETERSBURG FL         06/15</t>
  </si>
  <si>
    <t>SQ *CRAFT KAFE METRO St Petersburg FL        06/15</t>
  </si>
  <si>
    <t>THE DALI MUSEUM 1 DA ST. PETERSBUR FL        06/15</t>
  </si>
  <si>
    <t>FRIENDLY FISHERMAN, MADEIRA BEACH FL         06/15</t>
  </si>
  <si>
    <t>SHELL SERVICE STATIO TREASURE ISLA FL391973  06/15</t>
  </si>
  <si>
    <t>MCDONALD'S F7161 TREASURE ISLA FL            06/15</t>
  </si>
  <si>
    <t>DUFFY'S OF BOCA BOCA RATON FL                06/14</t>
  </si>
  <si>
    <t>MASSAGE ENVY 0180 BOCA RATON FL              06/14</t>
  </si>
  <si>
    <t>GUITAR CENTER #791 DELRAY BEACH FL           06/14</t>
  </si>
  <si>
    <t>CRAZY UNCLE MIKES BOCA RATON FL              06/13</t>
  </si>
  <si>
    <t>RACETRAC111 PRT CHARLOTE FL          053459  06/14</t>
  </si>
  <si>
    <t>RACETRAC111 PRT CHARLOTE FL          052754  06/14</t>
  </si>
  <si>
    <t>CVS/PHARMACY #03 03818 BOCA RATON FL 917500  06/14</t>
  </si>
  <si>
    <t>BIERGARTEN BOCA RATON FL                     06/13</t>
  </si>
  <si>
    <t>HAIR CUTTERY #3983 BOCA RATON FL             06/13</t>
  </si>
  <si>
    <t>POLLO TROPICAL 10247 BOCA RATON FL           06/12</t>
  </si>
  <si>
    <t>CRAZY UNCLE MIKES BOCA RATON FL              06/11</t>
  </si>
  <si>
    <t>7339 YOUFIT BOCA RATON BOCA RATON FL         06/11</t>
  </si>
  <si>
    <t>YAMATO U GAS BOCA RATON FL                   06/12</t>
  </si>
  <si>
    <t>STARBUCKS STORE 08262 BOCA RATON FL          06/11</t>
  </si>
  <si>
    <t>APL* ITUNES.COM/BILL 866-712-7753 CA         06/11</t>
  </si>
  <si>
    <t>AVIS RENT A CAR TOLLS 866-6422000 NY         06/11</t>
  </si>
  <si>
    <t>BIERGARTEN BOCA RATON FL                     06/11</t>
  </si>
  <si>
    <t>CRAZY UNCLE MIKES BOCA RATON FL              06/09</t>
  </si>
  <si>
    <t>COMCAST/XFINITY 800-266-2278 FL              06/10</t>
  </si>
  <si>
    <t>BARNESNOBLE 1400 Glade BOCA RATON FL 664835  06/09</t>
  </si>
  <si>
    <t>PUBLIX SUPER MAR 4141 BOCA RATON FL  703472  06/09</t>
  </si>
  <si>
    <t>WHOLEFDS BCA 101 1400B BOCA RATON FL 221439  06/08</t>
  </si>
  <si>
    <t>GUITAR CENTER #791 DELRAY BEACH FL           06/08</t>
  </si>
  <si>
    <t>SAMASH.COM 800-472-6274 FL                   06/09</t>
  </si>
  <si>
    <t>AMZN Mktp US*M608N7X Amzn.com/bill WA        06/10</t>
  </si>
  <si>
    <t>APL* ITUNES.COM/BILL 866-712-7753 CA         06/07</t>
  </si>
  <si>
    <t>BIERGARTEN BOCA RATON FL                     06/07</t>
  </si>
  <si>
    <t>WHOLEFDS BCA 101 1400B BOCA RATON FL 263513  06/07</t>
  </si>
  <si>
    <t>FLORIDA AQUARIUM WWW.FLAQUARIU FL            06/06</t>
  </si>
  <si>
    <t>HUBBARDS MARINA STRIPE.COM FL                06/06</t>
  </si>
  <si>
    <t>BARNESNOBLE 1400 Glade BOCA RATON FL 832010  06/06</t>
  </si>
  <si>
    <t>BARNESNOBLE 1400 Glade BOCA RATON FL 706346  06/05</t>
  </si>
  <si>
    <t>WHOLEFDS BCA 101 1400B BOCA RATON FL 858886  06/05</t>
  </si>
  <si>
    <t>SHELL SERVICE STATIO POMPANO BEACH FL048842  06/05</t>
  </si>
  <si>
    <t>Book for school</t>
  </si>
  <si>
    <t>POS DEBIT                AVIS RENT A CAR TOLLS    800-4820159   NY</t>
  </si>
  <si>
    <t>PUBLIX SUPER MAR 21230 BOCA RATON FL 904789  06/25</t>
  </si>
  <si>
    <t>BOCAS PREMIER DRY YAMAT BOCA RATON FL        06/24</t>
  </si>
  <si>
    <t>APL*ITUNES.COM/BILL 866-712-7753 CA          06/23</t>
  </si>
  <si>
    <t>PUBLIX SUPER MAR 21230 BOCA RATON FL 954676  06/24</t>
  </si>
  <si>
    <t>SHELL SERVICE STATION BOCA RATON FL  062400  06/24</t>
  </si>
  <si>
    <t>WM SUPERC Wal-Mart Sup BOCA RATON FL         06/23</t>
  </si>
  <si>
    <t>BARNESNOBLE 1400 Glade BOCA RATON FL 805092  06/23</t>
  </si>
  <si>
    <t>WHOLEFDS BCA 101 1400B BOCA RATON FL 650786  06/23</t>
  </si>
  <si>
    <t>WALGREENS STORE 3900 N BOCA RATON FL 654102  06/22</t>
  </si>
  <si>
    <t>BIERGARTEN BOCA RATON FL                     06/23</t>
  </si>
  <si>
    <t>BARNESNOBLE 1400 Glade BOCA RATON FL 339251  06/22</t>
  </si>
  <si>
    <t>PUBLIX SUPER MAR 21230 BOCA RATON FL 629902  06/22</t>
  </si>
  <si>
    <t>WHOLEFDS BCA 101 1400B BOCA RATON FL 502905  06/22</t>
  </si>
  <si>
    <t>BARNESNOBLE 1400 Glade BOCA RATON FL 856935  06/22</t>
  </si>
  <si>
    <t>APL* ITUNES.COM/BILL 866-712-7753 CA         06/22</t>
  </si>
  <si>
    <t>APL*ITUNES.COM/BILL 866-712-7753 CA          06/22</t>
  </si>
  <si>
    <t>BIERGARTEN BOCA RATON FL                     06/22</t>
  </si>
  <si>
    <t>APL* ITUNES.COM/BILL 866-712-7753 CA         06/21</t>
  </si>
  <si>
    <t>APL*ITUNES.COM/BILL 866-712-7753 CA          06/21</t>
  </si>
  <si>
    <t>CRAZY UNCLE MIKES BOCA RATON FL              06/20</t>
  </si>
  <si>
    <t>AUDIO MAGNETIC PROFESS WELLINGTON FL 071720  06/21</t>
  </si>
  <si>
    <t>BARNESNOBLE 1400 Glade BOCA RATON FL 848893  06/20</t>
  </si>
  <si>
    <t>BARNESNOBLE 1400 Glade BOCA RATON FL 023660  06/20</t>
  </si>
  <si>
    <t>PUBLIX SUPER MAR 4141 BOCA RATON FL  513316  06/20</t>
  </si>
  <si>
    <t>CRAZY UNCLE MIKES BOCA RATON FL              06/18</t>
  </si>
  <si>
    <t>Gift bag for Gladys</t>
  </si>
  <si>
    <t>Guitar magazine</t>
  </si>
  <si>
    <t>Mboogie repair</t>
  </si>
  <si>
    <t>POS DEBIT                APL*ITUNES.COM/BILL      866-712-7753  CA</t>
  </si>
  <si>
    <t>WHOLEFDS BCA 101 1400B BOCA RATON FL 719246  07/10</t>
  </si>
  <si>
    <t>PUBLIX SUPER MAR 5050 BOCA RATON FL  538485  07/10</t>
  </si>
  <si>
    <t>BIERGARTEN BOCA RATON FL                     07/09</t>
  </si>
  <si>
    <t>WHOLEFDS BCA 101 1400B BOCA RATON FL 823496  07/09</t>
  </si>
  <si>
    <t>CRAZY UNCLE MIKES BOCA RATON FL              07/07</t>
  </si>
  <si>
    <t>SHENANIGANS SPORTS PUB 954-9819702 FL        07/07</t>
  </si>
  <si>
    <t>WHOLEFDS BCA 101 1400B BOCA RATON FL 247509  07/08</t>
  </si>
  <si>
    <t>WHOLEFDS BCA 101 1400B BOCA RATON FL 117533  07/06</t>
  </si>
  <si>
    <t>BARNESNOBLE 1400 Glade BOCA RATON FL 539168  07/06</t>
  </si>
  <si>
    <t>PUBLIX SUPER MAR 4141 BOCA RATON FL  638415  07/06</t>
  </si>
  <si>
    <t>BARNESNOBLE 1400 Glade BOCA RATON FL 706576  07/06</t>
  </si>
  <si>
    <t>APL* ITUNES.COM/BILL 866-712-7753 CA         07/06</t>
  </si>
  <si>
    <t>WHOLEFDS BCA 101 1400B BOCA RATON FL 639624  07/05</t>
  </si>
  <si>
    <t>PUBLIX SUPER MAR 114 POMPANO BEACH FL927448  07/05</t>
  </si>
  <si>
    <t>MARATHON PETRO14 BOCA RATON FL       738552  07/05</t>
  </si>
  <si>
    <t>WITHDRAWAL 07/05</t>
  </si>
  <si>
    <t>PUBLIX SUPER MAR 114 POMPANO BEACH FL903256  07/05</t>
  </si>
  <si>
    <t>THE HOME DEPOT #0208 POMPANO BEACH FL393681  07/05</t>
  </si>
  <si>
    <t>SQ *GO BISTRO Hollywood FL                   07/04</t>
  </si>
  <si>
    <t>HOLLYWD TOWN PKG ON STR HOLLYWOOD FL         07/04</t>
  </si>
  <si>
    <t>PUBLIX SUPER MAR 114 POMPANO BEACH FL703087  07/04</t>
  </si>
  <si>
    <t>PUBLIX SUPER MAR 114 POMPANO BEACH FL756010  07/04</t>
  </si>
  <si>
    <t>THE HOME DEPOT #0204 BOCA RATON FL   457464  07/04</t>
  </si>
  <si>
    <t>BIERGARTEN BOCA RATON FL                     07/04</t>
  </si>
  <si>
    <t>CRAZY UNCLE MIKES BOCA RATON FL              07/02</t>
  </si>
  <si>
    <t>Netflix.com netflix.com CA                   07/02</t>
  </si>
  <si>
    <t>MASSAGE ENVY 0180 561-368-2111 FL            07/02</t>
  </si>
  <si>
    <t>PUBLIC STORAGE 26829 BOCA RATON FL           07/03</t>
  </si>
  <si>
    <t>PUBLIX SUPER MAR 4141 BOCA RATON FL  013794  07/03</t>
  </si>
  <si>
    <t>APL*ITUNES.COM/BILL 866-712-7753 CA          07/03</t>
  </si>
  <si>
    <t>PUBLIX SUPER MAR 4141 BOCA RATON FL  844891  07/02</t>
  </si>
  <si>
    <t>PUBLIX SUPER MAR 4141 BOCA RATON FL  855979  07/02</t>
  </si>
  <si>
    <t>ABC*YOUFIT HEALTH CLUB 561-3672326 FL        06/28</t>
  </si>
  <si>
    <t>PUBLIX SUPER MAR 4141 BOCA RATON FL  632961  07/01</t>
  </si>
  <si>
    <t>TOTAL WINE AND MORE 90 BOCA RATON FL         07/01</t>
  </si>
  <si>
    <t>PUBLIX SUPER MAR 114 POMPANO BEACH FL522522  07/01</t>
  </si>
  <si>
    <t>SHELL SERVICE STATIO POMPANO BEACH FL022453  07/01</t>
  </si>
  <si>
    <t>PUBLIX SUPER MAR 5050 BOCA RATON FL  808833  07/01</t>
  </si>
  <si>
    <t>HAIR CUTTERY #3983 BOCA RATON FL             07/01</t>
  </si>
  <si>
    <t>DADA DELRAY BEACH FL                         06/30</t>
  </si>
  <si>
    <t>BARNESNOBLE 1400 Glade BOCA RATON FL 307739  06/30</t>
  </si>
  <si>
    <t>CRAZY UNCLE MIKES BOCA RATON FL              06/29</t>
  </si>
  <si>
    <t>BARNESNOBLE 1400 Glade BOCA RATON FL 557995  06/29</t>
  </si>
  <si>
    <t>PUBLIX SUPER MAR 4141 BOCA RATON FL  632952  06/29</t>
  </si>
  <si>
    <t>BARNESNOBLE 1400 Glade BOCA RATON FL 760012  06/29</t>
  </si>
  <si>
    <t>CRAZY UNCLE MIKES BOCA RATON FL              06/27</t>
  </si>
  <si>
    <t>WHOLEFDS BCA 101 1400B BOCA RATON FL 744687  06/28</t>
  </si>
  <si>
    <t>WHOLEFDS BCA 101 1400B BOCA RATON FL 364724  06/28</t>
  </si>
  <si>
    <t>BARNESNOBLE 1400 Glade BOCA RATON FL 805711  06/28</t>
  </si>
  <si>
    <t>PUBLIX SUPER MAR 4141 BOCA RATON FL  632222  06/28</t>
  </si>
  <si>
    <t>APL* ITUNES.COM/BILL 866-712-7753 CA         06/28</t>
  </si>
  <si>
    <t>PUBLIX SUPER MAR 4141 BOCA RATON FL  202310  06/27</t>
  </si>
  <si>
    <t>YAMATO U GAS BOCA RATON FL           037580  06/27</t>
  </si>
  <si>
    <t>BOLAY S BOCA BOCA RATON FL                   06/26</t>
  </si>
  <si>
    <t>POS DEBIT                THE HOME DEPOT #0208      POMPANO BEAC FL</t>
  </si>
  <si>
    <t>POS DEBIT                PUBLIX SUPER MAR 1940 C   FT LAUDERDAL FL</t>
  </si>
  <si>
    <t>POS DEBIT                RACETRAC553               FT LAUDERDAL FL</t>
  </si>
  <si>
    <t>AUDIO MAGNETIC PROFESS WELLINGTON FL 221160  07/12</t>
  </si>
  <si>
    <t>PUBLIX SUPER MAR 4141 BOCA RATON FL  629035  07/11</t>
  </si>
  <si>
    <t>PUBLIX SUPER MAR 21230 BOCA RATON FL 536291  07/11</t>
  </si>
  <si>
    <t>PUBLIX SUPER MAR 4141 BOCA RATON FL  361445  07/11</t>
  </si>
  <si>
    <t>MARATHON PETRO14 BOCA RATON FL       860926  07/11</t>
  </si>
  <si>
    <t>APL*ITUNES.COM/BILL 866-712-7753 CA          07/10</t>
  </si>
  <si>
    <t>CRAZY UNCLE MIKES BOCA RATON FL              07/09</t>
  </si>
  <si>
    <t>Pride Air Conditioning 954-977-7433 FL        07/03</t>
  </si>
  <si>
    <t>$70 withdrawn for Larry Rubin (guitar)</t>
  </si>
  <si>
    <t>POS DEBIT                AUSTIN PEAY STATE UNIV    CLARKSVILLE  TN</t>
  </si>
  <si>
    <t>POS DEBIT                ENTERPRISE RENT-A-CAR     BOCA RATON   FL</t>
  </si>
  <si>
    <t>APL*ITUNES.COM/BILL 866-712-7753 CA          08/23</t>
  </si>
  <si>
    <t>COMCAST/XFINITY 800-266-2278 FL              08/25</t>
  </si>
  <si>
    <t>TRADER JOE'S #771 QPS DELRAY BEACH FL971613  08/26</t>
  </si>
  <si>
    <t>GUITAR CENTER #791 DELRAY BEACH FL           08/26</t>
  </si>
  <si>
    <t>PUBLIX SUPER MAR 4141 BOCA RATON FL  527776  08/25</t>
  </si>
  <si>
    <t>MARATHON PETRO149062 BOCA RATON FL           08/25</t>
  </si>
  <si>
    <t>ICHIYAMI BUFFET   SU BOCA RATON FL           08/25</t>
  </si>
  <si>
    <t>WM SUPERC Wal-Mart Sup BOCA RATON FL         08/25</t>
  </si>
  <si>
    <t>CRAZY UNCLE MIKES BOCA RATON FL              08/24</t>
  </si>
  <si>
    <t>PUBLIX SUPER MAR 4141 BOCA RATON FL  301129  08/24</t>
  </si>
  <si>
    <t>ICHIYAMI BUFFET   SU BOCA RATON FL           08/24</t>
  </si>
  <si>
    <t>ANTHONYS COAL FIRED PIZ BOCA RATON FL        08/23</t>
  </si>
  <si>
    <t>CRAZY UNCLE MIKES BOCA RATON FL              08/22</t>
  </si>
  <si>
    <t>STARBUCKS STORE 08588 BOCA RATON FL          08/21</t>
  </si>
  <si>
    <t>CRAZY UNCLE MIKES BOCA RATON FL              08/20</t>
  </si>
  <si>
    <t>WHOLEFDS BCA 101 1400B BOCA RATON FL 724412  08/21</t>
  </si>
  <si>
    <t>POLLO TROPICAL 10247 BOCA RATON FL           08/20</t>
  </si>
  <si>
    <t>ENTERPRISE RENT-A-CAR BOCA RATON FL          08/20</t>
  </si>
  <si>
    <t>SQ *FABY LOUIS ENTER Pompano Beach FL        08/20</t>
  </si>
  <si>
    <t>PUBLIX SUPER MAR 4141 BOCA RATON FL  207161  08/20</t>
  </si>
  <si>
    <t>PRIP MART 199 BOCA RATON FL          089173  08/20</t>
  </si>
  <si>
    <t>ZARA USA 12063 AVENTURA FL                   08/18</t>
  </si>
  <si>
    <t>WALGREENS STORE 3900 N BOCA RATON FL 416985  08/19</t>
  </si>
  <si>
    <t>BARNESNOBLE 1400 Glade BOCA RATON FL 205191  08/18</t>
  </si>
  <si>
    <t>WHOLEFDS BCA 101 1400B BOCA RATON FL 654015  08/18</t>
  </si>
  <si>
    <t>CHEESECAKE BOCA RATON BOCA RATON FL          08/18</t>
  </si>
  <si>
    <t>WALGREENS STORE 3900 N BOCA RATON FL 603986  08/18</t>
  </si>
  <si>
    <t>MARATHON PETRO14 BOCA RATON FL               08/18</t>
  </si>
  <si>
    <t>PUBLIX SUPER MAR 4141 BOCA RATON FL  827609  08/18</t>
  </si>
  <si>
    <t>PUBLIX SUPER MAR 4141 BOCA RATON FL  118352  08/18</t>
  </si>
  <si>
    <t>CRAZY UNCLE MIKES BOCA RATON FL              08/17</t>
  </si>
  <si>
    <t>RAW JUCE BOCA RATON FL                       08/17</t>
  </si>
  <si>
    <t>YAMATO U GAS BOCA RATON FL                   08/17</t>
  </si>
  <si>
    <t>CARRABBAS 6017 DELRAY BEACH FL               08/16</t>
  </si>
  <si>
    <t>APL* ITUNES.COM/BILL 866-712-7753 CA         08/15</t>
  </si>
  <si>
    <t>WHOLEFDS BCA 101 1400B BOCA RATON FL 611880  08/15</t>
  </si>
  <si>
    <t>BOLAY S BOCA BOCA RATON FL                   08/14</t>
  </si>
  <si>
    <t>CRAZY UNCLE MIKES BOCA RATON FL              08/13</t>
  </si>
  <si>
    <t>AMZN Mktp US*MA5Y64D Amzn.com/bill WA        08/14</t>
  </si>
  <si>
    <t>COMCAST/XFINITY 800-266-2278 FL              08/14</t>
  </si>
  <si>
    <t>PUBLIX SUPER MAR 5050 BOCA RATON FL  607988  08/13</t>
  </si>
  <si>
    <t>HAIR CUTTERY #3983 BOCA RATON FL             08/13</t>
  </si>
  <si>
    <t>YAMATO U GAS BOCA RATON FL                   08/13</t>
  </si>
  <si>
    <t>PUBLIX SUPER MAR 4141 BOCA RATON FL  347405  08/13</t>
  </si>
  <si>
    <t>CRAZY UNCLE MIKES BOCA RATON FL              08/11</t>
  </si>
  <si>
    <t>PUBLIX SUPER MAR 4141 BOCA RATON FL  138989  08/12</t>
  </si>
  <si>
    <t>BARNESNOBLE 1400 Glade BOCA RATON FL 729758  08/11</t>
  </si>
  <si>
    <t>CRAZY UNCLE MIKES BOCA RATON FL              08/10</t>
  </si>
  <si>
    <t>NORDSTROM RACK # 1400 BOCA RATON FL  542089  08/10</t>
  </si>
  <si>
    <t>GUITAR CENTER #791 DELRAY BEACH FL           08/10</t>
  </si>
  <si>
    <t>BOLAY S BOCA BOCA RATON FL                   08/10</t>
  </si>
  <si>
    <t>BARNESNOBLE 1400 Glade BOCA RATON FL 961950  08/10</t>
  </si>
  <si>
    <t>AMZN Mktp US*MA3AV17 Amzn.com/bill WA        08/11</t>
  </si>
  <si>
    <t>NORDSTROM 1400 GLADES BOCA RATON FL          08/11</t>
  </si>
  <si>
    <t>THE HOME DEPOT #6315 DELRAY BEACH FL 984338  08/09</t>
  </si>
  <si>
    <t>GUITAR CENTER #791 DELRAY BEACH FL   977099  08/08</t>
  </si>
  <si>
    <t>BOCAS PREMIER DRY YAMAT BOCA RATON FL        08/07</t>
  </si>
  <si>
    <t>APL* ITUNES.COM/BILL 866-712-7753 CA         08/07</t>
  </si>
  <si>
    <t xml:space="preserve">CHECK 8343  </t>
  </si>
  <si>
    <t>PAYPAL           INST XFER  1006292387407   WEB ID: PAYPALSI77</t>
  </si>
  <si>
    <t>YAMATO U GAS BOCA RATON FL                   08/07</t>
  </si>
  <si>
    <t>TRADER JOE'S #771 QPS DELRAY BEACH FL490560  08/07</t>
  </si>
  <si>
    <t>Online Transfer to CHK ...3721 transaction#: 8514209021 08/07</t>
  </si>
  <si>
    <t>PUBLIX SUPER MAR 4141 BOCA RATON FL  549419  08/07</t>
  </si>
  <si>
    <t>CRAZY UNCLE MIKES BOCA RATON FL              08/04</t>
  </si>
  <si>
    <t>PAYPAL *CUPID MEDIA 4029357733               08/04</t>
  </si>
  <si>
    <t>Netflix.com netflix.com CA                   08/02</t>
  </si>
  <si>
    <t>MASSAGE ENVY 0180 561-368-2111 FL            08/02</t>
  </si>
  <si>
    <t>PUBLIC STORAGE 26829 BOCA RATON FL           08/03</t>
  </si>
  <si>
    <t>WHOLEFDS BCA 101 1400B BOCA RATON FL 719074  08/05</t>
  </si>
  <si>
    <t>PUBLIX SUPER MAR 4141 BOCA RATON FL  727288  08/05</t>
  </si>
  <si>
    <t>PUBLIX SUPER MAR 21230 BOCA RATON FL 219207  08/04</t>
  </si>
  <si>
    <t>BARNESNOBLE 1400 Glade BOCA RATON FL 828197  08/04</t>
  </si>
  <si>
    <t>CRAZY UNCLE MIKES BOCA RATON FL              08/03</t>
  </si>
  <si>
    <t>SUSHI YAMA- BOCA BOCA RATON FL               08/03</t>
  </si>
  <si>
    <t>MARATHON PETRO14 BOCA RATON FL       831279  08/03</t>
  </si>
  <si>
    <t>WHOLEFDS BCA 101 1400B BOCA RATON FL         08/03 Purchase $6.75 Cash Back $60.00</t>
  </si>
  <si>
    <t>BARNESNOBLE 1400 Glade BOCA RATON FL 657813  08/03</t>
  </si>
  <si>
    <t>AMZN Mktp US*MA60P4X Amzn.com/bill WA        08/03</t>
  </si>
  <si>
    <t>CRAZY UNCLE MIKES BOCA RATON FL              08/01</t>
  </si>
  <si>
    <t>WHOLEFDS BCA 101 1400B BOCA RATON FL 660059  08/02</t>
  </si>
  <si>
    <t>BARNESNOBLE 1400 Glade BOCA RATON FL 500440  08/02</t>
  </si>
  <si>
    <t>BARNESNOBLE 1400 Glade BOCA RATON FL 805247  08/02</t>
  </si>
  <si>
    <t>PUBLIX SUPER MAR 4141 BOCA RATON FL  801611  08/02</t>
  </si>
  <si>
    <t>PUBLIX SUPER MAR 4141 BOCA RATON FL  026695  08/02</t>
  </si>
  <si>
    <t>BOLAY S BOCA BOCA RATON FL                   07/31</t>
  </si>
  <si>
    <t>STARBUCKS STORE 08588 BOCA RATON FL          07/31</t>
  </si>
  <si>
    <t>OREILLY AUTO PARTS #54 BOCA RATON FL 845121  07/31</t>
  </si>
  <si>
    <t>ATM CHECK DEPOSIT 07/31 3901 N FEDERAL HWY BOCA RATON FL</t>
  </si>
  <si>
    <t>WHOLEFDS BCA 101 1400B BOCA RATON FL 641834  07/30</t>
  </si>
  <si>
    <t>TRUEFIRE.COM 727-898-8866 FL                 07/29</t>
  </si>
  <si>
    <t>CRAZY UNCLE MIKES BOCA RATON FL              07/28</t>
  </si>
  <si>
    <t>ABC*YOUFIT HEALTH CLUB 561-3672326 FL        07/28</t>
  </si>
  <si>
    <t>PUBLIX SUPER MAR 4141 BOCA RATON FL  601359  07/29</t>
  </si>
  <si>
    <t>HAIR CUTTERY #3983 BOCA RATON FL             07/29</t>
  </si>
  <si>
    <t>BARNESNOBLE 1400 Glade BOCA RATON FL 840348  07/28</t>
  </si>
  <si>
    <t>BOCA BRAZIL SUPERMERCAD BOCA RATON FL        07/28</t>
  </si>
  <si>
    <t>PICANHA BRAZIL STEAK HS BOCA RATON FL        07/28</t>
  </si>
  <si>
    <t>YELLOW GREEN FARMERS MA HOLLYWOOD FL         07/28</t>
  </si>
  <si>
    <t>NON-CHASE ATM WITHDRAW               389750  07/281940 N 30</t>
  </si>
  <si>
    <t>SHELL SERVICE S HOLLYWOOD FL                 07/28</t>
  </si>
  <si>
    <t>CRAZY UNCLE MIKES BOCA RATON FL              07/27</t>
  </si>
  <si>
    <t>BARNESNOBLE 1400 Glade BOCA RATON FL 708444  07/27</t>
  </si>
  <si>
    <t>TRUEFIRE.COM 727-898-8866 FL                 07/27</t>
  </si>
  <si>
    <t>BIERGARTEN BOCA RATON FL                     07/27</t>
  </si>
  <si>
    <t>1940 N 30TH RD HOLLYWOOD FL          389750  07/28</t>
  </si>
  <si>
    <t>YAMATO U GAS BOCA RATON FL           051702  07/26</t>
  </si>
  <si>
    <t>PUBLIX SUPER MAR 4141 BOCA RATON FL  507342  07/26</t>
  </si>
  <si>
    <t>CRAZY UNCLE MIKES BOCA RATON FL              07/24</t>
  </si>
  <si>
    <t>WALGREENS STORE 3900 N BOCA RATON FL 452482  07/25</t>
  </si>
  <si>
    <t>PUBLIX SUPER MAR 4141 BOCA RATON FL  048056  07/25</t>
  </si>
  <si>
    <t>APL*ITUNES.COM/BILL 866-712-7753 CA          07/25</t>
  </si>
  <si>
    <t>STARBUCKS STORE 08588 BOCA RATON FL          07/24</t>
  </si>
  <si>
    <t>APL*ITUNES.COM/BILL 866-712-7753 CA          07/23</t>
  </si>
  <si>
    <t>SQ *SIMPLIFIED AUTO TAG Boca Raton FL        07/23</t>
  </si>
  <si>
    <t>PUBLIX SUPER MAR 4141 BOCA RATON FL  638140  07/23</t>
  </si>
  <si>
    <t>SUNPASS*ACC94666235 888-865-5352 FL          07/22</t>
  </si>
  <si>
    <t>SUNPASS*ACC85402257 888-865-5352 FL          07/22</t>
  </si>
  <si>
    <t>0082 First Watch Restau BOCA RATON FL        07/22</t>
  </si>
  <si>
    <t>CVS/PHARM 03818--21140 BOCA RATON FL         07/22</t>
  </si>
  <si>
    <t>CHILI'S THE CREEK FORT LAUDERDA FL           07/21</t>
  </si>
  <si>
    <t>BARNESNOBLE 333 N. C BOYNTON BEACH FL835510  07/21</t>
  </si>
  <si>
    <t>BARNESNOBLE 1400 Glade BOCA RATON FL 544610  07/21</t>
  </si>
  <si>
    <t>BARNESNOBLE 1400 Glade BOCA RATON FL 807236  07/21</t>
  </si>
  <si>
    <t>BARNESNOBLE 1400 Glade BOCA RATON FL 763680  07/20</t>
  </si>
  <si>
    <t>TRADER JOE'S #771 QPS DELRAY BEACH FL707500  07/20</t>
  </si>
  <si>
    <t>SHELL SERVICE S HOLLYWOOD FL                 07/20</t>
  </si>
  <si>
    <t>ATM WITHDRAWAL                       001377  07/203901 N FE</t>
  </si>
  <si>
    <t>BARNESNOBLE 1400 Glade BOCA RATON FL 359728  07/20</t>
  </si>
  <si>
    <t>APL*ITUNES.COM/BILL 866-712-7753 CA          07/20</t>
  </si>
  <si>
    <t>NORTH PAVILION PARKI DEERFIELD BEA FL        07/19</t>
  </si>
  <si>
    <t>BARRACUDA BAR &amp; SEAF DEERFIELD BEA FL        07/19</t>
  </si>
  <si>
    <t>Pride Air Cond &amp; Appl 954-977-7433 FL        07/18</t>
  </si>
  <si>
    <t>BARNESNOBLE 1400 Glade BOCA RATON FL 521657  07/18</t>
  </si>
  <si>
    <t>WHOLEFDS BCA 101 1400B BOCA RATON FL 863183  07/18</t>
  </si>
  <si>
    <t>CVS/PHARMACY #03 03818 BOCA RATON FL 342756  07/18</t>
  </si>
  <si>
    <t>CRAZY UNCLE MIKES BOCA RATON FL              07/16</t>
  </si>
  <si>
    <t>BARNESNOBLE 1400 Glade BOCA RATON FL 843557  07/17</t>
  </si>
  <si>
    <t>WHOLEFDS BCA 101 1400B BOCA RATON FL 148477  07/17</t>
  </si>
  <si>
    <t>BOCA MART, INC. BOCA RATON FL                07/17</t>
  </si>
  <si>
    <t>BARNESNOBLE 1400 Glade BOCA RATON FL 814630  07/16</t>
  </si>
  <si>
    <t>PUBLIX SUPER MAR 4141 BOCA RATON FL  908497  07/16</t>
  </si>
  <si>
    <t>WHOLEFDS BCA 101 1400B BOCA RATON FL 817188  07/16</t>
  </si>
  <si>
    <t>WHOLEFDS BCA 101 1400B BOCA RATON FL 746948  07/15</t>
  </si>
  <si>
    <t>BARNESNOBLE 1400 Glade BOCA RATON FL 603176  07/15</t>
  </si>
  <si>
    <t>school pmt</t>
  </si>
  <si>
    <t>car rental</t>
  </si>
  <si>
    <t>bike</t>
  </si>
  <si>
    <t>A/C repair</t>
  </si>
  <si>
    <t>Guitar lesson</t>
  </si>
  <si>
    <t>magazine</t>
  </si>
  <si>
    <t>w/ Dave</t>
  </si>
  <si>
    <t>Sunpass</t>
  </si>
  <si>
    <t>tag renewed</t>
  </si>
  <si>
    <t>Zara clothing</t>
  </si>
  <si>
    <t>car towing</t>
  </si>
  <si>
    <t>Books</t>
  </si>
  <si>
    <t>Registration Fine</t>
  </si>
  <si>
    <t>Paypal credit pmt</t>
  </si>
  <si>
    <t>POS DEBIT                ENTERPRISE RENT ACAR TO   877-8601258  NY</t>
  </si>
  <si>
    <t>PUBLIX SUPER MAR 4141 BOCA RATON FL  741415  11/26</t>
  </si>
  <si>
    <t>APPLE.COM/BILL 866-712-7753 CA               11/23</t>
  </si>
  <si>
    <t>PAYPAL           INST XFER  MINGLE2         WEB ID: PAYPALSI77</t>
  </si>
  <si>
    <t>COMCAST/XFINITY 800-266-2278 FL              11/25</t>
  </si>
  <si>
    <t>WHOLEFDS BCA 101 1400B BOCA RATON FL 500775  11/24</t>
  </si>
  <si>
    <t>PF CHANGS #3400 6029578986 FL                11/24</t>
  </si>
  <si>
    <t>BARNESNOBLE 1400 Glade BOCA RATON FL 932692  11/24</t>
  </si>
  <si>
    <t>ICHIYAMI BUFFET   SU BOCA RATON FL           11/24</t>
  </si>
  <si>
    <t>BARNESNOBLE 1400 Glade BOCA RATON FL 561793  11/24</t>
  </si>
  <si>
    <t>CRAZY UNCLE MIKES BOCA RATON FL              11/23</t>
  </si>
  <si>
    <t>PUBLIX SUPER MAR 21230 BOCA RATON FL 830717  11/23</t>
  </si>
  <si>
    <t>BOCAS PREMIER DRY YAMAT BOCA RATON FL        11/23</t>
  </si>
  <si>
    <t>SUNPASS*ACC94666235 888-865-5352 FL          11/23</t>
  </si>
  <si>
    <t>GRAND LUX CAFE SAWGRASS SUNRISE FL           11/23</t>
  </si>
  <si>
    <t>WMV*MATCH.COM 800-326-5161 TX                11/22</t>
  </si>
  <si>
    <t>CRAZY UNCLE MIKES BOCA RATON FL              11/19</t>
  </si>
  <si>
    <t>WHOLEFDS BCA 101 1400B BOCA RATON FL 625230  11/20</t>
  </si>
  <si>
    <t>NON-CHASE ATM WITHDRAW               118209  11/20#202 YAMA</t>
  </si>
  <si>
    <t>IDENTOGO - TSA PRECHECK BILLERICA MA         11/19</t>
  </si>
  <si>
    <t>#202 YAMATO RD BOCA RATON FL         118209  11/20</t>
  </si>
  <si>
    <t>PUBLIX SUPER MAR 5050 BOCA RATON FL  958489  11/19</t>
  </si>
  <si>
    <t>POLLO TROPICAL 10247 BOCA RATON FL           11/18</t>
  </si>
  <si>
    <t>ENTERPRISE TOLL 877-8601258 NY               11/18</t>
  </si>
  <si>
    <t>UNITED      016747651 800-932-2732 TX        11/17</t>
  </si>
  <si>
    <t>PUBLIX SUPER MAR 4141 BOCA RATON FL  501053  11/18</t>
  </si>
  <si>
    <t>GLADES ROAD MAR BOCA RATON FL                11/17</t>
  </si>
  <si>
    <t>PF CHANGS #3400 6029578986 FL                11/17</t>
  </si>
  <si>
    <t>EXPEDIA 7495230085711 800-397-3342 NV        11/17</t>
  </si>
  <si>
    <t>NORDSTROM RACK # 1400 BOCA RATON FL  906133  11/17</t>
  </si>
  <si>
    <t>WHOLEFDS BCA 101 1400B BOCA RATON FL 049001  11/17</t>
  </si>
  <si>
    <t>BARNESNOBLE 1400 Glade BOCA RATON FL 060432  11/17</t>
  </si>
  <si>
    <t>WMV*MATCH.COM 800-326-5161 TX                11/17</t>
  </si>
  <si>
    <t>PUBLIX SUPER MAR 4141 BOCA RATON FL  951988  11/16</t>
  </si>
  <si>
    <t>TOTAL WINE AND MORE 90 BOCA RATON FL         11/16</t>
  </si>
  <si>
    <t>ZARA USA 12063 AVENTURA FL                   11/16</t>
  </si>
  <si>
    <t>RANCHERITOS II LLC BOCA RATON FL             11/17</t>
  </si>
  <si>
    <t>PAYPAL           INST XFER  TRUEFIREINC     WEB ID: PAYPALSI77</t>
  </si>
  <si>
    <t>PUBLIX SUPER MAR 21230 BOCA RATON FL 620155  11/15</t>
  </si>
  <si>
    <t>PUBLIX SUPER MAR 4141 BOCA RATON FL  904900  11/15</t>
  </si>
  <si>
    <t>POLLO TROPICAL 10247 BOCA RATON FL           11/14</t>
  </si>
  <si>
    <t>SQ *SWEETS FROM HEAVEN Boca Raton FL         11/13</t>
  </si>
  <si>
    <t>STARBUCKS STORE 08588 BOCA RATON FL          11/13</t>
  </si>
  <si>
    <t>SWEETWATER SOUND 800-222-4700 IN             11/14</t>
  </si>
  <si>
    <t>LUCKY BRAND #40629 BOCA RATON FL     031210  11/13</t>
  </si>
  <si>
    <t>PUBLIX SUPER MAR 4141 BOCA RATON FL  707576  11/13</t>
  </si>
  <si>
    <t>HAIR CUTTERY #3983 BOCA RATON FL             11/12</t>
  </si>
  <si>
    <t>WHOLEFDS BCA 101 1400B BOCA RATON FL 731859  11/11</t>
  </si>
  <si>
    <t>WHOLEFDS BCA 101 1400B BOCA RATON FL 954781  11/11</t>
  </si>
  <si>
    <t>SUNSHINE #49 LIGHTHOUSE PO FL                11/11</t>
  </si>
  <si>
    <t>PUBLIX SUPER MAR 4141 BOCA RATON FL  805300  11/10</t>
  </si>
  <si>
    <t>OLIVE GARDEN 0021802 HOMESTEAD FL            11/10</t>
  </si>
  <si>
    <t>SHELL SERVICE S MIAMI FL                     11/09</t>
  </si>
  <si>
    <t>ATM WITHDRAWAL                       000217  11/093901 N FE</t>
  </si>
  <si>
    <t>CHEESECAKE BOCA RATON BOCA RATON FL          11/09</t>
  </si>
  <si>
    <t>ENTERPRISE RENT-A-CA POMPANO BEACH FL        11/11</t>
  </si>
  <si>
    <t>NON-CHASE ATM WITHDRAW               467433  11/08#202 YAMA</t>
  </si>
  <si>
    <t>#202 YAMATO RD BOCA RATON FL         467433  11/08</t>
  </si>
  <si>
    <t>PUBLIX SUPER MAR 4141 BOCA RATON FL  504818  11/07</t>
  </si>
  <si>
    <t>WHOLEFDS BCA 101 1400B BOCA RATON FL 653849  11/07</t>
  </si>
  <si>
    <t>PUBLIX SUPER MAR 4141 BOCA RATON FL  844770  11/07</t>
  </si>
  <si>
    <t>POLLO TROPICAL 10247 BOCA RATON FL           11/06</t>
  </si>
  <si>
    <t>GPG*Elevacity800518028 800-5180284 TX        11/06</t>
  </si>
  <si>
    <t>HOBBYLOBBY 3555 W. H DEERFIELD BEA FL626122  11/06</t>
  </si>
  <si>
    <t>BOCA MART, INC. BOCA RATON FL                11/06</t>
  </si>
  <si>
    <t>YSI*Deerfield Cove 561-3928920 FL            11/05</t>
  </si>
  <si>
    <t>DUFFY'S OF BOCA BOCA RATON FL                11/05</t>
  </si>
  <si>
    <t>BIERGARTEN BOCA RATON FL                     11/05</t>
  </si>
  <si>
    <t>PAYPAL *CUPID MEDIA 4029357733               11/04</t>
  </si>
  <si>
    <t>WHOLEFDS BCA 101 1400B BOCA RATON FL 144990  11/05</t>
  </si>
  <si>
    <t>LAS FAJITAS BOCA RATON FL                    11/04</t>
  </si>
  <si>
    <t>ENTERPRISE RENT-A-CA POMPANO BEACH FL        11/04</t>
  </si>
  <si>
    <t>SUNPASS*ACC94666235 888-865-5352 FL          11/04</t>
  </si>
  <si>
    <t>OLIVE GARDEN 0021802 HOMESTEAD FL            11/03</t>
  </si>
  <si>
    <t>Netflix.com netflix.com CA                   11/02</t>
  </si>
  <si>
    <t>MASSAGE ENVY 0180 561-368-2111 FL            11/02</t>
  </si>
  <si>
    <t>PUBLIC STORAGE 26829 800-567-0759 FL         11/03</t>
  </si>
  <si>
    <t>WHOLEFDS BCA 101 1400B BOCA RATON FL 534055  11/03</t>
  </si>
  <si>
    <t>BARNESNOBLE 1400 Glade BOCA RATON FL 609330  11/03</t>
  </si>
  <si>
    <t>APPLE.COM/BILL 866-712-7753 CA               11/03</t>
  </si>
  <si>
    <t>DUFFY'S OF BOCA BOCA RATON FL                11/02</t>
  </si>
  <si>
    <t>BARNESNOBLE 1400 Glade BOCA RATON FL 616058  11/02</t>
  </si>
  <si>
    <t>PUBLIX SUPER MAR 21230 BOCA RATON FL 659639  11/02</t>
  </si>
  <si>
    <t>ICHIYAMI BUFFET   SU BOCA RATON FL           11/02</t>
  </si>
  <si>
    <t>CVS/PHARMACY #03 032 FT LAUDERDALE FL701381  11/02</t>
  </si>
  <si>
    <t>STIRLING PETROL FORT LAUDERDA FL             11/02</t>
  </si>
  <si>
    <t>PEPBOYS STORE # 387 27 HOLLYWOOD FL          11/02</t>
  </si>
  <si>
    <t>ATM WITHDRAWAL                       008040  11/023901 N FE</t>
  </si>
  <si>
    <t>PAPA JOHN S 477 954-568-9596 FL              11/01</t>
  </si>
  <si>
    <t>SUNPASS*ACC94666235 888-865-5352 FL          11/01</t>
  </si>
  <si>
    <t>GILBERTS FOODBAR AT MIA MIAMI FL             11/01</t>
  </si>
  <si>
    <t>CRAZY UNCLE MIKES BOCA RATON FL              10/31</t>
  </si>
  <si>
    <t>BARNESNOBLE 1400 Glade BOCA RATON FL 826531  11/01</t>
  </si>
  <si>
    <t>WHOLEFDS BCA 101 1400B BOCA RATON FL 560543  11/01</t>
  </si>
  <si>
    <t>NON-CHASE ATM WITHDRAW               120919  11/01#202 YAMA</t>
  </si>
  <si>
    <t>BIS STORE # 129 BOCA RATON FL                11/01</t>
  </si>
  <si>
    <t>#202 YAMATO RD BOCA RATON FL         120919  11/01</t>
  </si>
  <si>
    <t>PUBLIX SUPER MAR 21230 BOCA RATON FL 830581  10/31</t>
  </si>
  <si>
    <t>CVS/PHARMACY #05 05223 Boca Raton FL 501380  10/31</t>
  </si>
  <si>
    <t>CVS/PHARMACY #05 05223 BOCA RATON FL 564237  10/31</t>
  </si>
  <si>
    <t>CVS/PHARMACY #05 05223 Boca Raton FL 513277  10/31</t>
  </si>
  <si>
    <t>POLLO TROPICAL 10247 BOCA RATON FL           10/30</t>
  </si>
  <si>
    <t>WAL-MART #1589 DELRAY BEACH FL               10/30</t>
  </si>
  <si>
    <t>ABC*YOUFIT HEALTH CLUB 561-3672326 FL        10/28</t>
  </si>
  <si>
    <t>PUBLIX SUPER MAR 5050 BOCA RATON FL  810462  10/29</t>
  </si>
  <si>
    <t>HAIR CUTTERY #3983 BOCA RATON FL             10/29</t>
  </si>
  <si>
    <t>CRAZY UNCLE MIKES BOCA RATON FL              10/27</t>
  </si>
  <si>
    <t>SHELL SERVICE S BOCA RATON FL                10/28</t>
  </si>
  <si>
    <t>PUBLIX SUPER MAR 21230 BOCA RATON FL 864925  10/28</t>
  </si>
  <si>
    <t>LUCKY BRAND #40629 BOCA RATON FL     466479  10/28</t>
  </si>
  <si>
    <t>PUBLIX SUPER MAR 4141 BOCA RATON FL  559021  10/27</t>
  </si>
  <si>
    <t>WHOLEFDS BCA 101 1400B BOCA RATON FL 837153  10/27</t>
  </si>
  <si>
    <t>MICHAELS STORES 9824 BOCA RATON FL   712332  10/27</t>
  </si>
  <si>
    <t>TARGET T- 3599 W Hil Deerfield Bea FL        10/27</t>
  </si>
  <si>
    <t>ADULT VIDEO WAREHOUS POMPANO BEACH FL        10/27</t>
  </si>
  <si>
    <t>ATM WITHDRAWAL                       007390  10/2622191 POW</t>
  </si>
  <si>
    <t>TARGET T- 3599 W Hil Deerfield Bea FL        10/26</t>
  </si>
  <si>
    <t>MILLER S ALE HOUSE 012 DAVIE FL              10/26</t>
  </si>
  <si>
    <t>CVS/PHARM 05223--202 Y Boca Raton FL         10/26</t>
  </si>
  <si>
    <t>BARNESNOBLE 1400 Glade BOCA RATON FL 850534  10/26</t>
  </si>
  <si>
    <t>LYFT   *RIDE FRI 5AM lyft.com CA             10/26</t>
  </si>
  <si>
    <t>SUSHI YAMA- BOCA BOCA RATON FL               10/25</t>
  </si>
  <si>
    <t>SUNPASS*ACC94666235 888-865-5352 FL          10/25</t>
  </si>
  <si>
    <t>LA COLOMBE A-EAST PHILADELPHIA PA            10/25</t>
  </si>
  <si>
    <t>CHICKIE`S &amp; PETE`S TE PHILADELPHIA PA        10/24</t>
  </si>
  <si>
    <t>DINICS BEEF AND PORK PHILADELPHIA PA         10/25</t>
  </si>
  <si>
    <t>FOUR POINTS HOTEL PHILADELPHIA PA            10/25</t>
  </si>
  <si>
    <t>TARGET T- 3599 W Hil DEERFIELD BEA FL        10/27</t>
  </si>
  <si>
    <t>COMCAST/XFINITY 800-266-2278 FL              10/25</t>
  </si>
  <si>
    <t>NON-CHASE ATM WITHDRAW               261657  10/25#202 YAMA</t>
  </si>
  <si>
    <t>BARNESNOBLE 1400 Glade BOCA RATON FL 657791  10/25</t>
  </si>
  <si>
    <t>PUBLIX SUPER MAR 4141 BOCA RATON FL  559373  10/25</t>
  </si>
  <si>
    <t>LYFT   *RIDE THU 8PM lyft.com CA             10/24</t>
  </si>
  <si>
    <t>RED ROOF INN 10119 ESSINGTON PA              10/24</t>
  </si>
  <si>
    <t>LYFT   *RIDE THU 5PM lyft.com CA             10/24</t>
  </si>
  <si>
    <t>LYFT   *RIDE THU 4PM lyft.com CA             10/24</t>
  </si>
  <si>
    <t>LYFT   *RIDE THU 7AM lyft.com CA             10/24</t>
  </si>
  <si>
    <t>#202 YAMATO RD BOCA RATON FL         261657  10/25</t>
  </si>
  <si>
    <t>APL*ITUNES.COM/BILL 866-712-7753 CA          10/23</t>
  </si>
  <si>
    <t>SWEET AS FUDGE CANDY PHILADELPHIA PA         10/24</t>
  </si>
  <si>
    <t>MILLER S ALE HOUSE 04 PHILADELPHIA PA        10/23</t>
  </si>
  <si>
    <t>LYFT   *RIDE WED 7PM LYFT.COM CA             10/23</t>
  </si>
  <si>
    <t>FTL CNBC NEWS T3 FT. LAUDERDAL FL            10/23</t>
  </si>
  <si>
    <t>RAW JUCE BOCA RATON FL                       10/23</t>
  </si>
  <si>
    <t>MENCHIES B586 GARDEN SH BOCA RATON FL        10/22</t>
  </si>
  <si>
    <t>CRAZY UNCLE MIKES BOCA RATON FL              10/22</t>
  </si>
  <si>
    <t>YAMATO U GAS BOCA RATON FL                   10/23</t>
  </si>
  <si>
    <t>WALGREENS STORE 3900 N BOCA RATON FL 817859  10/23</t>
  </si>
  <si>
    <t>WALGREENS STORE 3900 N BOCA RATON FL 705011  10/23</t>
  </si>
  <si>
    <t>WALGREENS STORE 3900 N BOCA RATON FL 761672  10/22</t>
  </si>
  <si>
    <t>CRAZY UNCLE MIKES BOCA RATON FL              10/20</t>
  </si>
  <si>
    <t>THY AIRLINE 2357468112 212-2610470 NY        10/20</t>
  </si>
  <si>
    <t>PUBLIX SUPER MAR 5050 BOCA RATON FL  730495  10/21</t>
  </si>
  <si>
    <t>EXPEDIA 7486637708175 800-397-3342 NV        10/20</t>
  </si>
  <si>
    <t>PUBLIX SUPER MAR 4141 BOCA RATON FL  328523  10/20</t>
  </si>
  <si>
    <t>THE HOME DEPOT #6315 DELRAY BEACH FL 000577  10/20</t>
  </si>
  <si>
    <t>TARGET T- 3599 W Hil Deerfield Bea FL        10/20</t>
  </si>
  <si>
    <t>CRAZY UNCLE MIKES BOCA RATON FL              10/19</t>
  </si>
  <si>
    <t>WHOLEFDS BCA 101 1400B BOCA RATON FL 849350  10/19</t>
  </si>
  <si>
    <t>WHOLEFDS BCA 10130 BOCA RATON FL             10/19</t>
  </si>
  <si>
    <t>SUNPASS*ACC94666235 888-865-5352 FL          10/19</t>
  </si>
  <si>
    <t>SAM ASH MUSIC #32 MARGATE FL                 10/19</t>
  </si>
  <si>
    <t>APL*ITUNES.COM/BILL 866-712-7753 CA          10/19</t>
  </si>
  <si>
    <t>WOB COCONUT CREEK COCONUT CREEK FL           10/19</t>
  </si>
  <si>
    <t>SHELL SERVICE S BOCA RATON FL                10/19</t>
  </si>
  <si>
    <t>CHEESECAKE BOCA RATON BOCA RATON FL          10/19</t>
  </si>
  <si>
    <t>CRAZY UNCLE MIKES BOCA RATON FL              10/17</t>
  </si>
  <si>
    <t>WHOLEFDS BCA 101 1400B BOCA RATON FL 340198  10/18</t>
  </si>
  <si>
    <t>PAYPAL           INST XFER  1006888344198   WEB ID: PAYPALSI77</t>
  </si>
  <si>
    <t>CVS/PHARM 05223--202 Y Boca Raton FL         10/17</t>
  </si>
  <si>
    <t>ROCCOS TACO AND TEQU WEST PALM BCH FL        10/15</t>
  </si>
  <si>
    <t>PUBLIX SUPER MAR 4141 BOCA RATON FL  803045  10/16</t>
  </si>
  <si>
    <t>APL* ITUNES.COM/BILL 866-712-7753 CA         10/15</t>
  </si>
  <si>
    <t>BIERGARTEN BOCA RATON FL                     10/15</t>
  </si>
  <si>
    <t>PUBLIX SUPER MAR 4141 BOCA RATON FL  608860  10/15</t>
  </si>
  <si>
    <t>WHOLEFDS BCA 101 1400B BOCA RATON FL 727131  10/15</t>
  </si>
  <si>
    <t>RAW JUCE BOCA RATON FL                       10/14</t>
  </si>
  <si>
    <t>WHOLEFDS BCA 101 1400B BOCA RATON FL 826192  10/13</t>
  </si>
  <si>
    <t>BARNESNOBLE 1400 Glade BOCA RATON FL 848453  10/13</t>
  </si>
  <si>
    <t>PUBLIX SUPER MAR 4141 BOCA RATON FL  750812  10/13</t>
  </si>
  <si>
    <t>BARNESNOBLE 333 N. C BOYNTON BEACH FL537462  10/13</t>
  </si>
  <si>
    <t>SWEETWATER SOUND 800-222-4700 IN             10/14</t>
  </si>
  <si>
    <t>PUBLIX SUPER MAR 21230 BOCA RATON FL 351298  10/12</t>
  </si>
  <si>
    <t>WHOLEFDS BCA 101 1400B BOCA RATON FL 822632  10/12</t>
  </si>
  <si>
    <t>YAMATO U GAS BOCA RATON FL                   10/12</t>
  </si>
  <si>
    <t>STARBUCKS STORE 08257 BOCA RATON FL          10/12</t>
  </si>
  <si>
    <t>ICHIYAMI BUFFET   SU BOCA RATON FL           10/12</t>
  </si>
  <si>
    <t>BARNESNOBLE 1400 Glade BOCA RATON FL 722785  10/12</t>
  </si>
  <si>
    <t>DUFFY'S OF BOCA BOCA RATON FL                10/11</t>
  </si>
  <si>
    <t>STARBUCKS STORE 08354 BOCA RATON FL          10/11</t>
  </si>
  <si>
    <t>PUBLIX SUPER MAR 21230 BOCA RATON FL         10/11 Purchase $5.67 Cash Back $50.00</t>
  </si>
  <si>
    <t>BOLAY S BOCA BOCA RATON FL                   10/10</t>
  </si>
  <si>
    <t>STARBUCKS STORE 08588 BOCA RATON FL          10/09</t>
  </si>
  <si>
    <t>CRAZY UNCLE MIKES BOCA RATON FL              10/08</t>
  </si>
  <si>
    <t>PUBLIX SUPER MAR 4141 BOCA RATON FL  853499  10/08</t>
  </si>
  <si>
    <t>PUBLIX SUPER MAR 4141 BOCA RATON FL  444016  10/08</t>
  </si>
  <si>
    <t>THE FUNKY BISCUIT BOCA RATON FL              10/08</t>
  </si>
  <si>
    <t>ENTERPRISE TOLL 877-8601258 NY               10/07</t>
  </si>
  <si>
    <t>CRAZY UNCLE MIKES BOCA RATON FL              10/06</t>
  </si>
  <si>
    <t>HAIR CUTTERY #3983 BOCA RATON FL             10/07</t>
  </si>
  <si>
    <t>ICHIYAMI BUFFET   SU BOCA RATON FL           10/06</t>
  </si>
  <si>
    <t>APL* ITUNES.COM/BILL 866-712-7753 CA         10/06</t>
  </si>
  <si>
    <t>YSI*Deerfield Cove 561-3928920 FL            10/05</t>
  </si>
  <si>
    <t>BARNESNOBLE 1400 Glade BOCA RATON FL 257570  10/05</t>
  </si>
  <si>
    <t>SHENANIGANS SPORTS PUB 954-9819702 FL        10/05</t>
  </si>
  <si>
    <t>SHELL SERVICE S HOLLYWOOD FL                 10/05</t>
  </si>
  <si>
    <t>LATINOS M LATINOS ME DEERFIELD BEA FL        10/05</t>
  </si>
  <si>
    <t>STARBUCKS STORE 11609 HOLLYWOOD FL           10/05</t>
  </si>
  <si>
    <t>ATM WITHDRAWAL                       006247  10/053901 N FE</t>
  </si>
  <si>
    <t>PAYPAL *CUPID MEDIA 4029357733               10/04</t>
  </si>
  <si>
    <t>CRAZY UNCLE MIKES BOCA RATON FL              10/03</t>
  </si>
  <si>
    <t>ENTERPRISE RENT-A-CA POMPANO BEACH FL        10/05</t>
  </si>
  <si>
    <t>PUBLIX SUPER MAR 4141 BOCA RATON FL  832769  10/04</t>
  </si>
  <si>
    <t>AUSTIN PEAY STATE UNIV CLARKSVILLE TN        10/03</t>
  </si>
  <si>
    <t>Netflix.com netflix.com CA                   10/02</t>
  </si>
  <si>
    <t>MASSAGE ENVY 0180 561-368-2111 FL            10/02</t>
  </si>
  <si>
    <t>PUBLIC STORAGE 26829 800-567-0759 FL         10/03</t>
  </si>
  <si>
    <t>STARBUCKS STORE 1349 COCONUT CREEK FL        10/01</t>
  </si>
  <si>
    <t>APL* ITUNES.COM/BILL 866-712-7753 CA         10/01</t>
  </si>
  <si>
    <t>BIERGARTEN BOCA RATON FL                     10/01</t>
  </si>
  <si>
    <t>PUBLIX SUPER MAR 4141 BOCA RATON FL  663710  10/01</t>
  </si>
  <si>
    <t>PRIP MART 199 BOCA RATON FL          018304  10/01</t>
  </si>
  <si>
    <t>ABC*YOUFIT HEALTH CLUB 561-3672326 FL        09/28</t>
  </si>
  <si>
    <t>WHOLEFDS BCA 101 1400B BOCA RATON FL 346397  09/29</t>
  </si>
  <si>
    <t>BARNESNOBLE 1400 Glade BOCA RATON FL 652488  09/29</t>
  </si>
  <si>
    <t>BARNESNOBLE 1400 Glade BOCA RATON FL 755579  09/29</t>
  </si>
  <si>
    <t>GUITAR CENTER #791 DELRAY BEACH FL           09/29</t>
  </si>
  <si>
    <t>CHEESECAKE BOCA RATON BOCA RATON FL          09/29</t>
  </si>
  <si>
    <t>PUBLIX SUPER MAR 4141 BOCA RATON FL  651713  09/28</t>
  </si>
  <si>
    <t>CRAZY UNCLE MIKES BOCA RATON FL              09/17</t>
  </si>
  <si>
    <t>ICHIYAMI BUFFET   SU BOCA RATON FL           09/28</t>
  </si>
  <si>
    <t>THE HOME DEPOT #0208 POMPANO BEACH FL940648  09/28</t>
  </si>
  <si>
    <t>THE HOME DEPOT #0208 POMPANO BEACH FL388426  09/28</t>
  </si>
  <si>
    <t>PRIP MART 199 BOCA RATON FL          092283  09/28</t>
  </si>
  <si>
    <t>CRAZY UNCLE MIKES BOCA RATON FL              09/26</t>
  </si>
  <si>
    <t>THE HOME DEPOT #0208 POMPANO BEACH FL404025  09/28</t>
  </si>
  <si>
    <t>BOLAY S BOCA BOCA RATON FL                   09/25</t>
  </si>
  <si>
    <t>MCDONALD'S F12611 BOCA RATON FL              09/25</t>
  </si>
  <si>
    <t>COMCAST/XFINITY 800-266-2278 FL              09/25</t>
  </si>
  <si>
    <t>PUBLIX SUPER MAR 4141 BOCA RATON FL  540784  09/25</t>
  </si>
  <si>
    <t>BIERGARTEN BOCA RATON FL                     09/24</t>
  </si>
  <si>
    <t>APL*ITUNES.COM/BILL 866-712-7753 CA          09/23</t>
  </si>
  <si>
    <t>PUBLIX SUPER MAR 4141 BOCA RATON FL  921686  09/22</t>
  </si>
  <si>
    <t>WHOLEFDS BCA 101 1400B BOCA RATON FL 222461  09/22</t>
  </si>
  <si>
    <t>GUITAR CENTER #791 DELRAY BEACH FL           09/22</t>
  </si>
  <si>
    <t>ICHIYAMI BUFFET   SU BOCA RATON FL           09/22</t>
  </si>
  <si>
    <t>DEATH OR GLORY DELRAY BEACH FL               09/22</t>
  </si>
  <si>
    <t>CRAZY UNCLE MIKES BOCA RATON FL              09/21</t>
  </si>
  <si>
    <t>SUSHI YAMA- BOCA BOCA RATON FL               09/21</t>
  </si>
  <si>
    <t>MARATHON PETRO182006 DEERFIELD BEA FL        09/21</t>
  </si>
  <si>
    <t>TOYOTA DAEWOO KIA OF LIGHTHOUSE PO FL        09/21</t>
  </si>
  <si>
    <t>WITHDRAWAL 09/23</t>
  </si>
  <si>
    <t>SHELL SERVICE S DEERFIELD BEA FL             09/21</t>
  </si>
  <si>
    <t>RAW JUCE BOCA RATON FL                       09/21</t>
  </si>
  <si>
    <t>ATM WITHDRAWAL                       007037  09/213901 N FE</t>
  </si>
  <si>
    <t>STARBUCKS STORE 21822 DELRAY BEACH FL        09/20</t>
  </si>
  <si>
    <t>GUITAR CENTER #791 DELRAY BEACH FL           09/20</t>
  </si>
  <si>
    <t>BOCAS PREMIER DRY YAMAT BOCA RATON FL        09/20</t>
  </si>
  <si>
    <t>CRAZY UNCLE MIKES BOCA RATON FL              09/19</t>
  </si>
  <si>
    <t>WALGREENS STORE 3900 N BOCA RATON FL 818099  09/20</t>
  </si>
  <si>
    <t>WHOLEFDS BCA 101 1400B BOCA RATON FL 807464  09/20</t>
  </si>
  <si>
    <t>WHOLEFDS BCA 101 1400B BOCA RATON FL 651365  09/20</t>
  </si>
  <si>
    <t>HANRATTY ENTERP DELRAY BEACH FL              09/20</t>
  </si>
  <si>
    <t>POLLO TROPICAL 10247 BOCA RATON FL           09/19</t>
  </si>
  <si>
    <t>APL*ITUNES.COM/BILL 866-712-7753 CA          09/19</t>
  </si>
  <si>
    <t>HAIR CUTTERY #3983 BOCA RATON FL             09/19</t>
  </si>
  <si>
    <t>BOLAY S BOCA BOCA RATON FL                   09/18</t>
  </si>
  <si>
    <t>CVS/PHARM 05223--202 Y Boca Raton FL         09/18</t>
  </si>
  <si>
    <t>GUITAR CENTER #791 DELRAY BEACH FL           09/17</t>
  </si>
  <si>
    <t>MENCHIES B586 GARDEN SH BOCA RATON FL        09/16</t>
  </si>
  <si>
    <t>CHIPOTLE 2916 PLANTATION FL                  09/16</t>
  </si>
  <si>
    <t>ICHIYAMI BUFFET   SU BOCA RATON FL           09/15</t>
  </si>
  <si>
    <t>BP#9394149SUNRI FORT LAUDERDA FL             09/16</t>
  </si>
  <si>
    <t>WHOLEFDS BCA 101 1400B BOCA RATON FL 560361  09/15</t>
  </si>
  <si>
    <t>WAL-MART #3858 BOCA RATON FL                 09/15</t>
  </si>
  <si>
    <t>POLLO TROPICAL 10247 BOCA RATON FL           09/14</t>
  </si>
  <si>
    <t>ICHIYAMI BUFFET   SU BOCA RATON FL           09/14</t>
  </si>
  <si>
    <t>CRAZY UNCLE MIKES BOCA RATON FL              09/13</t>
  </si>
  <si>
    <t>SWEETWATER SOUND 800-222-4700 IN             09/14</t>
  </si>
  <si>
    <t>PAYPAL           INST XFER  1006594716125   WEB ID: PAYPALSI77</t>
  </si>
  <si>
    <t>WHOLEFDS BCA 101 1400B BOCA RATON FL 859600  09/13</t>
  </si>
  <si>
    <t>WITHDRAWAL 09/13</t>
  </si>
  <si>
    <t>CRAZY UNCLE MIKES BOCA RATON FL              09/11</t>
  </si>
  <si>
    <t>PUBLIX SUPER MAR 4141 BOCA RATON FL  119446  09/12</t>
  </si>
  <si>
    <t>ATM WITHDRAWAL                       004733  09/123901 N FE</t>
  </si>
  <si>
    <t>POLLO TROPICAL 10247 BOCA RATON FL           09/11</t>
  </si>
  <si>
    <t>AMZN Mktp US*I627Z28 Amzn.com/bill WA        09/11</t>
  </si>
  <si>
    <t>HAIR CUTTERY #3983 BOCA RATON FL             09/11</t>
  </si>
  <si>
    <t>ENTERPRISE RENT-A-CAR BOCA RATON FL          09/10</t>
  </si>
  <si>
    <t>WALGREENS STORE 3900 N BOCA RATON FL 906192  09/10</t>
  </si>
  <si>
    <t>WHOLEFDS BCA 101 1400B BOCA RATON FL 537238  09/10</t>
  </si>
  <si>
    <t>WHOLEFDS BCA 101 1400B BOCA RATON FL 905830  09/10</t>
  </si>
  <si>
    <t>STARBUCKS STORE 2971 FORT LAUDERDA FL        09/09</t>
  </si>
  <si>
    <t>CHILI'S THE CREEK FORT LAUDERDA FL           09/09</t>
  </si>
  <si>
    <t>PUBLIX SUPER MAR 4141 BOCA RATON FL  962409  09/09</t>
  </si>
  <si>
    <t>BARNESNOBLE 1400 Glade BOCA RATON FL 947584  09/08</t>
  </si>
  <si>
    <t>BARNESNOBLE 1400 Glade BOCA RATON FL 964742  09/08</t>
  </si>
  <si>
    <t>BARNESNOBLE 1400 Glade BOCA RATON FL 963446  09/08</t>
  </si>
  <si>
    <t>WHOLEFDS BCA 101 1400B BOCA RATON FL 709937  09/08</t>
  </si>
  <si>
    <t>MARATHON PETRO14 BOCA RATON FL       709468  09/08</t>
  </si>
  <si>
    <t>YELLOW GREEN FARMERS MA HOLLYWOOD FL         09/08</t>
  </si>
  <si>
    <t>CRAZY UNCLE MIKES BOCA RATON FL              09/07</t>
  </si>
  <si>
    <t>BARNESNOBLE 1400 Glade BOCA RATON FL 847606  09/07</t>
  </si>
  <si>
    <t>SUSHI YAMA- BOCA BOCA RATON FL               09/07</t>
  </si>
  <si>
    <t>ICHIYAMI BUFFET   SU BOCA RATON FL           09/07</t>
  </si>
  <si>
    <t>YSI*Deerfield Cove 561-3928920 FL            09/07</t>
  </si>
  <si>
    <t>MENCHIES B586 GARDEN SH BOCA RATON FL        09/06</t>
  </si>
  <si>
    <t>SQ *GO BISTRO Hollywood FL                   09/06</t>
  </si>
  <si>
    <t>CRAZY UNCLE MIKES BOCA RATON FL              09/05</t>
  </si>
  <si>
    <t>PUBLIX SUPER MAR 4141 BOCA RATON FL  940159  09/06</t>
  </si>
  <si>
    <t>APL* ITUNES.COM/BILL 866-712-7753 CA         09/05</t>
  </si>
  <si>
    <t>PAYPAL *CUPID MEDIA 4029357733               09/04</t>
  </si>
  <si>
    <t>CRAZY UNCLE MIKES BOCA RATON FL              09/03</t>
  </si>
  <si>
    <t>PUBLIX SUPER MAR 4141 BOCA RATON FL  840977  09/04</t>
  </si>
  <si>
    <t>BIERGARTEN BOCA RATON FL                     09/02</t>
  </si>
  <si>
    <t>Netflix.com netflix.com CA                   09/02</t>
  </si>
  <si>
    <t>MASSAGE ENVY 0180 561-368-2111 FL            09/02</t>
  </si>
  <si>
    <t>PUBLIC STORAGE 26829 BOCA RATON FL           09/03</t>
  </si>
  <si>
    <t>CRAZY UNCLE MIKES BOCA RATON FL              09/01</t>
  </si>
  <si>
    <t>GLADES ROAD MAR BOCA RATON FL                09/01</t>
  </si>
  <si>
    <t>PUBLIX SUPER MAR 4141 BOCA RATON FL  652670  09/01</t>
  </si>
  <si>
    <t>STARBUCKS STORE 08257 BOCA RATON FL          08/31</t>
  </si>
  <si>
    <t>WHOLEFDS BCA 101 1400B BOCA RATON FL 114489  08/31</t>
  </si>
  <si>
    <t>CRAZY UNCLE MIKES BOCA RATON FL              08/30</t>
  </si>
  <si>
    <t>PUBLIX SUPER MAR 4141 BOCA RATON FL  854437  08/30</t>
  </si>
  <si>
    <t>GLADES ROAD MAR BOCA RATON FL                08/30</t>
  </si>
  <si>
    <t>MARATHON PETRO14 BOCA RATON FL       744745  08/30</t>
  </si>
  <si>
    <t>ABC*YOUFIT HEALTH CLUB 561-3672326 FL        08/28</t>
  </si>
  <si>
    <t>WALGREENS STORE 3900 N BOCA RATON FL         08/29 Purchase $7.99 Cash Back $20.00</t>
  </si>
  <si>
    <t>CVS/PHARM 03818--21140 BOCA RATON FL         08/29 Purchase $4.39 Cash Back $40.00</t>
  </si>
  <si>
    <t>MENCHIES B586 GARDEN SH BOCA RATON FL        08/28</t>
  </si>
  <si>
    <t>ZINBURGER BOCA BOCA RATON FL                 08/28</t>
  </si>
  <si>
    <t>BIERGARTEN BOCA RATON FL                     08/28</t>
  </si>
  <si>
    <t>PUBLIX SUPER MAR 4141 BOCA RATON FL  013544  08/28</t>
  </si>
  <si>
    <t>PRIP MART 199 BOCA RATON FL          050801  08/28</t>
  </si>
  <si>
    <t>GUITAR CENTER #791 DELRAY BEACH FL           08/28</t>
  </si>
  <si>
    <t>AUSTIN PEAY STATE UNIV CLARKSVILLE TN        08/27</t>
  </si>
  <si>
    <t>ENTERPRISE RENT-A-CAR BOCA RATON FL          08/27</t>
  </si>
  <si>
    <t>PUBLIX SUPER MAR 4141 BOCA RATON FL  927107  08/27</t>
  </si>
  <si>
    <t>HAIR CUTTERY #3983 BOCA RATON FL             08/27</t>
  </si>
  <si>
    <t>CRAZY UNCLE MIKES BOCA RATON FL              08/25</t>
  </si>
  <si>
    <t>CANCER TREATMENT DIRECT DEP                 PPD ID: 9444444404</t>
  </si>
  <si>
    <t>Online Transfer to SAV ...0138 transaction#: 8435585242 07/15</t>
  </si>
  <si>
    <t>THE HOME DEPOT #0208 POMPANO BEACH FL141104  07/15</t>
  </si>
  <si>
    <t>BARNESNOBLE 1400 Glade BOCA RATON FL 632002  07/14</t>
  </si>
  <si>
    <t>BARNESNOBLE 1400 Glade BOCA RATON FL 534032  07/14</t>
  </si>
  <si>
    <t>WHOLEFDS BCA 101 1400B BOCA RATON FL 718188  07/14</t>
  </si>
  <si>
    <t>BARNESNOBLE 1400 Glade BOCA RATON FL 629472  07/14</t>
  </si>
  <si>
    <t>WHOLEFDS BCA 101 1400B BOCA RATON FL 806373  07/14</t>
  </si>
  <si>
    <t>BARNESNOBLE 1400 Glade BOCA RATON FL 239029  07/14</t>
  </si>
  <si>
    <t>CRAZY UNCLE MIKES BOCA RATON FL              07/13</t>
  </si>
  <si>
    <t>ATM WITHDRAWAL                       009205  07/133901 N FE</t>
  </si>
  <si>
    <t>PUBLIX SUPER MAR 194 FT LAUDERDALE FL        07/13 Purchase $7.63 Cash Back $70.00</t>
  </si>
  <si>
    <t>RACETRAC553 FT LAUDERDAL FL          033709  07/13</t>
  </si>
  <si>
    <t>BARNESNOBLE 1400 Glade BOCA RATON FL 752633  07/13</t>
  </si>
  <si>
    <t>CARRABBAS 6017 DELRAY BEACH FL               07/12</t>
  </si>
  <si>
    <t>Pride Air Conditionin 954-977-7433 FL        07/03</t>
  </si>
  <si>
    <t>Online Transfer from SAV ...0138 transaction#: 8403711046</t>
  </si>
  <si>
    <t>CRAZY UNCLE MIKES BOCA RATON FL              06/25</t>
  </si>
  <si>
    <t>ATM CASH DEPOSIT 06/27 3901 N FEDERAL HWY BOCA RATON FL</t>
  </si>
  <si>
    <t>AVIS RENT A CAR TOLLS 866-6422000 NY         06/25</t>
  </si>
  <si>
    <t>Online Transfer to SAV ...0138 transaction#: 8348185937 06/19</t>
  </si>
  <si>
    <t>PUBLIX SUPER MAR 5050 BOCA RATON FL  050990  06/19</t>
  </si>
  <si>
    <t>RAW JUCE BOCA RATON FL                       06/18</t>
  </si>
  <si>
    <t>BIERGARTEN BOCA RATON FL                     06/18</t>
  </si>
  <si>
    <t>Online Transfer from SAV ...0138 transaction#: 8313496117</t>
  </si>
  <si>
    <t>WITHDRAWAL 06/05</t>
  </si>
  <si>
    <t>BIERGARTEN BOCA RATON FL                     06/04</t>
  </si>
  <si>
    <t>Online Transfer from SAV ...0138 transaction#: 8302777598</t>
  </si>
  <si>
    <t>APL* ITUNES.COM/BILL 866-712-7753 CA         05/29</t>
  </si>
  <si>
    <t>PUBLIX SUPER MAR 4141 BOCA RATON FL  562898  05/29</t>
  </si>
  <si>
    <t>Online Transfer from SAV ...0138 transaction#: 8275983811</t>
  </si>
  <si>
    <t>Online Transfer from SAV ...0138 transaction#: 8266575833</t>
  </si>
  <si>
    <t>WAL-MART #3858 BOCA RATON FL                 05/27</t>
  </si>
  <si>
    <t>CRAZY UNCLE MIKES BOCA RATON FL              05/16</t>
  </si>
  <si>
    <t>Online Transfer to SAV ...0138 transaction#: 8240957838 05/17</t>
  </si>
  <si>
    <t>CRAZY UNCLE MIKES BOCA RATON FL              05/09</t>
  </si>
  <si>
    <t>DNH*GODADDY.COM 480-5058855 AZ               05/06</t>
  </si>
  <si>
    <t>WITHDRAWAL 05/06</t>
  </si>
  <si>
    <t>BARNESNOBLE 1400 Glade BOCA RATON FL 839970  05/05</t>
  </si>
  <si>
    <t>CVS/PHARMACY #03 03818 BOCA RATON FL 653264  05/05</t>
  </si>
  <si>
    <t>SUSHI YAMA- BOCA BOCA RATON FL               05/05</t>
  </si>
  <si>
    <t>PUBLIX SUPER MAR 21230 BOCA RATON FL 758006  05/05</t>
  </si>
  <si>
    <t>WM SUPERC Wal-Mart Sup BOCA RATON FL         05/05</t>
  </si>
  <si>
    <t>BARNESNOBLE 1400 Glade BOCA RATON FL 920904  05/05</t>
  </si>
  <si>
    <t>BARNESNOBLE 1400 Glade BOCA RATON FL 821176  05/05</t>
  </si>
  <si>
    <t>WHOLEFDS BCA 101 1400B BOCA RATON FL 148538  05/05</t>
  </si>
  <si>
    <t>WHOLEFDS BCA 101 1400B BOCA RATON FL 229637  05/04</t>
  </si>
  <si>
    <t>CVS/PHARMACY #03 03818 BOCA RATON FL 932763  05/04</t>
  </si>
  <si>
    <t>SQ *GO BISTRO Hollywood FL                   05/04</t>
  </si>
  <si>
    <t>HOLLYWD TOWN PKG ON STR HOLLYWOOD FL         05/04</t>
  </si>
  <si>
    <t>CHEVRON/BOCA RATON CHE BOCA RATON FL 002582  05/04</t>
  </si>
  <si>
    <t>BARNESNOBLE 1400 Glade BOCA RATON FL 912537  05/04</t>
  </si>
  <si>
    <t>HAIR CUTTERY #3983 BOCA RATON FL             05/04</t>
  </si>
  <si>
    <t>ATM WITHDRAWAL                       001751  05/045950 GLAD</t>
  </si>
  <si>
    <t>CRAZY UNCLE MIKES BOCA RATON FL              05/03</t>
  </si>
  <si>
    <t>Online Transfer to SAV ...0138 transaction#: 8195224992 05/03</t>
  </si>
  <si>
    <t>Reversal: ECHST.NET 866-452-5108 WA                    04/30  ClaimId: 234456241280001</t>
  </si>
  <si>
    <t>ECHST.NET 866-452-5108 WA                    04/30</t>
  </si>
  <si>
    <t>ABC*YOUFIT HEALTH CLUB 561-3672326 FL        04/28</t>
  </si>
  <si>
    <t>MARATHON PETRO219626 FORT LAUDERDA FL        04/28</t>
  </si>
  <si>
    <t>WHOLEFDS BCA 101 1400B BOCA RATON FL 439333  04/28</t>
  </si>
  <si>
    <t>WHOLEFDS BCA 101 1400B BOCA RATON FL 203114  04/28</t>
  </si>
  <si>
    <t>TOTAL WINE AND MORE 90 BOCA RATON FL 303837  04/28</t>
  </si>
  <si>
    <t>WAL-MART #3858 BOCA RATON FL                 04/28</t>
  </si>
  <si>
    <t>POLLO TROPICAL 10247 BOCA RATON FL           04/28</t>
  </si>
  <si>
    <t>BARNESNOBLE 1400 Glade BOCA RATON FL 926616  04/28</t>
  </si>
  <si>
    <t>AMZN Mktp US*MZ2F858 Amzn.com/bill WA        04/29</t>
  </si>
  <si>
    <t>HOLLYWD TOWN PKG ON STR HOLLYWOOD FL         04/27</t>
  </si>
  <si>
    <t>GUITAR CENTER #770 HALLANDALE FL             04/27</t>
  </si>
  <si>
    <t>SHELL Service Station DELRAY BEACH FL070379  04/27</t>
  </si>
  <si>
    <t>ATM WITHDRAWAL                       008019  04/273901 N FE</t>
  </si>
  <si>
    <t>CRAZY UNCLE MIKES BOCA RATON FL              04/26</t>
  </si>
  <si>
    <t>Online Transfer from SAV ...0138 transaction#: 8176999070</t>
  </si>
  <si>
    <t>CRAZY UNCLE MIKES BOCA RATON FL              04/18</t>
  </si>
  <si>
    <t>Online Transfer to SAV ...0138 transaction#: 8147855728 04/19</t>
  </si>
  <si>
    <t>Online Transfer from SAV ...0138 transaction#: 8142124098</t>
  </si>
  <si>
    <t>Online Transfer from SAV ...0138 transaction#: 8132026299</t>
  </si>
  <si>
    <t>Online Transfer to CHK ...3721 transaction#: 8121352583 04/11</t>
  </si>
  <si>
    <t>POLLO TROPICAL 10247 BOCA RATON FL           04/10</t>
  </si>
  <si>
    <t>CRAZY UNCLE MIKES BOCA RATON FL              04/09</t>
  </si>
  <si>
    <t>CRAZY UNCLE MIKES BOCA RATON FL              04/07</t>
  </si>
  <si>
    <t>MENCHIES B586 GARDEN SH BOCA RATON FL        04/07</t>
  </si>
  <si>
    <t>SAM ASH MUSIC #32 MARGATE FL                 04/07</t>
  </si>
  <si>
    <t>WALGREENS STORE 3900 N BOCA RATON FL 613604  04/07</t>
  </si>
  <si>
    <t>ATM WITHDRAWAL                       003269  04/073901 N FE</t>
  </si>
  <si>
    <t>BARNESNOBLE 1400 Glade BOCA RATON FL 722907  04/07</t>
  </si>
  <si>
    <t>SHELL Service Statio POMPANO BEACH FL034376  04/07</t>
  </si>
  <si>
    <t>BARNESNOBLE 1400 Glade BOCA RATON FL 553972  04/07</t>
  </si>
  <si>
    <t>BARNESNOBLE 1400 Glade BOCA RATON FL 403709  04/06</t>
  </si>
  <si>
    <t>QUEEN NAILS BOCA RATON FL                    04/06</t>
  </si>
  <si>
    <t>WHOLEFDS BCA 101 1400B BOCA RATON FL 739555  04/06</t>
  </si>
  <si>
    <t>SAM ASH MUSIC #32 MARGATE FL                 04/06</t>
  </si>
  <si>
    <t>PUBLIX SUPER MAR 5050 BOCA RATON FL  400582  04/06</t>
  </si>
  <si>
    <t>HAIR CUTTERY #3983 BOCA RATON FL             04/06</t>
  </si>
  <si>
    <t>BARNESNOBLE 1400 Glade BOCA RATON FL 231743  04/06</t>
  </si>
  <si>
    <t>BARNESNOBLE 1400 Glade BOCA RATON FL 606565  04/06</t>
  </si>
  <si>
    <t>CARRABBAS 6017 DELRAY BEACH FL               04/05</t>
  </si>
  <si>
    <t>STARBUCKS STORE 08588 BOCA RATON FL          04/05</t>
  </si>
  <si>
    <t>CRAZY UNCLE MIKES BOCA RATON FL              04/04</t>
  </si>
  <si>
    <t>WITHDRAWAL 04/05</t>
  </si>
  <si>
    <t>Online Transfer to SAV ...0138 transaction#: 8103560185 04/05</t>
  </si>
  <si>
    <t>STARBUCKS STORE 08588 BOCA RATON FL          04/04</t>
  </si>
  <si>
    <t>Online Transfer from SAV ...0138 transaction#: 8093988989</t>
  </si>
  <si>
    <t>ABC*YOUFIT HEALTH CLUB 561-3672326 FL        03/28</t>
  </si>
  <si>
    <t>BOCAS PREMIER DRY YAMAT BOCA RATON FL        03/28</t>
  </si>
  <si>
    <t>DUFFY'S OF BOCA BOCA RATON FL                03/27</t>
  </si>
  <si>
    <t>STARBUCKS STORE 08588 BOCA RATON FL          03/27</t>
  </si>
  <si>
    <t>APL*ITUNES.COM/BILL 866-712-7753 CA          03/22</t>
  </si>
  <si>
    <t>CRAZY UNCLE MIKES BOCA RATON FL              03/21</t>
  </si>
  <si>
    <t>Online Transfer to SAV ...0138 transaction#: 8056187798 03/22</t>
  </si>
  <si>
    <t>Online Transfer to CHK ...3721 transaction#: 8056180144 03/22</t>
  </si>
  <si>
    <t>STARBUCKS STORE 08262 BOCA RATON FL          03/21</t>
  </si>
  <si>
    <t>LEONA`S PALACE HOLLYWOOD FL                  03/18</t>
  </si>
  <si>
    <t>HOLLYWD TOWN PKG ON STR HOLLYWOOD FL         03/18</t>
  </si>
  <si>
    <t>RAW JUCE BOCA RATON FL                       03/18</t>
  </si>
  <si>
    <t>Online Transfer from SAV ...0138 transaction#: 8046310287</t>
  </si>
  <si>
    <t>PUBLIX SUPER MAR 21230 BOCA RATON FL 717974  03/18</t>
  </si>
  <si>
    <t>BARNESNOBLE 1400 Glade BOCA RATON FL 811044  03/18</t>
  </si>
  <si>
    <t>WHOLEFDS BCA 101 1400B BOCA RATON FL 802890  03/18</t>
  </si>
  <si>
    <t>SQ *GO BISTRO Hollywood FL                   03/17</t>
  </si>
  <si>
    <t>WHISKEY TANGO ALL AMERI HOLLYWOOD FL         03/17</t>
  </si>
  <si>
    <t>HOLLYWD TOWN PKG ON STR HOLLYWOOD FL         03/17</t>
  </si>
  <si>
    <t>CVS/PHARM 03275--686 G Boca Raton FL         03/17</t>
  </si>
  <si>
    <t>BARNESNOBLE 1400 Glade BOCA RATON FL 448563  03/17</t>
  </si>
  <si>
    <t>SUSHI YAMA- BOCA BOCA RATON FL               03/16</t>
  </si>
  <si>
    <t>BARNESNOBLE 1400 Glade BOCA RATON FL 100162  03/16</t>
  </si>
  <si>
    <t>TWO GEORGES AT THE C DEERFIELD BEA FL        03/16</t>
  </si>
  <si>
    <t>GUITAR CENTER #791 DELRAY BEACH FL           03/16</t>
  </si>
  <si>
    <t>BARNESNOBLE 1400 Glade BOCA RATON FL 620470  03/16</t>
  </si>
  <si>
    <t>BARNESNOBLE 1400 Glade BOCA RATON FL 816746  03/16</t>
  </si>
  <si>
    <t>MARATHON PETRO149062 BOCA RATON FL           03/16</t>
  </si>
  <si>
    <t>STARBUCKS STORE 08588 BOCA RATON FL          03/15</t>
  </si>
  <si>
    <t>CRAZY UNCLE MIKES BOCA RATON FL              03/14</t>
  </si>
  <si>
    <t>Online Transfer from SAV ...0138 transaction#: 8041352211</t>
  </si>
  <si>
    <t>MENCHIES B586 GARDEN SH BOCA RATON FL        03/13</t>
  </si>
  <si>
    <t>Online Transfer to SAV ...0138 transaction#: 8014656791 03/08</t>
  </si>
  <si>
    <t>HAIR CUTTERY #3983 BOCA RATON FL             03/08</t>
  </si>
  <si>
    <t>PUBLIX SUPER MAR 5050 BOCA RATON FL  562585  03/08</t>
  </si>
  <si>
    <t>CRAZY UNCLE MIKES BOCA RATON FL              03/06</t>
  </si>
  <si>
    <t>ColombianCupid.Com Southport                 03/07</t>
  </si>
  <si>
    <t>GUITAR CENTER #791 DELRAY BEACH FL           03/06</t>
  </si>
  <si>
    <t>POLLO TROPICAL 10247 BOCA RATON FL           03/06</t>
  </si>
  <si>
    <t>STARBUCKS STORE 08588 BOCA RATON FL          03/06</t>
  </si>
  <si>
    <t>Online Transfer from SAV ...0138 transaction#: 8005841427</t>
  </si>
  <si>
    <t>WMV*MATCH.COM 800-326-5161 TX                03/04</t>
  </si>
  <si>
    <t>CRAZY UNCLE MIKES BOCA RATON FL              03/03</t>
  </si>
  <si>
    <t>Netflix.com netflix.com CA                   03/02</t>
  </si>
  <si>
    <t>PUBLIC STORAGE 26829 800-567-0759 FL         03/02</t>
  </si>
  <si>
    <t>BARNESNOBLE 1400 Glade BOCA RATON FL 915625  03/03</t>
  </si>
  <si>
    <t>GUITAR CENTER #770 HALLANDALE FL             03/03</t>
  </si>
  <si>
    <t>BARNESNOBLE 1400 Glade BOCA RATON FL 110290  03/02</t>
  </si>
  <si>
    <t>BARNESNOBLE 1400 Glade BOCA RATON FL 005355  03/02</t>
  </si>
  <si>
    <t>PUBLIX SUPER MAR 4141 BOCA RATON FL  748904  03/02</t>
  </si>
  <si>
    <t>BARNESNOBLE 1400 Glade BOCA RATON FL 716122  03/02</t>
  </si>
  <si>
    <t>WHOLEFDS BCA 101 1400B BOCA RATON FL 021299  03/02</t>
  </si>
  <si>
    <t>MASSAGE ENVY 0180 BOCA RATON FL              03/02</t>
  </si>
  <si>
    <t>CVS/PHARMACY #03 03818 BOCA RATON FL 761413  03/02</t>
  </si>
  <si>
    <t>CRAZY UNCLE MIKES BOCA RATON FL              03/01</t>
  </si>
  <si>
    <t>CARRABBAS 6017 DELRAY BEACH FL               03/01</t>
  </si>
  <si>
    <t>STARBUCKS STORE 08588 BOCA RATON FL          03/01</t>
  </si>
  <si>
    <t>CHOCOLADA BAKERY AND CA HOLLYWOOD FL         02/28</t>
  </si>
  <si>
    <t>COMCAST/XFINITY 800-266-2278 FL              02/25</t>
  </si>
  <si>
    <t>SQ *BOCA WALK IN ORTHOP BOCA RATON FL        02/25</t>
  </si>
  <si>
    <t>PUBLIX SUPER MAR 4141 BOCA RATON FL  115634  02/24</t>
  </si>
  <si>
    <t>STARBUCKS STORE 08257 BOCA RATON FL          02/24</t>
  </si>
  <si>
    <t>WHOLEFDS BCA 101 1400B BOCA RATON FL         02/24 Purchase $12.33 Cash Back $20.00</t>
  </si>
  <si>
    <t>NORDSTROM RACK # 1400 BOCA RATON FL  358686  02/24</t>
  </si>
  <si>
    <t>WHOLEFDS BCA 101 1400B BOCA RATON FL 901115  02/24</t>
  </si>
  <si>
    <t>IN *CENTER FOR HEALTH 561-7899558 FL         02/24</t>
  </si>
  <si>
    <t>CRAZY UNCLE MIKES BOCA RATON FL              02/23</t>
  </si>
  <si>
    <t>BARNESNOBLE 1400 Glade BOCA RATON FL 634868  02/23</t>
  </si>
  <si>
    <t>WHOLEFDS BCA 101 1400B BOCA RATON FL 315502  02/23</t>
  </si>
  <si>
    <t>RAMI PETROLEUM, POMPANO BEACH FL             02/23</t>
  </si>
  <si>
    <t>THE HOME DEPOT #0218 DEERFIELD BEA FL044934  02/23</t>
  </si>
  <si>
    <t>HAIR CUTTERY #2846 DEERFIELD BEA FL          02/23</t>
  </si>
  <si>
    <t>BARNESNOBLE 1400 Glade BOCA RATON FL 119999  02/23</t>
  </si>
  <si>
    <t>BARNESNOBLE 1400 Glade BOCA RATON FL 952434  02/23</t>
  </si>
  <si>
    <t>STARBUCKS STORE 08588 BOCA RATON FL          02/22</t>
  </si>
  <si>
    <t>THE HOME DEPOT #6315 DELRAY BEACH FL 339203  02/24</t>
  </si>
  <si>
    <t>THE HOME DEPOT 6315 DELRAY BEACH FL          02/23</t>
  </si>
  <si>
    <t>Online Transfer to SAV ...0138 transaction#: 7964103829 02/22</t>
  </si>
  <si>
    <t>GUITAR CENTER #791 DELRAY BEACH FL           02/18</t>
  </si>
  <si>
    <t>THE HOME DEPOT #6315 DELRAY BEACH FL 979026  02/18</t>
  </si>
  <si>
    <t>STARBUCKS STORE 08588 BOCA RATON FL          02/18</t>
  </si>
  <si>
    <t>TRADER JOE'S #771 QPS DELRAY BEACH FL787164  02/18</t>
  </si>
  <si>
    <t>PUBLIX SUPER MAR 4141 BOCA RATON FL  658418  02/18</t>
  </si>
  <si>
    <t>APL* ITUNES.COM/BILL 866-712-7753 CA         02/18</t>
  </si>
  <si>
    <t>PUBLIX SUPER MAR 21230 BOCA RATON FL 660001  02/17</t>
  </si>
  <si>
    <t>BARNESNOBLE 1400 Glade BOCA RATON FL 962630  02/17</t>
  </si>
  <si>
    <t>PRIP MART 199 BOCA RATON FL          089324  02/17</t>
  </si>
  <si>
    <t>THE HOME DEPOT #6315 DELRAY BEACH FL 086910  02/17</t>
  </si>
  <si>
    <t>THE HOME DEPOT #6315 DELRAY BEACH FL 076882  02/16</t>
  </si>
  <si>
    <t>CRAZY UNCLE MIKES BOCA RATON FL              02/16</t>
  </si>
  <si>
    <t>BARNESNOBLE 1400 Glade BOCA RATON FL 920629  02/16</t>
  </si>
  <si>
    <t>BARNESNOBLE 1400 Glade BOCA RATON FL 542957  02/16</t>
  </si>
  <si>
    <t>WHOLEFDS BCA 101 1400B BOCA RATON FL 456374  02/16</t>
  </si>
  <si>
    <t>CRAZY UNCLE MIKES BOCA RATON FL              02/15</t>
  </si>
  <si>
    <t>IN *CENTER FOR HEALTH 561-7899558 FL         02/13</t>
  </si>
  <si>
    <t>PUBLIX SUPER MAR 4141 BOCA RATON FL  754125  02/13</t>
  </si>
  <si>
    <t>ROBOT BREWING COMPANY BOCA RATON FL          02/12</t>
  </si>
  <si>
    <t>STARBUCKS STORE 08588 BOCA RATON FL          02/12</t>
  </si>
  <si>
    <t>AVENTURA EYE SPECIALIST WEESTON FL           02/11</t>
  </si>
  <si>
    <t>Online Transfer to SAV ...0138 transaction#: 7930293398 02/11</t>
  </si>
  <si>
    <t>PUBLIX SUPER MAR 4141 BOCA RATON FL  140307  02/10</t>
  </si>
  <si>
    <t>PUBLIX SUPER MAR 4141 BOCA RATON FL  726444  02/10</t>
  </si>
  <si>
    <t>TOTAL WINE AND MORE 90 BOCA RATON FL 331023  02/09</t>
  </si>
  <si>
    <t>WHOLEFDS BCA 101 1400B BOCA RATON FL 456312  02/09</t>
  </si>
  <si>
    <t>BARNESNOBLE 1400 Glade BOCA RATON FL 821013  02/09</t>
  </si>
  <si>
    <t>BEDBATH&amp;BEYOND# 1400C BOCA RATON FL  217933  02/09</t>
  </si>
  <si>
    <t>IKEA SUNRISE SUNRISE FL              939503  02/09</t>
  </si>
  <si>
    <t>HAIR CUTTERY #2846 DEERFIELD BEA FL          02/09</t>
  </si>
  <si>
    <t>818 HEAT BOCA RATON FL                       02/08</t>
  </si>
  <si>
    <t>TST* ALL MEATS BRAZILIA BOCA RATON FL        02/08</t>
  </si>
  <si>
    <t>CRAZY UNCLE MIKES BOCA RATON FL              02/07</t>
  </si>
  <si>
    <t>CABANA NUEVO LATINO- D 724-2831878 FL        02/07</t>
  </si>
  <si>
    <t>HOMEDEPOT.COM 800-430-3376 GA                02/07</t>
  </si>
  <si>
    <t>DEPOSIT  ID NUMBER 253728</t>
  </si>
  <si>
    <t>Netflix.com netflix.com CA                   02/02</t>
  </si>
  <si>
    <t>MASSAGE ENVY 0180 561-368-2111 FL            02/02</t>
  </si>
  <si>
    <t>PUBLIC STORAGE 26829 800-567-0759 FL         02/02</t>
  </si>
  <si>
    <t>PUBLIX SUPER MAR 4141 BOCA RATON FL  151265  02/04</t>
  </si>
  <si>
    <t>TST* YUCA RESTAURANT MIAMI BEACH FL          02/04</t>
  </si>
  <si>
    <t>PARK ONE OF FLORDIA MIAMI FL                 02/03</t>
  </si>
  <si>
    <t>BB *PEREZ ART MUSEUM MIAMI FL                02/03</t>
  </si>
  <si>
    <t>WHOLEFDS BCA 101 1400B BOCA RATON FL 509063  02/03</t>
  </si>
  <si>
    <t>CRAZY UNCLE MIKES BOCA RATON FL              02/02</t>
  </si>
  <si>
    <t>MARATHON PETRO14 BOCA RATON FL       748124  02/02</t>
  </si>
  <si>
    <t>WHISKEY TANGO ALL AMERI HOLLYWOOD FL         02/02</t>
  </si>
  <si>
    <t>HOLLYWD TOWN PKG ON STR HOLLYWOOD FL         02/02</t>
  </si>
  <si>
    <t>BARNESNOBLE 1400 Glade BOCA RATON FL 050084  02/02</t>
  </si>
  <si>
    <t>BARNESNOBLE 1400 Glade BOCA RATON FL 737912  02/02</t>
  </si>
  <si>
    <t>CRAZY UNCLE MIKES BOCA RATON FL              02/01</t>
  </si>
  <si>
    <t>Online Transfer from SAV ...0138 transaction#: 7910089276</t>
  </si>
  <si>
    <t>SUNPASS*ACC588612 888-865-5352 FL            01/29</t>
  </si>
  <si>
    <t>ABC*YOUFIT HEALTH CLUB 561-3672326 FL        01/28</t>
  </si>
  <si>
    <t>UROMEDIX-EU6 SUNRISE FL                      01/28</t>
  </si>
  <si>
    <t>LatinAmericanCupid.Com Southport             01/25</t>
  </si>
  <si>
    <t>COMCAST/XFINITY 800-266-2278 FL              01/25</t>
  </si>
  <si>
    <t>IN *CENTER FOR HEALTH 561-7899558 FL         01/24</t>
  </si>
  <si>
    <t>SUNPASS*ACC588612 888-865-5352 FL            01/24</t>
  </si>
  <si>
    <t>CRAZY UNCLE MIKES BOCA RATON FL              01/23</t>
  </si>
  <si>
    <t>Online Transfer from SAV ...0138 transaction#: 7874548374</t>
  </si>
  <si>
    <t>7-ELEVEN 34819 WESTON FL                     01/23</t>
  </si>
  <si>
    <t>APL*ITUNES.COM/BILL 800-275-2273 CA          01/23</t>
  </si>
  <si>
    <t>POLLO TROPICAL 10058 DELRAY BEACH FL         01/22</t>
  </si>
  <si>
    <t>STARBUCKS STORE 08588 BOCA RATON FL          01/22</t>
  </si>
  <si>
    <t>Online Transfer to CHK ...3721 transaction#: 7867603097 01/22</t>
  </si>
  <si>
    <t>WHOLEFDS BCA 101 1400B BOCA RATON FL 355275  01/21</t>
  </si>
  <si>
    <t>BOCA MART, INC. BOCA RATON FL                01/21</t>
  </si>
  <si>
    <t>WHOLEFDS BCA 101 1400B BOCA RATON FL 900683  01/21</t>
  </si>
  <si>
    <t>SUBWAY        000142 LAUDERDALE LA FL        01/20</t>
  </si>
  <si>
    <t>THE HOME DEPOT #6315 DELRAY BEACH FL 574527  01/20</t>
  </si>
  <si>
    <t>BARNESNOBLE 1400 Glade BOCA RATON FL 052415  01/20</t>
  </si>
  <si>
    <t>CRAZY UNCLE MIKES BOCA RATON FL              01/19</t>
  </si>
  <si>
    <t>ATM WITHDRAWAL                       000646  01/193901 N FE</t>
  </si>
  <si>
    <t>BARNESNOBLE 1400 Glade BOCA RATON FL 533979  01/19</t>
  </si>
  <si>
    <t>CORNER PORCH DELRAY BEACH FL                 01/18</t>
  </si>
  <si>
    <t>DR DAVID GOLDBERG BOCA RATON FL              01/18</t>
  </si>
  <si>
    <t>MARATHON PETRO149062 BOCA RATON FL           01/18</t>
  </si>
  <si>
    <t>STARBUCKS STORE 21822 DELRAY BEACH FL        01/17</t>
  </si>
  <si>
    <t>GUITARCENTER.COM CALL 866-498-7882 UT        01/17</t>
  </si>
  <si>
    <t>POLLO TROPICAL 10058 DELRAY BEACH FL         01/16</t>
  </si>
  <si>
    <t>SWEET TOMATOES 80 Q14 BOCA RATON FL          01/16</t>
  </si>
  <si>
    <t>GUITAR CENTER #791 DELRAY BEACH FL           01/17</t>
  </si>
  <si>
    <t>CRAZY UNCLE MIKES BOCA RATON FL              01/15</t>
  </si>
  <si>
    <t>DEPOSIT  ID NUMBER 849369</t>
  </si>
  <si>
    <t>APL* ITUNES.COM/BILL 866-712-7753 CA         01/15</t>
  </si>
  <si>
    <t>SHELL Service Station LAUDERHILL FL  062497  01/13</t>
  </si>
  <si>
    <t>BARNESNOBLE 1400 Glade BOCA RATON FL 739778  01/13</t>
  </si>
  <si>
    <t>JO BABY LAUDERHILL FL                        01/13</t>
  </si>
  <si>
    <t>BARNESNOBLE 1400 Glade BOCA RATON FL 908476  01/12</t>
  </si>
  <si>
    <t>PUBLIX SUPER MAR 4141 BOCA RATON FL  151348  01/12</t>
  </si>
  <si>
    <t>BARNESNOBLE 1400 Glade BOCA RATON FL 741927  01/12</t>
  </si>
  <si>
    <t>SQ *LAUDERALE Fort Lauderda FL               01/11</t>
  </si>
  <si>
    <t>ANTHONYS COAL FIRED PIZ BOCA RATON FL        01/11</t>
  </si>
  <si>
    <t>CRAZY UNCLE MIKES BOCA RATON FL              01/10</t>
  </si>
  <si>
    <t>Online Transfer to SAV ...0138 transaction#: 7837404976 01/11</t>
  </si>
  <si>
    <t>POLLO TROPICAL 10247 BOCA RATON FL           01/09</t>
  </si>
  <si>
    <t>RAW JUCE BOCA RATON FL                       01/09</t>
  </si>
  <si>
    <t>CRAZY UNCLE MIKES BOCA RATON FL              01/08</t>
  </si>
  <si>
    <t>WHOLEFDS BCA 101 1400B BOCA RATON FL 338975  01/09</t>
  </si>
  <si>
    <t>PUBLIX SUPER MAR 21230 BOCA RATON FL 657509  01/09</t>
  </si>
  <si>
    <t>RAW JUCE BOCA RATON FL                       01/08</t>
  </si>
  <si>
    <t>Online Transfer from SAV ...0138 transaction#: 7831853175</t>
  </si>
  <si>
    <t>MY MUSIC MASTER CLAS WWW.MYMUSICMA CA        01/07</t>
  </si>
  <si>
    <t>gotinder.com/help 000-0000000 TX             01/06</t>
  </si>
  <si>
    <t>PUBLIX SUPER MAR 4141 BOCA RATON FL  917719  01/06</t>
  </si>
  <si>
    <t>WHOLEFDS BCA 101 1400B BOCA RATON FL 048987  01/06</t>
  </si>
  <si>
    <t>APL* ITUNES.COM/BILL 866-712-7753 CA         01/07</t>
  </si>
  <si>
    <t>BARNESNOBLE 1400 Glade BOCA RATON FL 844287  01/06</t>
  </si>
  <si>
    <t>BARNESNOBLE 1400 Glade BOCA RATON FL 502019  01/06</t>
  </si>
  <si>
    <t>CRAZY UNCLE MIKES BOCA RATON FL              01/05</t>
  </si>
  <si>
    <t>BARNESNOBLE 1400 Glade BOCA RATON FL 504579  01/05</t>
  </si>
  <si>
    <t>SUPERCUTS BOCA RATON FL              242890  01/05</t>
  </si>
  <si>
    <t>CHEVRON/GRYPHON 2080 FT. LAUDERDAL FL033475  01/05</t>
  </si>
  <si>
    <t>ATM WITHDRAWAL                       008036  01/053901 N FE</t>
  </si>
  <si>
    <t>CVS/PHARMACY #03 03818 BOCA RATON FL 401045  01/04</t>
  </si>
  <si>
    <t>CRAZY UNCLE MIKES BOCA RATON FL              01/03</t>
  </si>
  <si>
    <t>WITHDRAWAL 01/04</t>
  </si>
  <si>
    <t>MASSAGE ENVY 0180 561-368-2111 FL            01/02</t>
  </si>
  <si>
    <t>BARNESNOBLE 1400 Glade BOCA RATON FL 052198  01/01</t>
  </si>
  <si>
    <t>PUBLIX SUPER MAR 21230 BOCA RATON FL 541021  01/01</t>
  </si>
  <si>
    <t>BARNESNOBLE 1400 Glade BOCA RATON FL 809317  01/01</t>
  </si>
  <si>
    <t>GILBERTS RESORT KEY LARGO FL                 12/31</t>
  </si>
  <si>
    <t>APL*ITUNES.COM/BILL 800-275-2273 CA          01/01</t>
  </si>
  <si>
    <t>NEW ROYAL DAY SPA INC KEY LARGO FL           12/30</t>
  </si>
  <si>
    <t>ABC*YOUFIT HEALTH CLUB 561-3672326 FL        12/28</t>
  </si>
  <si>
    <t>PUBLIX SUPER MAR 4141 BOCA RATON FL  724884  12/31</t>
  </si>
  <si>
    <t>SPEEDWAY 06892 FLORIDA CITY FL       659938  12/31</t>
  </si>
  <si>
    <t>TOM THUMB 206 KEY LARGO FL           705781  12/30</t>
  </si>
  <si>
    <t>PUBLIX SUPER MAR 10143 KEY LARGO FL  918339  12/30</t>
  </si>
  <si>
    <t>WHALE HARBOR SEAFOOD BU ISLAMORADA FL        12/31</t>
  </si>
  <si>
    <t>EXXONMOBIL    48090674 HOMESTEAD FL          12/30</t>
  </si>
  <si>
    <t>GUITAR CENTER #770 HALLANDALE FL             12/30</t>
  </si>
  <si>
    <t>SPANISH RIVER MA BOCA RATON FL       899792  12/30</t>
  </si>
  <si>
    <t>BARNESNOBLE 1400 Glade BOCA RATON FL 846564  12/30</t>
  </si>
  <si>
    <t>WHOLEFDS BCA 101 1400B BOCA RATON FL 205377  12/30</t>
  </si>
  <si>
    <t>BARNESNOBLE 1400 Glade BOCA RATON FL 005409  12/30</t>
  </si>
  <si>
    <t>CRAZY UNCLE MIKES BOCA RATON FL              12/30</t>
  </si>
  <si>
    <t>JO BABY LAUDERHILL FL                        12/30</t>
  </si>
  <si>
    <t>WHOLEFDS BCA 101 1400B BOCA RATON FL 752188  12/29</t>
  </si>
  <si>
    <t>WHOLEFDS BCA 101 1400B BOCA RATON FL 662475  12/29</t>
  </si>
  <si>
    <t>BARNESNOBLE 1400 Glade BOCA RATON FL 251502  12/29</t>
  </si>
  <si>
    <t>BARNESNOBLE 1400 Glade BOCA RATON FL 630995  12/29</t>
  </si>
  <si>
    <t>CRAZY UNCLE MIKES BOCA RATON FL              12/28</t>
  </si>
  <si>
    <t>CVS/PHARM 03818--21140 BOCA RATON FL         12/28</t>
  </si>
  <si>
    <t>YAMATO U GAS BOCA RATON FL           070255  12/28</t>
  </si>
  <si>
    <t>POLLO TROPICAL 10247 BOCA RATON FL           12/27</t>
  </si>
  <si>
    <t>APL* ITUNES.COM/BILL 866-712-7753 CA         12/27</t>
  </si>
  <si>
    <t>CRAZY UNCLE MIKES BOCA RATON FL              12/26</t>
  </si>
  <si>
    <t>PUBLIX SUPER MAR 4141 BOCA RATON FL  615121  12/27</t>
  </si>
  <si>
    <t>APL* ITUNES.COM/BILL 866-712-7753 CA         12/26</t>
  </si>
  <si>
    <t>COMCAST/XFINITY 800-266-2278 FL              12/25</t>
  </si>
  <si>
    <t>WHOLEFDS BCA 101 1400B BOCA RATON FL 309237  12/26</t>
  </si>
  <si>
    <t>STARBUCKS STORE 08257 BOCA RATON FL          12/25</t>
  </si>
  <si>
    <t>SHELL Service Station HOLLYWOOD FL   052793  12/25</t>
  </si>
  <si>
    <t>GUPPIES #33 BOCA RATON FL                    12/25</t>
  </si>
  <si>
    <t>Online Transfer from SAV ...0138 transaction#: 7787253613</t>
  </si>
  <si>
    <t>WHOLEFDS BCA 101 1400B BOCA RATON FL 931932  12/24</t>
  </si>
  <si>
    <t>BARNESNOBLE 1400 Glade BOCA RATON FL 855965  12/24</t>
  </si>
  <si>
    <t>BARNESNOBLE 1400 Glade BOCA RATON FL 551559  12/24</t>
  </si>
  <si>
    <t>WHOLEFDS BCA 101 1400B BOCA RATON FL 304171  12/23</t>
  </si>
  <si>
    <t>PUBLIX SUPER MAR 4141 BOCA RATON FL  565014  12/23</t>
  </si>
  <si>
    <t>WINN-DIXIE   #03 604 KEY BISCAYNE FL 056937  12/23</t>
  </si>
  <si>
    <t>APL*ITUNES.COM/BILL 800-275-2273 CA          12/23</t>
  </si>
  <si>
    <t>DUFFY'S OF BOCA BOCA RATON FL                12/22</t>
  </si>
  <si>
    <t>SHELL Service Statio FORT LAUDERDA FL003742  12/22</t>
  </si>
  <si>
    <t>HAIR CUTTERY #2846 DEERFIELD BEA FL          12/22</t>
  </si>
  <si>
    <t>BARNESNOBLE 1400 Glade BOCA RATON FL 931538  12/22</t>
  </si>
  <si>
    <t>CRAZY UNCLE MIKES BOCA RATON FL              12/21</t>
  </si>
  <si>
    <t>CRAZY UNCLE MIKES BOCA RATON FL              12/20</t>
  </si>
  <si>
    <t>PUBLIX SUPER MAR 4141 BOCA RATON FL  531549  12/21</t>
  </si>
  <si>
    <t>PRIMARY CARE PHYSICIANS SUNRISE FL           12/20</t>
  </si>
  <si>
    <t>PUBLIX SUPER MAR 21230 BOCA RATON FL 756447  12/20</t>
  </si>
  <si>
    <t>WHOLEFDS BCA 101 1400B BOCA RATON FL 135164  12/20</t>
  </si>
  <si>
    <t>215-671-9600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</si>
</sst>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_(&quot;$&quot;* #,##0_);_(&quot;$&quot;* \(#,##0\);_(&quot;$&quot;* &quot;-&quot;??_);_(@_)"/>
    <numFmt numFmtId="166" formatCode="0.000"/>
    <numFmt numFmtId="167" formatCode="#,###,;\(#,###,\);\-"/>
    <numFmt numFmtId="168" formatCode="_(* #,##0_);_(* \(#,##0\);_(* &quot;-&quot;??_);_(@_)"/>
    <numFmt numFmtId="169" formatCode="mmm\-dd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u val="singleAccounting"/>
      <sz val="14"/>
      <color theme="1"/>
      <name val="Calibri"/>
      <family val="2"/>
      <scheme val="minor"/>
    </font>
    <font>
      <b/>
      <u val="doubleAccounting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1"/>
      <color indexed="81"/>
      <name val="Tahoma"/>
      <family val="2"/>
    </font>
    <font>
      <b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E1FE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AF9F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744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medium">
        <color rgb="FF0BADE7"/>
      </left>
      <right/>
      <top style="medium">
        <color rgb="FF0BADE7"/>
      </top>
      <bottom style="medium">
        <color rgb="FF0BADE7"/>
      </bottom>
      <diagonal/>
    </border>
    <border>
      <left/>
      <right style="medium">
        <color rgb="FF0BADE7"/>
      </right>
      <top style="medium">
        <color rgb="FF0BADE7"/>
      </top>
      <bottom style="medium">
        <color rgb="FF0BADE7"/>
      </bottom>
      <diagonal/>
    </border>
    <border>
      <left/>
      <right/>
      <top style="thick">
        <color theme="2" tint="-0.24994659260841701"/>
      </top>
      <bottom style="thick">
        <color theme="2" tint="-0.2499465926084170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16" fillId="0" borderId="0" xfId="0" applyFont="1"/>
    <xf numFmtId="43" fontId="0" fillId="0" borderId="0" xfId="1" applyFont="1"/>
    <xf numFmtId="0" fontId="0" fillId="33" borderId="0" xfId="0" applyFill="1"/>
    <xf numFmtId="164" fontId="0" fillId="33" borderId="0" xfId="0" applyNumberFormat="1" applyFill="1" applyAlignment="1">
      <alignment horizontal="left"/>
    </xf>
    <xf numFmtId="43" fontId="0" fillId="33" borderId="0" xfId="1" applyFont="1" applyFill="1"/>
    <xf numFmtId="0" fontId="0" fillId="34" borderId="0" xfId="0" applyFill="1"/>
    <xf numFmtId="164" fontId="0" fillId="34" borderId="0" xfId="0" applyNumberFormat="1" applyFill="1" applyAlignment="1">
      <alignment horizontal="left"/>
    </xf>
    <xf numFmtId="43" fontId="0" fillId="34" borderId="0" xfId="1" applyFont="1" applyFill="1"/>
    <xf numFmtId="0" fontId="0" fillId="0" borderId="10" xfId="0" applyBorder="1"/>
    <xf numFmtId="0" fontId="21" fillId="0" borderId="10" xfId="0" applyFont="1" applyBorder="1"/>
    <xf numFmtId="0" fontId="0" fillId="36" borderId="0" xfId="0" applyFill="1"/>
    <xf numFmtId="0" fontId="0" fillId="0" borderId="0" xfId="0" quotePrefix="1"/>
    <xf numFmtId="164" fontId="0" fillId="36" borderId="0" xfId="0" applyNumberFormat="1" applyFill="1" applyAlignment="1">
      <alignment horizontal="left"/>
    </xf>
    <xf numFmtId="43" fontId="0" fillId="36" borderId="0" xfId="1" applyFont="1" applyFill="1"/>
    <xf numFmtId="43" fontId="0" fillId="0" borderId="0" xfId="0" applyNumberFormat="1"/>
    <xf numFmtId="43" fontId="0" fillId="35" borderId="0" xfId="1" applyFont="1" applyFill="1"/>
    <xf numFmtId="0" fontId="0" fillId="37" borderId="0" xfId="0" applyFill="1"/>
    <xf numFmtId="164" fontId="0" fillId="37" borderId="0" xfId="0" applyNumberFormat="1" applyFill="1" applyAlignment="1">
      <alignment horizontal="left"/>
    </xf>
    <xf numFmtId="43" fontId="0" fillId="37" borderId="0" xfId="1" applyFont="1" applyFill="1"/>
    <xf numFmtId="0" fontId="16" fillId="38" borderId="0" xfId="0" applyFont="1" applyFill="1"/>
    <xf numFmtId="0" fontId="0" fillId="0" borderId="11" xfId="0" applyBorder="1"/>
    <xf numFmtId="0" fontId="0" fillId="0" borderId="12" xfId="0" applyBorder="1"/>
    <xf numFmtId="164" fontId="0" fillId="0" borderId="12" xfId="0" applyNumberFormat="1" applyBorder="1" applyAlignment="1">
      <alignment horizontal="left"/>
    </xf>
    <xf numFmtId="43" fontId="0" fillId="0" borderId="12" xfId="1" applyFont="1" applyBorder="1"/>
    <xf numFmtId="43" fontId="0" fillId="0" borderId="13" xfId="1" applyFont="1" applyBorder="1"/>
    <xf numFmtId="0" fontId="0" fillId="0" borderId="14" xfId="0" applyBorder="1"/>
    <xf numFmtId="0" fontId="0" fillId="0" borderId="15" xfId="0" applyBorder="1"/>
    <xf numFmtId="164" fontId="0" fillId="0" borderId="15" xfId="0" applyNumberFormat="1" applyBorder="1" applyAlignment="1">
      <alignment horizontal="left"/>
    </xf>
    <xf numFmtId="43" fontId="0" fillId="0" borderId="15" xfId="1" applyFont="1" applyBorder="1"/>
    <xf numFmtId="43" fontId="0" fillId="0" borderId="16" xfId="1" applyFont="1" applyBorder="1"/>
    <xf numFmtId="0" fontId="0" fillId="36" borderId="14" xfId="0" applyFill="1" applyBorder="1"/>
    <xf numFmtId="0" fontId="0" fillId="36" borderId="15" xfId="0" applyFill="1" applyBorder="1"/>
    <xf numFmtId="164" fontId="0" fillId="36" borderId="15" xfId="0" applyNumberFormat="1" applyFill="1" applyBorder="1" applyAlignment="1">
      <alignment horizontal="left"/>
    </xf>
    <xf numFmtId="43" fontId="0" fillId="36" borderId="15" xfId="1" applyFont="1" applyFill="1" applyBorder="1"/>
    <xf numFmtId="43" fontId="0" fillId="36" borderId="16" xfId="1" applyFont="1" applyFill="1" applyBorder="1"/>
    <xf numFmtId="0" fontId="0" fillId="0" borderId="0" xfId="0" pivotButton="1"/>
    <xf numFmtId="41" fontId="0" fillId="0" borderId="0" xfId="0" applyNumberFormat="1"/>
    <xf numFmtId="0" fontId="0" fillId="37" borderId="11" xfId="0" applyFill="1" applyBorder="1"/>
    <xf numFmtId="0" fontId="0" fillId="37" borderId="12" xfId="0" applyFill="1" applyBorder="1"/>
    <xf numFmtId="164" fontId="0" fillId="37" borderId="12" xfId="0" applyNumberFormat="1" applyFill="1" applyBorder="1" applyAlignment="1">
      <alignment horizontal="left"/>
    </xf>
    <xf numFmtId="43" fontId="0" fillId="37" borderId="12" xfId="1" applyFont="1" applyFill="1" applyBorder="1"/>
    <xf numFmtId="43" fontId="0" fillId="37" borderId="13" xfId="1" applyFont="1" applyFill="1" applyBorder="1"/>
    <xf numFmtId="0" fontId="0" fillId="0" borderId="0" xfId="0" applyAlignment="1">
      <alignment horizontal="right"/>
    </xf>
    <xf numFmtId="41" fontId="0" fillId="0" borderId="0" xfId="1" applyNumberFormat="1" applyFont="1"/>
    <xf numFmtId="41" fontId="18" fillId="0" borderId="0" xfId="1" applyNumberFormat="1" applyFont="1"/>
    <xf numFmtId="41" fontId="16" fillId="0" borderId="0" xfId="1" applyNumberFormat="1" applyFont="1"/>
    <xf numFmtId="41" fontId="0" fillId="36" borderId="0" xfId="1" applyNumberFormat="1" applyFont="1" applyFill="1"/>
    <xf numFmtId="41" fontId="20" fillId="0" borderId="0" xfId="1" applyNumberFormat="1" applyFont="1"/>
    <xf numFmtId="41" fontId="21" fillId="0" borderId="10" xfId="1" applyNumberFormat="1" applyFont="1" applyBorder="1"/>
    <xf numFmtId="41" fontId="22" fillId="0" borderId="10" xfId="1" applyNumberFormat="1" applyFont="1" applyBorder="1"/>
    <xf numFmtId="41" fontId="18" fillId="36" borderId="0" xfId="1" applyNumberFormat="1" applyFont="1" applyFill="1"/>
    <xf numFmtId="0" fontId="0" fillId="0" borderId="17" xfId="0" applyBorder="1"/>
    <xf numFmtId="41" fontId="0" fillId="0" borderId="17" xfId="1" applyNumberFormat="1" applyFont="1" applyBorder="1"/>
    <xf numFmtId="41" fontId="0" fillId="36" borderId="17" xfId="1" applyNumberFormat="1" applyFont="1" applyFill="1" applyBorder="1"/>
    <xf numFmtId="41" fontId="21" fillId="0" borderId="0" xfId="1" applyNumberFormat="1" applyFont="1"/>
    <xf numFmtId="0" fontId="23" fillId="0" borderId="0" xfId="0" applyFont="1"/>
    <xf numFmtId="41" fontId="24" fillId="0" borderId="0" xfId="1" applyNumberFormat="1" applyFont="1" applyAlignment="1">
      <alignment horizontal="center"/>
    </xf>
    <xf numFmtId="164" fontId="0" fillId="0" borderId="0" xfId="0" applyNumberFormat="1"/>
    <xf numFmtId="0" fontId="25" fillId="37" borderId="0" xfId="0" applyFont="1" applyFill="1"/>
    <xf numFmtId="43" fontId="25" fillId="37" borderId="0" xfId="1" applyFont="1" applyFill="1"/>
    <xf numFmtId="43" fontId="25" fillId="35" borderId="0" xfId="1" applyFont="1" applyFill="1"/>
    <xf numFmtId="43" fontId="25" fillId="0" borderId="0" xfId="0" applyNumberFormat="1" applyFont="1"/>
    <xf numFmtId="16" fontId="0" fillId="0" borderId="18" xfId="0" applyNumberFormat="1" applyBorder="1"/>
    <xf numFmtId="0" fontId="0" fillId="0" borderId="19" xfId="0" applyBorder="1"/>
    <xf numFmtId="16" fontId="0" fillId="0" borderId="20" xfId="0" applyNumberFormat="1" applyBorder="1"/>
    <xf numFmtId="0" fontId="0" fillId="0" borderId="21" xfId="0" applyBorder="1"/>
    <xf numFmtId="16" fontId="0" fillId="0" borderId="22" xfId="0" applyNumberFormat="1" applyBorder="1"/>
    <xf numFmtId="0" fontId="0" fillId="0" borderId="23" xfId="0" applyBorder="1"/>
    <xf numFmtId="41" fontId="26" fillId="39" borderId="10" xfId="1" applyNumberFormat="1" applyFont="1" applyFill="1" applyBorder="1"/>
    <xf numFmtId="0" fontId="18" fillId="0" borderId="0" xfId="0" applyFont="1"/>
    <xf numFmtId="0" fontId="0" fillId="40" borderId="0" xfId="0" applyFill="1"/>
    <xf numFmtId="41" fontId="22" fillId="35" borderId="10" xfId="1" applyNumberFormat="1" applyFont="1" applyFill="1" applyBorder="1"/>
    <xf numFmtId="0" fontId="0" fillId="41" borderId="0" xfId="0" applyFill="1"/>
    <xf numFmtId="164" fontId="0" fillId="41" borderId="0" xfId="0" applyNumberFormat="1" applyFill="1" applyAlignment="1">
      <alignment horizontal="left"/>
    </xf>
    <xf numFmtId="43" fontId="0" fillId="41" borderId="0" xfId="1" applyFont="1" applyFill="1"/>
    <xf numFmtId="41" fontId="0" fillId="41" borderId="17" xfId="1" applyNumberFormat="1" applyFont="1" applyFill="1" applyBorder="1"/>
    <xf numFmtId="16" fontId="0" fillId="40" borderId="20" xfId="0" applyNumberFormat="1" applyFill="1" applyBorder="1"/>
    <xf numFmtId="0" fontId="0" fillId="40" borderId="21" xfId="0" applyFill="1" applyBorder="1"/>
    <xf numFmtId="16" fontId="0" fillId="40" borderId="22" xfId="0" applyNumberFormat="1" applyFill="1" applyBorder="1"/>
    <xf numFmtId="0" fontId="0" fillId="40" borderId="23" xfId="0" applyFill="1" applyBorder="1"/>
    <xf numFmtId="41" fontId="0" fillId="33" borderId="17" xfId="1" applyNumberFormat="1" applyFont="1" applyFill="1" applyBorder="1"/>
    <xf numFmtId="41" fontId="18" fillId="35" borderId="0" xfId="1" applyNumberFormat="1" applyFont="1" applyFill="1"/>
    <xf numFmtId="41" fontId="0" fillId="35" borderId="17" xfId="1" applyNumberFormat="1" applyFont="1" applyFill="1" applyBorder="1"/>
    <xf numFmtId="165" fontId="0" fillId="0" borderId="0" xfId="43" applyNumberFormat="1" applyFont="1"/>
    <xf numFmtId="165" fontId="29" fillId="0" borderId="0" xfId="43" applyNumberFormat="1" applyFont="1"/>
    <xf numFmtId="165" fontId="30" fillId="0" borderId="0" xfId="43" applyNumberFormat="1" applyFont="1"/>
    <xf numFmtId="16" fontId="0" fillId="0" borderId="0" xfId="0" applyNumberFormat="1"/>
    <xf numFmtId="16" fontId="0" fillId="40" borderId="18" xfId="0" applyNumberFormat="1" applyFill="1" applyBorder="1"/>
    <xf numFmtId="0" fontId="0" fillId="40" borderId="19" xfId="0" applyFill="1" applyBorder="1"/>
    <xf numFmtId="14" fontId="0" fillId="0" borderId="0" xfId="0" applyNumberFormat="1"/>
    <xf numFmtId="14" fontId="0" fillId="38" borderId="0" xfId="0" applyNumberFormat="1" applyFill="1"/>
    <xf numFmtId="0" fontId="0" fillId="38" borderId="0" xfId="0" applyFill="1"/>
    <xf numFmtId="2" fontId="0" fillId="38" borderId="0" xfId="0" applyNumberFormat="1" applyFill="1"/>
    <xf numFmtId="166" fontId="0" fillId="38" borderId="0" xfId="0" applyNumberFormat="1" applyFill="1"/>
    <xf numFmtId="0" fontId="31" fillId="0" borderId="0" xfId="0" applyFont="1" applyAlignment="1">
      <alignment horizontal="left"/>
    </xf>
    <xf numFmtId="41" fontId="0" fillId="40" borderId="0" xfId="0" applyNumberFormat="1" applyFill="1" applyAlignment="1">
      <alignment horizontal="right"/>
    </xf>
    <xf numFmtId="167" fontId="0" fillId="40" borderId="0" xfId="0" quotePrefix="1" applyNumberFormat="1" applyFill="1" applyAlignment="1">
      <alignment horizontal="right"/>
    </xf>
    <xf numFmtId="41" fontId="33" fillId="40" borderId="0" xfId="0" applyNumberFormat="1" applyFont="1" applyFill="1" applyAlignment="1">
      <alignment horizontal="right"/>
    </xf>
    <xf numFmtId="167" fontId="33" fillId="40" borderId="0" xfId="0" quotePrefix="1" applyNumberFormat="1" applyFont="1" applyFill="1" applyAlignment="1">
      <alignment horizontal="right"/>
    </xf>
    <xf numFmtId="0" fontId="33" fillId="40" borderId="0" xfId="0" applyFont="1" applyFill="1"/>
    <xf numFmtId="41" fontId="18" fillId="0" borderId="0" xfId="0" applyNumberFormat="1" applyFont="1" applyAlignment="1">
      <alignment horizontal="right"/>
    </xf>
    <xf numFmtId="41" fontId="34" fillId="40" borderId="0" xfId="0" applyNumberFormat="1" applyFont="1" applyFill="1" applyAlignment="1">
      <alignment horizontal="right"/>
    </xf>
    <xf numFmtId="167" fontId="35" fillId="40" borderId="0" xfId="0" quotePrefix="1" applyNumberFormat="1" applyFont="1" applyFill="1" applyAlignment="1">
      <alignment horizontal="right"/>
    </xf>
    <xf numFmtId="0" fontId="35" fillId="40" borderId="0" xfId="0" applyFont="1" applyFill="1"/>
    <xf numFmtId="41" fontId="0" fillId="0" borderId="0" xfId="0" applyNumberFormat="1" applyAlignment="1">
      <alignment horizontal="right"/>
    </xf>
    <xf numFmtId="0" fontId="0" fillId="40" borderId="0" xfId="0" applyFill="1" applyAlignment="1">
      <alignment horizontal="right"/>
    </xf>
    <xf numFmtId="41" fontId="36" fillId="40" borderId="0" xfId="0" applyNumberFormat="1" applyFont="1" applyFill="1" applyAlignment="1">
      <alignment horizontal="right"/>
    </xf>
    <xf numFmtId="167" fontId="36" fillId="40" borderId="0" xfId="0" quotePrefix="1" applyNumberFormat="1" applyFont="1" applyFill="1" applyAlignment="1">
      <alignment horizontal="right"/>
    </xf>
    <xf numFmtId="0" fontId="36" fillId="40" borderId="0" xfId="0" applyFont="1" applyFill="1"/>
    <xf numFmtId="41" fontId="0" fillId="35" borderId="0" xfId="0" applyNumberFormat="1" applyFill="1" applyAlignment="1">
      <alignment horizontal="right"/>
    </xf>
    <xf numFmtId="167" fontId="0" fillId="35" borderId="0" xfId="0" quotePrefix="1" applyNumberFormat="1" applyFill="1" applyAlignment="1">
      <alignment horizontal="right"/>
    </xf>
    <xf numFmtId="0" fontId="0" fillId="35" borderId="0" xfId="0" applyFill="1"/>
    <xf numFmtId="168" fontId="0" fillId="38" borderId="0" xfId="0" applyNumberFormat="1" applyFill="1"/>
    <xf numFmtId="41" fontId="0" fillId="42" borderId="0" xfId="0" applyNumberFormat="1" applyFill="1" applyAlignment="1">
      <alignment horizontal="right"/>
    </xf>
    <xf numFmtId="167" fontId="0" fillId="42" borderId="0" xfId="0" quotePrefix="1" applyNumberFormat="1" applyFill="1" applyAlignment="1">
      <alignment horizontal="right"/>
    </xf>
    <xf numFmtId="0" fontId="0" fillId="42" borderId="0" xfId="0" applyFill="1"/>
    <xf numFmtId="2" fontId="0" fillId="0" borderId="0" xfId="0" applyNumberFormat="1"/>
    <xf numFmtId="0" fontId="0" fillId="43" borderId="24" xfId="0" applyFill="1" applyBorder="1"/>
    <xf numFmtId="41" fontId="0" fillId="43" borderId="25" xfId="0" applyNumberFormat="1" applyFill="1" applyBorder="1" applyAlignment="1">
      <alignment horizontal="right"/>
    </xf>
    <xf numFmtId="41" fontId="34" fillId="0" borderId="10" xfId="1" applyNumberFormat="1" applyFont="1" applyBorder="1"/>
    <xf numFmtId="168" fontId="0" fillId="44" borderId="0" xfId="1" applyNumberFormat="1" applyFont="1" applyFill="1"/>
    <xf numFmtId="168" fontId="0" fillId="40" borderId="0" xfId="1" applyNumberFormat="1" applyFont="1" applyFill="1"/>
    <xf numFmtId="0" fontId="0" fillId="45" borderId="0" xfId="0" applyFill="1"/>
    <xf numFmtId="164" fontId="0" fillId="44" borderId="0" xfId="0" applyNumberFormat="1" applyFill="1" applyAlignment="1">
      <alignment horizontal="left"/>
    </xf>
    <xf numFmtId="0" fontId="0" fillId="44" borderId="0" xfId="0" applyFill="1"/>
    <xf numFmtId="43" fontId="0" fillId="44" borderId="0" xfId="1" applyFont="1" applyFill="1"/>
    <xf numFmtId="41" fontId="0" fillId="46" borderId="0" xfId="0" applyNumberFormat="1" applyFill="1"/>
    <xf numFmtId="169" fontId="0" fillId="0" borderId="0" xfId="0" applyNumberFormat="1"/>
    <xf numFmtId="169" fontId="0" fillId="40" borderId="0" xfId="0" applyNumberFormat="1" applyFill="1"/>
    <xf numFmtId="41" fontId="18" fillId="46" borderId="0" xfId="0" applyNumberFormat="1" applyFont="1" applyFill="1"/>
    <xf numFmtId="164" fontId="0" fillId="47" borderId="0" xfId="0" applyNumberFormat="1" applyFill="1" applyAlignment="1">
      <alignment horizontal="left"/>
    </xf>
    <xf numFmtId="0" fontId="0" fillId="47" borderId="0" xfId="0" applyFill="1"/>
    <xf numFmtId="43" fontId="0" fillId="47" borderId="0" xfId="1" applyFont="1" applyFill="1"/>
    <xf numFmtId="0" fontId="36" fillId="41" borderId="0" xfId="0" applyFont="1" applyFill="1"/>
    <xf numFmtId="43" fontId="36" fillId="41" borderId="0" xfId="1" applyFont="1" applyFill="1"/>
    <xf numFmtId="43" fontId="37" fillId="41" borderId="0" xfId="1" applyFont="1" applyFill="1"/>
    <xf numFmtId="0" fontId="37" fillId="41" borderId="0" xfId="0" applyFont="1" applyFill="1"/>
    <xf numFmtId="0" fontId="37" fillId="0" borderId="0" xfId="0" applyFont="1"/>
    <xf numFmtId="0" fontId="36" fillId="0" borderId="0" xfId="0" applyFont="1"/>
    <xf numFmtId="0" fontId="0" fillId="0" borderId="0" xfId="0" applyFill="1"/>
    <xf numFmtId="164" fontId="0" fillId="0" borderId="0" xfId="0" applyNumberFormat="1" applyFill="1" applyAlignment="1">
      <alignment horizontal="left"/>
    </xf>
    <xf numFmtId="43" fontId="0" fillId="0" borderId="0" xfId="1" applyFont="1" applyFill="1"/>
    <xf numFmtId="41" fontId="0" fillId="0" borderId="0" xfId="1" applyNumberFormat="1" applyFont="1" applyFill="1"/>
    <xf numFmtId="41" fontId="0" fillId="0" borderId="17" xfId="1" applyNumberFormat="1" applyFont="1" applyFill="1" applyBorder="1"/>
    <xf numFmtId="164" fontId="0" fillId="35" borderId="0" xfId="0" applyNumberFormat="1" applyFill="1" applyAlignment="1">
      <alignment horizontal="left"/>
    </xf>
    <xf numFmtId="0" fontId="38" fillId="48" borderId="26" xfId="0" applyFont="1" applyFill="1" applyBorder="1" applyAlignment="1">
      <alignment vertical="center"/>
    </xf>
    <xf numFmtId="165" fontId="16" fillId="0" borderId="0" xfId="43" applyNumberFormat="1" applyFont="1" applyFill="1"/>
    <xf numFmtId="41" fontId="18" fillId="0" borderId="0" xfId="1" applyNumberFormat="1" applyFont="1" applyFill="1"/>
    <xf numFmtId="0" fontId="14" fillId="0" borderId="0" xfId="0" applyFont="1"/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3" fontId="0" fillId="49" borderId="0" xfId="1" applyFont="1" applyFill="1"/>
    <xf numFmtId="43" fontId="0" fillId="38" borderId="0" xfId="1" applyFont="1" applyFill="1"/>
    <xf numFmtId="14" fontId="0" fillId="50" borderId="0" xfId="0" applyNumberFormat="1" applyFill="1"/>
    <xf numFmtId="0" fontId="0" fillId="50" borderId="0" xfId="0" applyFill="1"/>
    <xf numFmtId="43" fontId="0" fillId="50" borderId="0" xfId="1" applyFont="1" applyFill="1"/>
    <xf numFmtId="0" fontId="0" fillId="51" borderId="0" xfId="0" applyFill="1"/>
    <xf numFmtId="43" fontId="0" fillId="0" borderId="15" xfId="0" applyNumberFormat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alignment horizontal="center"/>
    </dxf>
    <dxf>
      <alignment horizontal="center"/>
    </dxf>
    <dxf>
      <numFmt numFmtId="35" formatCode="_(* #,##0.00_);_(* \(#,##0.00\);_(* &quot;-&quot;??_);_(@_)"/>
    </dxf>
    <dxf>
      <alignment horizontal="right"/>
    </dxf>
    <dxf>
      <alignment horizontal="center"/>
    </dxf>
    <dxf>
      <alignment horizontal="center"/>
    </dxf>
    <dxf>
      <alignment horizontal="right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CCFF99"/>
      <color rgb="FF0744BF"/>
      <color rgb="FFFFCCCC"/>
      <color rgb="FFCAF9FE"/>
      <color rgb="FF0BADE7"/>
      <color rgb="FFE1FE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List" dx="22" fmlaLink="$CK$7" fmlaRange="$CJ$7:$CJ$18" sel="11" val="9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78</xdr:col>
          <xdr:colOff>95250</xdr:colOff>
          <xdr:row>0</xdr:row>
          <xdr:rowOff>9525</xdr:rowOff>
        </xdr:from>
        <xdr:to>
          <xdr:col>79</xdr:col>
          <xdr:colOff>142875</xdr:colOff>
          <xdr:row>1</xdr:row>
          <xdr:rowOff>161925</xdr:rowOff>
        </xdr:to>
        <xdr:sp macro="" textlink="">
          <xdr:nvSpPr>
            <xdr:cNvPr id="6161" name="List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1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umgarten, Allen" id="{E3F287D4-FA7E-4D13-B501-3985227161E5}" userId="S::Allen.Baumgarten@ctca-hope.com::ddaf4b37-e24a-475d-9e3b-bb92584780ef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umgarten, Allen" refreshedDate="43482.674508912038" createdVersion="6" refreshedVersion="6" minRefreshableVersion="3" recordCount="333" xr:uid="{EAB28D24-08AD-429A-87F9-D9D74A482019}">
  <cacheSource type="worksheet">
    <worksheetSource ref="A4:I337" sheet="data"/>
  </cacheSource>
  <cacheFields count="9">
    <cacheField name="Details" numFmtId="0">
      <sharedItems/>
    </cacheField>
    <cacheField name="Month" numFmtId="0">
      <sharedItems containsBlank="1" count="5">
        <s v="Jul"/>
        <s v="Jun"/>
        <s v="May"/>
        <s v="Apr"/>
        <m u="1"/>
      </sharedItems>
    </cacheField>
    <cacheField name="Posting Date" numFmtId="164">
      <sharedItems containsNonDate="0" containsDate="1" containsString="0" containsBlank="1" minDate="2018-04-23T00:00:00" maxDate="2018-07-03T00:00:00" count="57">
        <d v="2018-07-01T00:00:00"/>
        <m/>
        <d v="2018-07-02T00:00:00"/>
        <d v="2018-06-30T00:00:00"/>
        <d v="2018-06-29T00:00:00"/>
        <d v="2018-06-28T00:00:00"/>
        <d v="2018-06-27T00:00:00"/>
        <d v="2018-06-26T00:00:00"/>
        <d v="2018-06-25T00:00:00"/>
        <d v="2018-06-23T00:00:00"/>
        <d v="2018-06-22T00:00:00"/>
        <d v="2018-06-21T00:00:00"/>
        <d v="2018-06-20T00:00:00"/>
        <d v="2018-06-19T00:00:00"/>
        <d v="2018-06-18T00:00:00"/>
        <d v="2018-06-15T00:00:00"/>
        <d v="2018-06-14T00:00:00"/>
        <d v="2018-06-13T00:00:00"/>
        <d v="2018-06-12T00:00:00"/>
        <d v="2018-06-11T00:00:00"/>
        <d v="2018-06-09T00:00:00"/>
        <d v="2018-06-08T00:00:00"/>
        <d v="2018-06-07T00:00:00"/>
        <d v="2018-06-06T00:00:00"/>
        <d v="2018-06-05T00:00:00"/>
        <d v="2018-06-04T00:00:00"/>
        <d v="2018-06-02T00:00:00"/>
        <d v="2018-06-01T00:00:00"/>
        <d v="2018-05-31T00:00:00"/>
        <d v="2018-05-30T00:00:00"/>
        <d v="2018-05-29T00:00:00"/>
        <d v="2018-05-26T00:00:00"/>
        <d v="2018-05-25T00:00:00"/>
        <d v="2018-05-24T00:00:00"/>
        <d v="2018-05-23T00:00:00"/>
        <d v="2018-05-22T00:00:00"/>
        <d v="2018-05-21T00:00:00"/>
        <d v="2018-05-19T00:00:00"/>
        <d v="2018-05-18T00:00:00"/>
        <d v="2018-05-17T00:00:00"/>
        <d v="2018-05-16T00:00:00"/>
        <d v="2018-05-15T00:00:00"/>
        <d v="2018-05-14T00:00:00"/>
        <d v="2018-05-11T00:00:00"/>
        <d v="2018-05-10T00:00:00"/>
        <d v="2018-05-09T00:00:00"/>
        <d v="2018-05-08T00:00:00"/>
        <d v="2018-05-07T00:00:00"/>
        <d v="2018-05-04T00:00:00"/>
        <d v="2018-05-02T00:00:00"/>
        <d v="2018-05-01T00:00:00"/>
        <d v="2018-04-30T00:00:00"/>
        <d v="2018-04-27T00:00:00"/>
        <d v="2018-04-26T00:00:00"/>
        <d v="2018-04-25T00:00:00"/>
        <d v="2018-04-24T00:00:00"/>
        <d v="2018-04-23T00:00:00"/>
      </sharedItems>
    </cacheField>
    <cacheField name="Class" numFmtId="164">
      <sharedItems containsBlank="1" count="28">
        <s v="Haircut"/>
        <s v="Eating Out"/>
        <s v="Rent"/>
        <s v="Gas"/>
        <s v="Groceries"/>
        <s v="Condo Extra Princ"/>
        <s v="Car Extra Princ"/>
        <s v="Sam/house"/>
        <s v="Gym"/>
        <m/>
        <s v="Misc"/>
        <s v="Cell Phone"/>
        <s v="Coffees"/>
        <s v="Auto Pmt"/>
        <s v="Dry Cleaning"/>
        <s v="Paycheck"/>
        <s v="Cash"/>
        <s v="Entertainment"/>
        <s v="Condo Income"/>
        <s v="Mortgage"/>
        <s v="Transfer"/>
        <s v="Auto Insurance"/>
        <s v="Business Travel"/>
        <s v="Travel"/>
        <s v="Withdrawal"/>
        <s v="Int Pmt"/>
        <s v="Sam" u="1"/>
        <s v="??" u="1"/>
      </sharedItems>
    </cacheField>
    <cacheField name="Description" numFmtId="0">
      <sharedItems containsBlank="1" count="248">
        <s v="FORECASTED"/>
        <m/>
        <s v="POS DEBIT                TRANSFERRED $75 FOR CELL, GYM, OTHER ON 7/2"/>
        <s v="POS DEBIT                WM SUPERC WAL-MART SUP    BOCA RATON   FL"/>
        <s v="POS DEBIT                PUBLIX SUPER MAR 1001 S   BOCA RATON   FL"/>
        <s v="POS DEBIT                BARNESNOBLE 1400 GLADES   BOCA RATON   FL"/>
        <s v="ATM CREDIT               00000000000               ISA980400000 00"/>
        <s v="POS DEBIT                CVS/PHARM 03275--686 G    BOCA RATON   FL"/>
        <s v="POS DEBIT                DUFFY'S OF BOCA           BOCA RATON   FL"/>
        <s v="POS DEBIT                WM SUPERC WAL-MART SUP    SUNRISE (W)  FL"/>
        <s v="POS DEBIT                IKEA SUNRISE              SUNRISE      FL"/>
        <s v="WITHDRAWAL"/>
        <s v="ATM DEP - 5950 GLADES RD           BOCA RATON   FL"/>
        <s v="POS DEBIT                SWEET TOMATOES #80       BOCA RATON    FL"/>
        <s v="INTEREST PAYMENT"/>
        <s v="CHECK 4101  "/>
        <s v="KMF              KMFUSA.com                 PPD ID: 9200704262"/>
        <s v="WORLD OF BEER PLANTATION FL                  06/28"/>
        <s v="COMCAST/XFINITY 800-266-2278 FL              06/29"/>
        <s v="BOCAS PREMIER DRY YAMAT BOCA RATON FL        06/28"/>
        <s v="CANCER TREATMENT DIRECT DEP                 PPD ID: 9111111102"/>
        <s v="WEST BROWARD FORT LAUDERDA FL                06/28"/>
        <s v="BRANDSMART USA -DFB DEERFIELD BEA FL         06/28"/>
        <s v="TOTAL WINE AND MORE 90 BOCA RATON FL 346957  06/27"/>
        <s v="NON-CHASE ATM WITHDRAW               708040  06/2721230 SAI"/>
        <s v="ATM WITHDRAWAL                       007984  06/27853 S FED"/>
        <s v="21230 SAINT ANDREWS BLV BOCA RATON FL708040  06/27"/>
        <s v="ATM WITHDRAWAL                       008281  06/265950 GLAD"/>
        <s v="WITHDRAWAL 06/26"/>
        <s v="ATM -     1701 E YOUNG CIR         HOLLYWOOD    FL"/>
        <s v="ATM DEBIT                @DOWNTOWN HOLLYWOO        HOLLYWOOD    FL"/>
        <s v="POS DEBIT                CHEVRON/SUNSHINE #503     DAVIE        FL"/>
        <s v="POS DEBIT                AMAZON MKTPLACE PMTS      AMZN.COM/BIL WA"/>
        <s v="Tipsy Boar Hollywood FL                      06/24"/>
        <s v="POS DEBIT                HOLLYWD TOWN PKG ON ST    HOLLYWOOD    FL"/>
        <s v="POS DEBIT                HOLLYWOOD BEACH GARAGE    HOLLYWOOD    FL"/>
        <s v="POS DEBIT                FAU- TRAFFIC &amp; PARKING    BOCA RATON   FL"/>
        <s v="ATM DEBIT                1400 GLADES ROAD,         BOCA RATON   FL"/>
        <s v="POS DEBIT                BOCAS PREMIER DRY YAMA   BOCA RATON    FL"/>
        <s v="BIS STORE # 129 BOCA RATON FL                06/22"/>
        <s v="CHEVRON 0308377 POMPANO BEACH FL             06/22"/>
        <s v="SWEET TOMATOES 80 Q14 BOCA RATON FL          06/22"/>
        <s v="SWEET TOMATOES 80 Q14 BOCA RATON FL          06/21"/>
        <s v="ATM WITHDRAWAL                       001821  06/21101 S POM Half for Tutoring"/>
        <s v="ATM WITHDRAWAL                       001821  06/21101 S POM"/>
        <s v="POS DEBIT                MCDONALD'S F29261        BOCA RATON    FL"/>
        <s v="TOTAL WINE AND MORE 90 BOCA RATON FL 271956  06/20"/>
        <s v="NORTH PAVILION PARKI DEERFIELD BEA FL        06/19"/>
        <s v="HAIR CUTTERY #3983 BOCA RATON FL             06/20"/>
        <s v="BARNESNOBLE 1400 Glade BOCA RATON FL 234383  06/19"/>
        <s v="PUBLIX SUPER MAR 5050 BOCA RATON FL  754248  06/19"/>
        <s v="CHILI'S THE CREEK FORT LAUDERDA FL           06/18"/>
        <s v="THE SEED BOCA RATON FL                       06/19"/>
        <s v="SAM ASH MUSIC #32 MARGATE FL                 06/17"/>
        <s v="Tipsy Boar Hollywood FL                      06/17"/>
        <s v="PUBLIX SUPER MAR 5050 BOCA RATON FL  501229  06/18"/>
        <s v="BARNESNOBLE 1400 Glade BOCA RATON FL 924351  06/17"/>
        <s v="WHOLEFDS BCA 101 1400B BOCA RATON FL         06/17 Purchase $6.95 Cash Back $20.00"/>
        <s v="CRYSTAL LAKE CIT POMPANO BEACH FL    803468  06/17"/>
        <s v="HOLLYWD BCH PKG-ON STRE HOLLYWOOD FL         06/16"/>
        <s v="HOLLYWD BCH PKG-OFF STR HOLLYWOOD FL         06/16"/>
        <s v="SQ *FRANCIS PRODUCE Hollywood FL             06/16"/>
        <s v="AMAZON MKTPLACE PMTS AMZN.COM/BILL WA        06/17"/>
        <s v="NON-CHASE ATM WITHDRAW               538524  06/161400 GLAD"/>
        <s v="BARNESNOBLE 1400 Glade BOCA RATON FL 634778  06/16"/>
        <s v="1400 GLADES ROAD, BOCA RATON FL      538524  06/16"/>
        <s v="GLADES ROAD MAR BOCA RATON FL                06/15"/>
        <s v="DUNKIN #353914 Q35 BOCA RATON FL             06/14"/>
        <s v="DEPOSIT  ID NUMBER 257919"/>
        <s v="POS DEBIT                PUBLIX SUPER MAR 5050 C   BOCA RATON   FL"/>
        <s v="POS DEBIT                EINSTEIN BROS BAGELS077   BOCA RATON   FL"/>
        <s v="POS DEBIT                THE SEED                  BOCA RATON   FL"/>
        <s v="POS DEBIT                Two Georges at the Cove  Deerfield Be  FL"/>
        <s v="POS DEBIT                DUNKIN #353914 Q35       BOCA RATON    FL"/>
        <s v="ORIG CO NAME:CANCER TREATMENT CO ENTRY DESCR:DIRECT DEP SEC:PPD                        ORIG ID:9111111102"/>
        <s v="PUBLIX SUPER MAR 21230 BOCA RATON FL 636260  06/14"/>
        <s v="BARNESNOBLE 1400 Glade BOCA RATON FL 901907  06/14"/>
        <s v="PUBLIX SUPER MAR 5050 BOCA RATON FL  124393  06/14"/>
        <s v="PUBLIX SUPER MAR 21230 BOCA RATON FL 726038  06/13"/>
        <s v="BIERGARTEN BOCA RATON FL                     06/12"/>
        <s v="PUBLIX SUPER MAR 21230 BOCA RATON FL 349659  06/12"/>
        <s v="BARNESNOBLE 1400 Glade BOCA RATON FL 539262  06/12"/>
        <s v="WHOLEFDS BCA 101 1400B BOCA RATON FL 643212  06/12"/>
        <s v="BARNESNOBLE 1400 Glade BOCA RATON FL 906088  06/12"/>
        <s v="Tipsy Boar Hollywood FL                      06/10"/>
        <s v="ATM DEBIT 101 S POMPANO PKWY       POMPANO BEACHFL"/>
        <s v="POS DEBIT                REGAL CINEMSA CYPRESS C   FT LAUDERDAL FL"/>
        <s v="POS DEBIT                HOOTERS OF FT. LAU        FT LAUDERDAL FL"/>
        <s v="POS DEBIT                WHOLEFDS BCA 101 1400B    BOCA RATON   FL"/>
        <s v="POS DEBIT                RACETRAC469               POMPANO BCH  FL"/>
        <s v="POS DEBIT                STARBUCKS STORE 11609     HOLLYWOOD    FL"/>
        <s v="POS DEBIT                HOLLYWD BCH PKG-ON STR    HOLLYWOOD    FL"/>
        <s v="POS DEBIT                TIPSY BOAR                HOLLYWOOD    FL"/>
        <s v="POS DEBIT                SHELL SERVICE STATION     HOLLYWOOD    FL"/>
        <s v="POS DEBIT                PICANHA BRAZIL STEAK H   BOCA RATON    FL"/>
        <s v="PUBLIX SUPER MAR 5050 BOCA RATON FL  042305  06/08"/>
        <s v="WOB COCONUT CREEK COCONUT CREEK FL           06/07"/>
        <s v="PUBLIX SUPER MAR 5050 BOCA RATON FL  757540  06/07"/>
        <s v="CHILI'S THE CREEK FORT LAUDERDA FL           06/07"/>
        <s v="UROMEDIX-EU6 SUNRISE FL                      06/06"/>
        <s v="RACETRAC121 OAKLAND PARK FL          080554  06/06"/>
        <s v="BARNESNOBLE 1400 Glade BOCA RATON FL 957984  06/05"/>
        <s v="BARNESNOBLE 1400 Glade BOCA RATON FL 637836  06/05"/>
        <s v="OCEANSIDE PARKING LO POMPANO BEACH FL        06/04"/>
        <s v="PUBLIX SUPER MAR 21230 BOCA RATON FL 817091  06/04"/>
        <s v="POS DEBIT                WM SUPERC WAL-MART SUP    POMPANO      FL"/>
        <s v="POS DEBIT                STARBUCKS STORE 08476     POMPANO BEAC FL"/>
        <s v="POS DEBIT                PEI WEI #0203  Q02        BOCA RATON   FL"/>
        <s v="POS DEBIT                210 WEST BOCA MEDICAL C   BOCA RATON   FL"/>
        <s v="POS DEBIT                QUICKMART                 HALLANDALE   FL"/>
        <s v="ORIG CO NAME:WF HOME MTG      CO ENTRY DESCR:AUTO PAY   SEC:PPD                        ORIG ID:W952318940"/>
        <s v="PUBLIX SUPER MAR 21230 BOCA RATON FL 625106  05/15"/>
        <s v="Transfer from CHK XXXXX1115 to cover $298 condo fees"/>
        <s v="Transfer from CHK XXXXX1115 to cover $100 for cell"/>
        <s v="Transfer from CHK XXXXX1115 to cover $102 for auto insurance/other"/>
        <s v="POS DEBIT BOCAS PREMIER DRY YAMA BOCA RATON"/>
        <s v="POS DEBIT HEALTHY FAMILY DENTIST COCONUT CREEK"/>
        <s v="WITHDRAWAL FOR SAM'S BIRTHDAY GIFT"/>
        <s v="POS DEBIT CVS/PHARM 03818--21140 BOCA RATON FL"/>
        <s v="POS DEBIT DUNKIN #353914 Q35 BOCA RATON FL"/>
        <s v="POS DEBIT SHELL SERVICE STATION BOCA RATON FL"/>
        <s v="WHISKTY TANGO ALL AMERICAN HOLLYWOOD FL"/>
        <s v="SUPERCUTS BOCA RATON FL              365125  05/11"/>
        <s v="ORIG CO NAME:KMF              CO ENTRY DESCR:KMFUSA.com SEC:PPD                        ORIG ID:9200704262"/>
        <s v="POS DEBIT                CHILIS THE CREEK          FORT LAUDERD FL"/>
        <s v="POS DEBIT                WHISKEY TANGO ALL AMERI   HOLLYWOOD    FL"/>
        <s v="POS DEBIT                MARATHON PETRO149062      BOCA RATON   FL"/>
        <s v="POS DEBIT                RAW JUCE                  BOCA RATON   FL"/>
        <s v="POS DEBIT                FT LAUD HOLLYWOOD INTL    FT LAUDERDAL FL"/>
        <s v="POS DEBIT                LYFT   *PENDING           SAN FRANCISC CA"/>
        <s v="POS DEBIT                DINICS BEEF AND PORK      PHILADELPHIA PA"/>
        <s v="POS DEBIT                PHILADELPHIA MUSEUM OF    PHILADELPHIA PA"/>
        <s v="POS DEBIT                KAMAL MIDDLE EASTERN SP   PHILADELPHIA PA"/>
        <s v="POS DEBIT                DOWNTOWN CHEESE           PHILADELPHIA PA"/>
        <s v="POS DEBIT                OLD CITY COFFEE  - 2 RT   PHILADELPHIA PA"/>
        <s v="POS DEBIT                PROFI'S CREPERIE I        PHILADELPHIA PA"/>
        <s v="POS DEBIT                FOUR POINTS BY SHERATO    PHILADELPHIA PA"/>
        <s v="POS DEBIT                TST* INDEPENDENC          PHILADELPHIA PA"/>
        <s v="POS DEBIT                OLYMPIA GYRO              PHILADELPHIA PA"/>
        <s v="POS DEBIT                THE FRANKLIN INSTITUTE    PHILADELPHIA PA"/>
        <s v="POS DEBIT                COMMISSARY AT THE FRANK   PHILADELPHIA PA"/>
        <s v="POS DEBIT                PMOA ADMISSIONS           PHILADELPHIA PA"/>
        <s v="POS DEBIT                SWEET AS FUDGE CANDY S    PHILADELPHIA PA"/>
        <s v="POS DEBIT                KAUFFMANS LANCASTER CO    PHILADELPHIA PA"/>
        <s v="POS DEBIT                BEILERS DONUTS            PHILADELPHIA PA"/>
        <s v="POS DEBIT                FOUR POINTS BY SHERATO   PHILADELPHIA  PA"/>
        <s v="POS DEBIT                LYFT   *PENDING          SAN FRANCISC  CA"/>
        <s v="POS DEBIT                YARDS BREWING CO         PHILADELPHIA  PA"/>
        <s v="POS DEBIT                ERMC-CAFETERIA           PHILADELPHIA  PA"/>
        <s v="POS DEBIT                LYFT   *CANCEL FEE       SAN FRANCISC  CA"/>
        <s v="POS DEBIT                LORI'S GIFTS STORE #481  PHILADELPHIA  PA"/>
        <s v="MAGGIANOS 12TH &amp; FILB PHILADELPHIA PA        05/24"/>
        <s v="ERMC-CAFETERIA PHILADELPHIA PA               05/24"/>
        <s v="LYFT   *RIDE THU 7AM LYFT.COM CA             05/24"/>
        <s v="FOUR POINTS BY SHERAT PHILADELPHIA PA        05/24"/>
        <s v="FOUR POINTS BY SHERAT PHILADELPHIA PA        05/25"/>
        <s v="MAGGIANOS 12TH &amp; FILB PHILADELPHIA PA        05/23"/>
        <s v="LYFT   *RIDE WED 6PM LYFT.COM CA             05/23"/>
        <s v="ERMC-CAFETERIA PHILADELPHIA PA               05/23"/>
        <s v="ERMC PHARMACY PHILADELPHIA PA                05/23"/>
        <s v="LYFT   *RIDE WED 7AM LYFT.COM CA             05/23"/>
        <s v="FOUR POINTS BY SHERAT PHILADELPHIA PA        05/23"/>
        <s v="LYFT   *RIDE TUE 9PM LYFT.COM CA             05/22"/>
        <s v="LYFT   *RIDE TUE 7PM LYFT.COM CA             05/22"/>
        <s v="MARSHALLS 1026 MARKET PHILADELPHIA PA        05/23"/>
        <s v="LYFT   *CANCEL FEE LYFT.COM CA               05/22"/>
        <s v="LYFT   *RIDE TUE 6PM LYFT.COM CA             05/22"/>
        <s v="FORT LAUDERDALE AIRP FORT LAUDERDA FL        05/22"/>
        <s v="BOCAS PREMIER DRY YAMAT BOCA RATON FL        05/22"/>
        <s v="Tipsy Boar Hollywood FL                      05/20"/>
        <s v="MARSHALLS 8180 GLADES BOCA RATON FL          05/21"/>
        <s v="POS DEBIT                WAL-MART #1589            DELRAY BEACH FL"/>
        <s v="POS DEBIT                COSTCO WHSE #0345         BOCA RATON   FL"/>
        <s v="POS DEBIT                PETSMART # 2113           DELRAY BEACH FL"/>
        <s v="POS DEBIT                OUTBACK #1082             DELRAY BCH.  FL"/>
        <s v="POS DEBIT                SUNSHINE # 30010          POMPANO BEAC FL"/>
        <s v="POS DEBIT                SUNPASS OPERATIONS       BOCA RATON    FL"/>
        <s v="BARNESNOBLE 1400 Glade BOCA RATON FL 353899  05/18"/>
        <s v="CHILI'S THE CREEK FORT LAUDERDA FL           05/18"/>
        <s v="STARBUCKS STORE 2971 FORT LAUDERDA FL        05/17"/>
        <s v="PUBLIX SUPER MAR 114 POMPANO BEACH FL930791  05/17"/>
        <s v="PEI WEI #0203  Q02 BOCA RATON FL             05/16"/>
        <s v="DTV*DIRECTV HARDWARE 800-347-3288 CA         05/17"/>
        <s v="CVS/PHARMACY #07 07173 BOCA RATON FL 963668  05/16"/>
        <s v="SEMC - CAFETERIA NEWNAN GA                   05/14"/>
        <s v="ATM WITHDRAWAL                       005587  05/15101 S POM"/>
        <s v="FT LAUD HOLLYWOOD IN FT LAUDERDALE FL        05/14"/>
        <s v="ATLANTA CHOPHOUSE ATL ATLANTA GA             05/14"/>
        <s v="HOME2 SUITES NEWNAN/AT NEWNAN GA             05/15"/>
        <s v="Tipsy Boar Hollywood FL                      05/13"/>
        <s v="SEMC - PHARMACY NEWNAN GA            652769  05/14"/>
        <s v="TACO MAC 15 NEWNAN GA                        05/13"/>
        <s v="STIRLING PETROL FORT LAUDERDA FL             05/13"/>
        <s v="STARBUCKS STORE 11609 HOLLYWOOD FL           05/12"/>
        <s v="PUBLIX SUPER MAR 21230 BOCA RATON FL 557896  05/12"/>
        <s v="WHOLEFDS BCA 101 1400B BOCA RATON FL 752019  05/12"/>
        <s v="BARNESNOBLE 1400 Glade BOCA RATON FL 812640  05/12"/>
        <s v="CHILI'S THE CREEK FORT LAUDERDA FL           05/10"/>
        <s v="TOTAL WINE AND MORE 90 BOCA RATON FL 298172  05/10"/>
        <s v="PEI WEI #0203  Q02 BOCA RATON FL             05/09"/>
        <s v="ATM WITHDRAWAL                       001432  05/09101 S POM"/>
        <s v="TST* BRASS TAPS - FT FORT LAUDERDA FL        05/09"/>
        <s v="INVASIVE SPECIES BRE FORT LAUDERDA FL        05/08"/>
        <s v="CYPRESS CREEK MA FORT LAUDERDA FL    716190  05/08"/>
        <s v="PUBLIX SUPER MAR 5050 BOCA RATON FL  537431  05/08"/>
        <s v="CHILI'S THE CREEK FORT LAUDERDA FL           05/07"/>
        <s v="Tipsy Boar Hollywood FL                      05/06"/>
        <s v="PUBLIX SUPER MAR 5050 BOCA RATON FL          05/07 Purchase $25.01 Cash Back $20.00"/>
        <s v="CDD SELF PARKING GARAGE HOLLYWOOD FL         05/06"/>
        <s v="STARBUCKS STORE 11609 HOLLYWOOD FL           05/06"/>
        <s v="PEI WEI #0203  Q02 BOCA RATON FL             05/06"/>
        <s v="PUBLIX SUPER MAR 21230 BOCA RATON FL         05/06 Purchase $32.09 Cash Back $20.00"/>
        <s v="BARNESNOBLE 1400 Glade BOCA RATON FL 704513  05/05"/>
        <s v="BARNESNOBLE 1400 Glade BOCA RATON FL 754445  05/05"/>
        <s v="SQUARE ONE AMERICAN RE 561-9239176 FL        05/03"/>
        <s v="SHELL Service Station BOCA RATON FL  061321  05/04"/>
        <s v="PUBLIX SUPER MAR 21230 BOCA RATON FL         05/04 Purchase $9.36 Cash Back $20.00"/>
        <s v="COSTCO WHSE #0345 BOCA RATON FL      027899  05/04"/>
        <s v="DEPOSIT  ID NUMBER 725414"/>
        <s v="STARBUCKS STORE 08588 BOCA RATON FL          05/01"/>
        <s v="FAU- TRAFFIC &amp; PARKING BOCA RATON FL         05/01"/>
        <s v="BARNESNOBLE 1400 Glade BOCA RATON FL 608051  05/01"/>
        <s v="CHILI'S THE CREEK FORT LAUDERDA FL           04/30"/>
        <s v="STARBUCKS STORE 0847 POMPANO BEACH FL        04/30"/>
        <s v="STARBUCKS STORE 08588 BOCA RATON FL          04/30"/>
        <s v="HOLLYWOOD BEACH GARAGE HOLLYWOOD FL          04/29"/>
        <s v="Giorgio's Bakery &amp; Bist hollywood FL         04/29"/>
        <s v="PUBLIX SUPER MAR 21230 BOCA RATON FL 607278  04/30"/>
        <s v="CHILI'S THE CREEK FORT LAUDERDA FL           04/29"/>
        <s v="ATM WITHDRAWAL                       003734  04/29101 S POM"/>
        <s v="CHEVRON 0308377 POMPANO BEACH FL             04/29"/>
        <s v="TIPSY BOAR HOLLYWOOD FL                      04/28"/>
        <s v="STIRLING PETROL FORT LAUDERDA FL             04/28"/>
        <s v="BARNESNOBLE 1400 Glade BOCA RATON FL 211830  04/28"/>
        <s v="BARNESNOBLE 1400 Glade BOCA RATON FL 653300  04/28"/>
        <s v="BARNESNOBLE 1400 Glade BOCA RATON FL 759886  04/28"/>
        <s v="BARNESNOBLE 1400 Glade BOCA RATON FL 758511  04/28"/>
        <s v="WORLD OF BEER PLANTATION FL                  04/26"/>
        <s v="SWEET TOMATOES 80 Q14 BOCA RATON FL          04/25"/>
        <s v="SHELL Service Station BOCA RATON FL  060354  04/25"/>
        <s v="CVS/PHARMACY #03 03818 BOCA RATON FL 062382  04/25"/>
        <s v="NON-CHASE ATM WITHDRAW               201558  04/2421230 SAI"/>
        <s v="21230 SAINT ANDREWS BLV BOCA RATON FL201558  04/24"/>
        <s v="ATM WITHDRAWAL                       001385  04/225950 GLAD"/>
        <s v="ATM WITHDRAWAL                       008463  04/21101 S POM"/>
        <s v="ATM WITHDRAWAL                       006668  04/215950 GLAD"/>
        <s v="Transfer from CHK XXXXX3721"/>
        <s v="ATM CHECK DEPOSIT 04/21 5950 GLADES RD BOCA RATON FL"/>
      </sharedItems>
    </cacheField>
    <cacheField name="Amount" numFmtId="43">
      <sharedItems containsString="0" containsBlank="1" containsNumber="1" minValue="-4500" maxValue="1700"/>
    </cacheField>
    <cacheField name="Type" numFmtId="0">
      <sharedItems containsBlank="1"/>
    </cacheField>
    <cacheField name="Balance" numFmtId="43">
      <sharedItems containsSemiMixedTypes="0" containsString="0" containsNumber="1" minValue="1350" maxValue="16100.930000000002"/>
    </cacheField>
    <cacheField name="Check or Slip #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umgarten, Allen" refreshedDate="43642.383064467591" createdVersion="6" refreshedVersion="6" minRefreshableVersion="3" recordCount="808" xr:uid="{5339C258-2234-42B3-A426-6F1EB86A511D}">
  <cacheSource type="worksheet">
    <worksheetSource ref="B4:F1056" sheet="data_2019"/>
  </cacheSource>
  <cacheFields count="5">
    <cacheField name="Month" numFmtId="0">
      <sharedItems count="6">
        <s v="Jun"/>
        <s v="May"/>
        <s v="Apr"/>
        <s v="Mar"/>
        <s v="Feb"/>
        <s v="Jan"/>
      </sharedItems>
    </cacheField>
    <cacheField name="Posting Date" numFmtId="164">
      <sharedItems containsNonDate="0" containsDate="1" containsString="0" containsBlank="1" minDate="2019-01-01T00:00:00" maxDate="2019-06-27T00:00:00"/>
    </cacheField>
    <cacheField name="Description" numFmtId="0">
      <sharedItems containsBlank="1" count="606" longText="1">
        <s v="Forecasted"/>
        <m/>
        <s v="POS DEBIT                CRAZY UNCLE MIKE         BOCA RATON    FL"/>
        <s v="POS DEBIT                AVIS RENT A CAR TOLLS    800-4820159   NY"/>
        <s v="PUBLIX SUPER MAR 21230 BOCA RATON FL 904789  06/25"/>
        <s v="BOCAS PREMIER DRY YAMAT BOCA RATON FL        06/24"/>
        <s v="APL*ITUNES.COM/BILL 866-712-7753 CA          06/23"/>
        <s v="PUBLIX SUPER MAR 21230 BOCA RATON FL 954676  06/24"/>
        <s v="SHELL SERVICE STATION BOCA RATON FL  062400  06/24"/>
        <s v="WM SUPERC Wal-Mart Sup BOCA RATON FL         06/23"/>
        <s v="BARNESNOBLE 1400 Glade BOCA RATON FL 805092  06/23"/>
        <s v="WHOLEFDS BCA 101 1400B BOCA RATON FL 650786  06/23"/>
        <s v="WALGREENS STORE 3900 N BOCA RATON FL 654102  06/22"/>
        <s v="BIERGARTEN BOCA RATON FL                     06/23"/>
        <s v="BARNESNOBLE 1400 Glade BOCA RATON FL 339251  06/22"/>
        <s v="PUBLIX SUPER MAR 21230 BOCA RATON FL 629902  06/22"/>
        <s v="WHOLEFDS BCA 101 1400B BOCA RATON FL 502905  06/22"/>
        <s v="BARNESNOBLE 1400 Glade BOCA RATON FL 856935  06/22"/>
        <s v="APL* ITUNES.COM/BILL 866-712-7753 CA         06/22"/>
        <s v="APL*ITUNES.COM/BILL 866-712-7753 CA          06/22"/>
        <s v="BIERGARTEN BOCA RATON FL                     06/22"/>
        <s v="APL* ITUNES.COM/BILL 866-712-7753 CA         06/21"/>
        <s v="APL*ITUNES.COM/BILL 866-712-7753 CA          06/21"/>
        <s v="CRAZY UNCLE MIKES BOCA RATON FL              06/20"/>
        <s v="AUDIO MAGNETIC PROFESS WELLINGTON FL 071720  06/21"/>
        <s v="BARNESNOBLE 1400 Glade BOCA RATON FL 848893  06/20"/>
        <s v="BARNESNOBLE 1400 Glade BOCA RATON FL 023660  06/20"/>
        <s v="PUBLIX SUPER MAR 4141 BOCA RATON FL  513316  06/20"/>
        <s v="CRAZY UNCLE MIKES BOCA RATON FL              06/18"/>
        <s v="POS DEBIT                PUBLIX SUPER MAR 5050 C   BOCA RATON   FL"/>
        <s v="POS DEBIT                BIERGARTEN               BOCA RATON    FL"/>
        <s v="POS DEBIT                RAW JUCE                 BOCA RATON    FL"/>
        <s v="SHELL SERVICE STATION BOCA RATON FL  098587  06/18"/>
        <s v="CVS/PHARMACY #03 03818 BOCA RATON FL 704889  06/18"/>
        <s v="AVIS RENT-A-CAR 1 BOCA RATON FL              06/17"/>
        <s v="HUBBARDS MARINA STRIPE.COM FL                06/15"/>
        <s v="PUBLIX SUPER MAR 4141 BOCA RATON FL  940026  06/17"/>
        <s v="WHOLEFDS BCA 101 1400B BOCA RATON FL 941010  06/16"/>
        <s v="BARNESNOBLE 1400 Glade BOCA RATON FL 115103  06/16"/>
        <s v="YAMATO U GAS BOCA RATON FL                   06/16"/>
        <s v="RACETRAC  2301 FT MYERS FL           060479  06/16"/>
        <s v="RACETRAC  2301 FT MYERS FL           859341  06/16"/>
        <s v="HILTON HOTELS ST PET SAINT PETERSB FL        06/16"/>
        <s v="OAK AND STONE OF ST ST PETERSBURG FL         06/15"/>
        <s v="SQ *CRAFT KAFE METRO St Petersburg FL        06/15"/>
        <s v="THE DALI MUSEUM 1 DA ST. PETERSBUR FL        06/15"/>
        <s v="FRIENDLY FISHERMAN, MADEIRA BEACH FL         06/15"/>
        <s v="SHELL SERVICE STATIO TREASURE ISLA FL391973  06/15"/>
        <s v="MCDONALD'S F7161 TREASURE ISLA FL            06/15"/>
        <s v="DUFFY'S OF BOCA BOCA RATON FL                06/14"/>
        <s v="MASSAGE ENVY 0180 BOCA RATON FL              06/14"/>
        <s v="GUITAR CENTER #791 DELRAY BEACH FL           06/14"/>
        <s v="CRAZY UNCLE MIKES BOCA RATON FL              06/13"/>
        <s v="RACETRAC111 PRT CHARLOTE FL          053459  06/14"/>
        <s v="RACETRAC111 PRT CHARLOTE FL          052754  06/14"/>
        <s v="CVS/PHARMACY #03 03818 BOCA RATON FL 917500  06/14"/>
        <s v="BIERGARTEN BOCA RATON FL                     06/13"/>
        <s v="HAIR CUTTERY #3983 BOCA RATON FL             06/13"/>
        <s v="POLLO TROPICAL 10247 BOCA RATON FL           06/12"/>
        <s v="CRAZY UNCLE MIKES BOCA RATON FL              06/11"/>
        <s v="7339 YOUFIT BOCA RATON BOCA RATON FL         06/11"/>
        <s v="YAMATO U GAS BOCA RATON FL                   06/12"/>
        <s v="STARBUCKS STORE 08262 BOCA RATON FL          06/11"/>
        <s v="APL* ITUNES.COM/BILL 866-712-7753 CA         06/11"/>
        <s v="AVIS RENT A CAR TOLLS 866-6422000 NY         06/11"/>
        <s v="BIERGARTEN BOCA RATON FL                     06/11"/>
        <s v="CRAZY UNCLE MIKES BOCA RATON FL              06/09"/>
        <s v="COMCAST/XFINITY 800-266-2278 FL              06/10"/>
        <s v="BARNESNOBLE 1400 Glade BOCA RATON FL 664835  06/09"/>
        <s v="PUBLIX SUPER MAR 4141 BOCA RATON FL  703472  06/09"/>
        <s v="WHOLEFDS BCA 101 1400B BOCA RATON FL 221439  06/08"/>
        <s v="GUITAR CENTER #791 DELRAY BEACH FL           06/08"/>
        <s v="SAMASH.COM 800-472-6274 FL                   06/09"/>
        <s v="AMZN Mktp US*M608N7X Amzn.com/bill WA        06/10"/>
        <s v="APL* ITUNES.COM/BILL 866-712-7753 CA         06/07"/>
        <s v="BIERGARTEN BOCA RATON FL                     06/07"/>
        <s v="WHOLEFDS BCA 101 1400B BOCA RATON FL 263513  06/07"/>
        <s v="FLORIDA AQUARIUM WWW.FLAQUARIU FL            06/06"/>
        <s v="HUBBARDS MARINA STRIPE.COM FL                06/06"/>
        <s v="BARNESNOBLE 1400 Glade BOCA RATON FL 832010  06/06"/>
        <s v="THE GARDENS NORT LOCKBOX                    PPD ID: 1592314821"/>
        <s v="BARNESNOBLE 1400 Glade BOCA RATON FL 706346  06/05"/>
        <s v="WHOLEFDS BCA 101 1400B BOCA RATON FL 858886  06/05"/>
        <s v="SHELL SERVICE STATIO POMPANO BEACH FL048842  06/05"/>
        <s v="ORIG CO NAME:THE GARDENS NORT CO ENTRY DESCR:LOCKBOX    SEC:PPD                        ORIG ID:1592314821"/>
        <s v="FPL DIRECT DEBIT ELEC PYMT                  PPD ID: 3590247775"/>
        <s v="WF HOME MTG      AUTO PAY                   PPD ID: W952318940"/>
        <s v="WHOLEFDS BCA 101 1400B BOCA RATON FL 429956  06/04"/>
        <s v="PUBLIX SUPER MAR 5050 BOCA RATON FL  626093  06/04"/>
        <s v="WALGREENS #5433 BOCA RATON FL                06/03"/>
        <s v="RENAISSANCE HOTELS SEA ORLANDO FL            06/03"/>
        <s v="SPICE ROAD TABLE LAKE BUENA VI FL            06/01"/>
        <s v="AVIS RENT-A-CAR 1 BOCA RATON FL              06/03"/>
        <s v="ATM CASH DEPOSIT 06/04 3901 N FEDERAL HWY BOCA RATON FL"/>
        <s v="PUBLIC STORAGE 26829 BOCA RATON FL           06/03"/>
        <s v="WALGREENS STORE 3900 N BOCA RATON FL 826187  06/03"/>
        <s v="PUBLIX SUPER MAR 4141 BOCA RATON FL  904735  06/03"/>
        <s v="MARATHON PETRO14 BOCA RATON FL       725259  06/03"/>
        <s v="MARATHON PETRO14 BOCA RATON FL       747338  06/02"/>
        <s v="PUBLIX SUPER MAR 4141 BOCA RATON FL  946853  06/02"/>
        <s v="HAMMOCK LANDING WEST MELBOURN FL             06/02"/>
        <s v="APL* ITUNES.COM/BILL 866-712-7753 CA         06/02"/>
        <s v="Netflix.com netflix.com CA                   06/02"/>
        <s v="JOFFREY'S COFFEE #30 LAKE BUENA VI FL        06/02"/>
        <s v="FISH &amp; CHIPS KIOSK LAKE BUENA VI FL          06/01"/>
        <s v="TEST TRACK SIMPORIU LAKE BUENA VI FL         06/01"/>
        <s v="GERMANY PRETZEL WAG LAKE BUENA VI FL         06/01"/>
        <s v="DISNEY TICKETS EPCO LAKE BUENA VI FL         06/01"/>
        <s v="DISNEY EC PARKING LAKE BUENA VI FL           06/01"/>
        <s v="SQ *GO BISTRO Hollywood FL                   05/31"/>
        <s v="HOLLYWD TOWN PKG ON STR HOLLYWOOD FL         05/31"/>
        <s v="RAW JUCE BOCA RATON FL                       05/31"/>
        <s v="BIERGARTEN BOCA RATON FL                     05/31"/>
        <s v="BARNESNOBLE 1400 Glade BOCA RATON FL 014102  05/31"/>
        <s v="PUBLIX SUPER MAR 4141 BOCA RATON FL  512606  05/31"/>
        <s v="CVS/PHARMACY #00 00426 Boca Raton FL 656288  05/31"/>
        <s v="ATM WITHDRAWAL                       005157  05/31853 S FED"/>
        <s v="WALGREENS STORE 3900 N BOCA RATON FL 828288  05/31"/>
        <s v="CVS/PHARMACY #00 00770 BOCA RATON FL 460198  05/30"/>
        <s v="BARNESNOBLE 1400 Glade BOCA RATON FL 910124  05/30"/>
        <s v="PUBLIX SUPER MAR 4141 BOCA RATON FL  934727  05/30"/>
        <s v="POLLO TROPICAL 10247 BOCA RATON FL           05/29"/>
        <s v="AUSTIN PEAY STATE UNIV CLARKSVILLE TN        05/29"/>
        <s v="Transferred money into 3721 account to cover 58% of auto insurance"/>
        <s v="POS DEBIT                PUBLIX SUPER MAR 4141 N   BOCA RATON   FL"/>
        <s v="POS DEBIT                APL* ITUNES.COM/BILL      866-712-7753 CA"/>
        <s v="ORIG CO NAME:KMF              CO ENTRY DESCR:KMFUSA.com SEC:PPD                        ORIG ID:9200704262"/>
        <s v="WHOLEFDS BCA 101 1400B BOCA RATON FL 906474  05/27"/>
        <s v="WM SUPERC Wal-Mart Sup BOCA RATON FL         05/27"/>
        <s v="BARNESNOBLE 1400 Glade BOCA RATON FL 148049  05/27"/>
        <s v="CRAZY UNCLE MIKES BOCA RATON FL              05/26"/>
        <s v="BARNESNOBLE 1400 Glade BOCA RATON FL 725704  05/26"/>
        <s v="APL* ITUNES.COM/BILL 866-712-7753 CA         05/26"/>
        <s v="PUBLIX SUPER MAR 5050 BOCA RATON FL  963883  05/26"/>
        <s v="SHELL SERVICE STATION BOCA RATON FL  000676  05/26"/>
        <s v="TOTAL WINE AND MORE 90 BOCA RATON FL         05/26"/>
        <s v="CVS/PHARMACY #00 00770 BOCA RATON FL 725823  05/25"/>
        <s v="WHOLEFDS BCA 101 1400B BOCA RATON FL 905508  05/25"/>
        <s v="NORDSTROM RACK # 1400 BOCA RATON FL  938290  05/25"/>
        <s v="HAIR CUTTERY #3983 BOCA RATON FL             05/25"/>
        <s v="CRAZY UNCLE MIKES BOCA RATON FL              05/23"/>
        <s v="APL*ITUNES.COM/BILL 866-712-7753 CA          05/23"/>
        <s v="PUBLIX SUPER MAR 4141 BOCA RATON FL  602753  05/24"/>
        <s v="WHOLEFDS BCA 101 1400B BOCA RATON FL 955584  05/24"/>
        <s v="WHOLEFDS BCA 101 1400B BOCA RATON FL 665086  05/24"/>
        <s v="CVS/PHARM 03818--21140 BOCA RATON FL         05/23"/>
        <s v="POLLO TROPICAL 10247 BOCA RATON FL           05/22"/>
        <s v="TOBU #91 BOCA RATON FL                       05/22"/>
        <s v="CRAZY UNCLE MIKES BOCA RATON FL              05/21"/>
        <s v="TOTAL WINE AND MORE 90 BOCA RATON FL         05/22"/>
        <s v="PUBLIX SUPER MAR 4141 BOCA RATON FL  813320  05/22"/>
        <s v="FAST FIX JEWELRY&amp;WATCH BOCA RATON FL 191654  05/22"/>
        <s v="BIERGARTEN BOCA RATON FL                     05/21"/>
        <s v="PUBLIX SUPER MAR 5050 BOCA RATON FL  719299  05/21"/>
        <s v="PUBLIX SUPER MAR 4141 BOCA RATON FL  964496  05/20"/>
        <s v="CINEMARK MOVIE BISTRO BOCA RATON FL          05/19"/>
        <s v="WHOLEFDS BCA 101 1400B BOCA RATON FL 302323  05/19"/>
        <s v="CNK*CINEMARK.COM 1048 800-246-3627 FL        05/20"/>
        <s v="7-ELEVEN FORT LAUDERDA FL                    05/19"/>
        <s v="BARNESNOBLE 1400 Glade BOCA RATON FL 837984  05/19"/>
        <s v="CRAZY UNCLE MIKES BOCA RATON FL              05/18"/>
        <s v="ROBOT BREWING COMPANY BOCA RATON FL          05/18"/>
        <s v="CHIPOTLE 1689 BOCA RATON FL                  05/18"/>
        <s v="SUSHI YAMA- BOCA BOCA RATON FL               05/18"/>
        <s v="ATM WITHDRAWAL                       005434  05/185950 GLAD"/>
        <s v="BARNESNOBLE 1400 Glade BOCA RATON FL 555791  05/18"/>
        <s v="SAM ASH MUSIC #32 MARGATE FL                 05/18"/>
        <s v="ATM WITHDRAWAL                       004172  05/183901 N FE"/>
        <s v="BIERGARTEN BOCA RATON FL                     05/18"/>
        <s v="APL* ITUNES.COM/BILL 866-712-7753 CA         05/18"/>
        <s v="Synchrony Bank   CC PYMT    602052281390228 TEL ID: 9856794001"/>
        <s v="WHOLEFDS BCA 101 1400B BOCA RATON FL 948190  05/17"/>
        <s v="POLLO TROPICAL 10247 BOCA RATON FL           05/15"/>
        <s v="CRAZY UNCLE MIKES BOCA RATON FL              05/14"/>
        <s v="KALPESH M. PATE BOCA RATON FL                05/15"/>
        <s v="PUBLIX SUPER MAR 4141 BOCA RATON FL  759651  05/15"/>
        <s v="STARBUCKS STORE 08588 BOCA RATON FL          05/14"/>
        <s v="M&amp;M THAI CAFE BOCA RATON FL                  05/13"/>
        <s v="STARBUCKS STORE 08262 BOCA RATON FL          05/10"/>
        <s v="APL* ITUNES.COM/BILL 866-712-7753 CA         05/14"/>
        <s v="STARBUCKS STORE 08588 BOCA RATON FL          05/13"/>
        <s v="Tipsy Boar Hollywood FL                      05/12"/>
        <s v="WALGREENS STORE 3900 N BOCA RATON FL 600182  05/12"/>
        <s v="BARNESNOBLE 1400 Glade BOCA RATON FL 603765  05/12"/>
        <s v="REGAL CINEMSA CYPRES FT LAUDERDALE FL        05/12"/>
        <s v="HOOTERS OF FT. LAUDE FORT LAUDERDA FL        05/12"/>
        <s v="BARNESNOBLE 1400 Glade BOCA RATON FL 905218  05/12"/>
        <s v="BARNESNOBLE 1400 Glade BOCA RATON FL 727046  05/11"/>
        <s v="PUBLIX SUPER MAR 114 POMPANO BEACH FL542073  05/11"/>
        <s v="KALPESH M. PATE BOCA RATON FL                05/11"/>
        <s v="BARNESNOBLE 1400 Glade BOCA RATON FL 936800  05/11"/>
        <s v="BARNESNOBLE 1400 Glade BOCA RATON FL 918479  05/11"/>
        <s v="MENCHIES B586 GARDEN SH BOCA RATON FL        05/10"/>
        <s v="BIERGARTEN BOCA RATON FL                     05/11"/>
        <s v="WAL-MART #1589 DELRAY BEACH FL               05/10"/>
        <s v="POLLO TROPICAL 10247 BOCA RATON FL           05/08"/>
        <s v="Wal-Mart Super Center DELRAY BEACH FL        05/08"/>
        <s v="SHELL SERVICE STATION DELRAY BEACH FL065476  05/08"/>
        <s v="BOCAS PREMIER DRY YAMAT BOCA RATON FL        05/07"/>
        <s v="BIERGARTEN BOCA RATON FL                     05/07"/>
        <s v="WHOLEFDS BCA 101 1400B BOCA RATON FL 609099  05/07"/>
        <s v="BARNESNOBLE 1400 Glade BOCA RATON FL 534708  05/07"/>
        <s v="PUBLIX SUPER MAR 21230 BOCA RATON FL 850217  05/07"/>
        <s v="PUBLIX SUPER MAR 4141 BOCA RATON FL  826614  05/07"/>
        <s v="PUBLIC STORAGE 25801 BOCA RATON FL           05/06"/>
        <s v="SAM ASH MUSIC #32 MARGATE FL                 05/05"/>
        <s v="Netflix.com netflix.com CA                   05/03"/>
        <s v="POS DEBIT                DNH*GODADDY.COM           480-5058855  AZ"/>
        <s v="WITHDRAWAL"/>
        <s v="POS DEBIT                BARNESNOBLE 1400 GLADES   BOCA RATON   FL"/>
        <s v="POS DEBIT                CVS/PHARMACY #03 03818-   BOCA RATON   FL"/>
        <s v="POS DEBIT                SUSHI YAMA- BOCA          BOCA RATON   FL"/>
        <s v="POS DEBIT                PUBLIX SUPER MAR 21230    BOCA RATON   FL"/>
        <s v="POS DEBIT                SAM ASH MUSIC #32         MARGATE      FL"/>
        <s v="POS DEBIT                WM SUPERC WAL-MART SUP    BOCA RATON   FL"/>
        <s v="POS DEBIT                WHOLEFDS BCA 101 1400B    BOCA RATON   FL"/>
        <s v="POS DEBIT                SQ *GO BISTRO             HOLLYWOOD    FL"/>
        <s v="POS DEBIT                HOLLYWD TOWN PKG ON ST    HOLLYWOOD    FL"/>
        <s v="POS DEBIT                CHEVRON/BOCA RATON CHEV   BOCA RATON   FL"/>
        <s v="POS DEBIT                HAIR CUTTERY #3983        BOCA RATON   FL"/>
        <s v="ATM DEBIT 5950 GLADES RD           BOCA RATON   FL"/>
        <s v="POS DEBIT                NETFLIX.COM               NETFLIX.COM  CA"/>
        <s v="POLLO TROPICAL 10247 BOCA RATON FL           05/01"/>
        <s v="PETSMART # 2113 DELRAY BEACH FL      180673  05/01"/>
        <s v="INTEREST PAYMENT"/>
        <s v="PUBLIX SUPER MAR 4141 BOCA RATON FL  713197  04/30"/>
        <s v="WHOLEFDS BCA 101 1400B BOCA RATON FL 762700  04/30"/>
        <s v="WHOLEFDS BCA 101 1400B BOCA RATON FL 031791  04/30"/>
        <s v="Tipsy Boar Hollywood FL                      04/28"/>
        <s v="WITHDRAWAL 04/29"/>
        <s v="POS CREDIT CMM MEMO - CREDIT APPLIED - V73093"/>
        <s v="POS DEBIT                ECHST.NET                 866-452-5108 WA"/>
        <s v="POS DEBIT                MARATHON PETRO219626      FORT LAUDERD FL"/>
        <s v="POS DEBIT                TOTAL WINE AND MORE 905   BOCA RATON   FL"/>
        <s v="POS DEBIT                WAL-MART #3858            BOCA RATON   FL"/>
        <s v="POS DEBIT                POLLO TROPICAL 10247      BOCA RATON   FL"/>
        <s v="POS DEBIT                GUITARCENTER.COM CALL     DRAPER       UT"/>
        <s v="POS DEBIT                AMZN MKTP US              AMZN.COM/BIL WA"/>
        <s v="POS DEBIT                ABC*YOUFIT HEALTH CLUB    561-3672326  FL"/>
        <s v="POS DEBIT                TIPSY BOAR                HOLLYWOOD    FL"/>
        <s v="LatinAmericanCupid.Com Southport             04/25"/>
        <s v="GUITAR CENTER #791 DELRAY BEACH FL           04/28"/>
        <s v="POS DEBIT                GUITAR CENTER #770        HALLANDALE   FL"/>
        <s v="POS DEBIT                SHELL SERVICE STATION     DELRAY BEACH FL"/>
        <s v="ATM DEBIT 3901 N FEDERAL HWY       BOCA RATON   FL"/>
        <s v="BEDBATH&amp;BEYOND# 1400C BOCA RATON FL  524000  04/26"/>
        <s v="WHOLEFDS BCA 101 1400B BOCA RATON FL 142908  04/26"/>
        <s v="COMCAST/XFINITY 800-266-2278 FL              04/25"/>
        <s v="GUITAR CENTER #791 DELRAY BEACH FL           04/24"/>
        <s v="POLLO TROPICAL 10247 BOCA RATON FL           04/24"/>
        <s v="APL*ITUNES.COM/BILL 866-712-7753 CA          04/23"/>
        <s v="BARNESNOBLE 1400 Glade BOCA RATON FL 603037  04/24"/>
        <s v="WHOLEFDS BCA 101 1400B BOCA RATON FL 517531  04/24"/>
        <s v="Amazon.com*MZ7CX0QD1 Amzn.com/bill WA        04/24"/>
        <s v="BIERGARTEN BOCA RATON FL                     04/23"/>
        <s v="WHOLEFDS BCA 101 1400B BOCA RATON FL 661253  04/23"/>
        <s v="PUBLIX SUPER MAR 4141 BOCA RATON FL  945557  04/23"/>
        <s v="WHOLEFDS BCA 101 1400B BOCA RATON FL 428878  04/22"/>
        <s v="SHELL Service Station BOCA RATON FL  049066  04/21"/>
        <s v="CVS/PHARMACY #03 03818 BOCA RATON FL 800996  04/21"/>
        <s v="BARNESNOBLE 1400 Glade BOCA RATON FL 513354  04/21"/>
        <s v="WHOLEFDS BCA 101 1400B BOCA RATON FL         04/21 Purchase $9.08 Cash Back $20.00"/>
        <s v="BARNESNOBLE 1400 Glade BOCA RATON FL 262520  04/21"/>
        <s v="SQ *GO BISTRO Hollywood FL                   04/20"/>
        <s v="GUITAR CENTER #791 DELRAY BEACH FL           04/20"/>
        <s v="BARNESNOBLE 1400 Glade BOCA RATON FL 232481  04/20"/>
        <s v="DEERFIELD BEACH CAFE DEERFIELD BEA FL        04/20"/>
        <s v="NORTH PAVILION PARKI DEERFIELD BEA FL        04/20"/>
        <s v="STARBUCKS STORE 08262 BOCA RATON FL          04/19"/>
        <s v="BARNESNOBLE 1400 Glade BOCA RATON FL 922290  04/19"/>
        <s v="BARNESNOBLE 1400 Glade BOCA RATON FL 615627  04/19"/>
        <s v="WHOLEFDS BCA 101 1400B BOCA RATON FL 321133  04/19"/>
        <s v="KALPESH M. PATE BOCA RATON FL                04/19"/>
        <s v="HAIR CUTTERY #3983 BOCA RATON FL             04/19"/>
        <s v="PUBLIX SUPER MAR 4141 BOCA RATON FL  265116  04/17"/>
        <s v="APL* ITUNES.COM/BILL 866-712-7753 CA         04/17"/>
        <s v="BIERGARTEN BOCA RATON FL                     04/16"/>
        <s v="EHARMONY 424-258-1199 CA                     04/16"/>
        <s v="WHOLEFDS BCA 101 1400B BOCA RATON FL 312574  04/16"/>
        <s v="WHOLEFDS BCA 101 1400B BOCA RATON FL 131493  04/16"/>
        <s v="STARBUCKS STORE 08257 BOCA RATON FL          04/15"/>
        <s v="ANTHONYS COAL FIRED PIZ BOCA RATON FL        04/14"/>
        <s v="PUBLIX SUPER MAR 4141 BOCA RATON FL  944318  04/14"/>
        <s v="QUEEN NAILS BOCA RATON FL                    04/14"/>
        <s v="WHOLEFDS BCA 101 1400B BOCA RATON FL 654199  04/14"/>
        <s v="NORDSTROM RACK # 1400 BOCA RATON FL  937184  04/14"/>
        <s v="BARNESNOBLE 1400 Glade BOCA RATON FL 060924  04/14"/>
        <s v="CRAZY UNCLE MIKES BOCA RATON FL              04/13"/>
        <s v="WHOLEFDS BCA 101 1400B BOCA RATON FL 537296  04/13"/>
        <s v="SAM ASH MUSIC #32 MARGATE FL                 04/13"/>
        <s v="SHELL Service Statio COCONUT CREEK FL006396  04/13"/>
        <s v="BARNESNOBLE 1400 Glade BOCA RATON FL 907524  04/13"/>
        <s v="DUFFY'S OF BOCA BOCA RATON FL                04/12"/>
        <s v="STARBUCKS STORE 08588 BOCA RATON FL          04/12"/>
        <s v="GUITAR INSTRUCTOR GUITARINSTRUC MN           04/12"/>
        <s v="WHOLEFDS BCA 101 1400B BOCA RATON FL 204907  04/12"/>
        <s v="STARBUCKS STORE 08588 BOCA RATON FL          04/11"/>
        <s v="APL* ITUNES.COM/BILL 866-712-7753 CA         04/11"/>
        <s v="PUBLIX SUPER MAR 4141 BOCA RATON FL  964923  04/11"/>
        <s v="POS DEBIT                POLLO TROPICAL 10247     BOCA RATON    FL"/>
        <s v="POS DEBIT                GUITAR INSTRUCTOR        WINONA        MN"/>
        <s v="WHOLEFDS BCA 101 1400B BOCA RATON FL 737298  04/10"/>
        <s v="WHOLEFDS BCA 101 1400B BOCA RATON FL 658771  04/10"/>
        <s v="STARBUCKS STORE 08588 BOCA RATON FL          04/09"/>
        <s v="FLORIDA ATLANTIC STDNT DISB                 PPD ID: 3650385507"/>
        <s v="BARNESNOBLE 1400 Glade BOCA RATON FL 207988  04/09"/>
        <s v="STARBUCKS STORE 08588 BOCA RATON FL          04/08"/>
        <s v="WHOLEFDS BCA 101 1400B BOCA RATON FL 629519  04/08"/>
        <s v="BARNESNOBLE 1400 Glade BOCA RATON FL 902197  04/08"/>
        <s v="POS DEBIT                CRAZY UNCLE MIKE          BOCA RATON   FL"/>
        <s v="POS DEBIT                WALGREENS STORE 3900 N    BOCA RATON   FL"/>
        <s v="POS DEBIT                MENCHIES B586 GARDEN SH   BOCA RATON   FL"/>
        <s v="POS DEBIT                SHELL SERVICE STATION     POMPANO BEAC FL"/>
        <s v="POS DEBIT                QUEEN NAILS               BOCA RATON   FL"/>
        <s v="POS DEBIT                CARRABBAS  #6017         DELRAY BEACH  FL"/>
        <s v="WHOLEFDS BCA 101 1400B BOCA RATON FL 531802  04/05"/>
        <s v="BARNESNOBLE 1400 Glade BOCA RATON FL 847712  04/05"/>
        <s v="MARATHON PETRO14 BOCA RATON FL       791730  04/05"/>
        <s v="POS DEBIT                STARBUCKS STORE 08588    BOCA RATON    FL"/>
        <s v="STARBUCKS STORE 08257 BOCA RATON FL          04/03"/>
        <s v="APL* ITUNES.COM/BILL 866-712-7753 CA         04/03"/>
        <s v="CRAZY UNCLE MIKES BOCA RATON FL              04/02"/>
        <s v="Netflix.com netflix.com CA                   04/02"/>
        <s v="MASSAGE ENVY 0180 561-368-2111 FL            04/02"/>
        <s v="PUBLIC STORAGE 26829 800-567-0759 FL         04/02"/>
        <s v="STARBUCKS STORE 08588 BOCA RATON FL          04/02"/>
        <s v="BIERGARTEN BOCA RATON FL                     04/02"/>
        <s v="BARNESNOBLE 1400 Glade BOCA RATON FL 516118  04/02"/>
        <s v="WHOLEFDS BCA 101 1400B BOCA RATON FL 456093  04/02"/>
        <s v="WHOLEFDS BCA 101 1400B BOCA RATON FL 735656  04/02"/>
        <s v="CRAZY UNCLE MIKES BOCA RATON FL              03/31"/>
        <s v="ECHST.NET 866-452-5108 WA                    03/29"/>
        <s v="PUBLIX SUPER MAR 21230 BOCA RATON FL 720008  04/01"/>
        <s v="PRIP MART 199 BOCA RATON FL          040206  04/01"/>
        <s v="CVS/PHARM 03818--21140 BOCA RATON FL         03/31"/>
        <s v="SUSHI YAMA- BOCA BOCA RATON FL               03/31"/>
        <s v="BARNESNOBLE 1400 Glade BOCA RATON FL 359643  03/31"/>
        <s v="BARNESNOBLE 1400 Glade BOCA RATON FL 555575  03/31"/>
        <s v="PET SUPERMARKET #126 BOCA RATON FL           03/31"/>
        <s v="BARNESNOBLE 1400 Glade BOCA RATON FL 653122  03/31"/>
        <s v="WHOLEFDS BCA 101 1400B BOCA RATON FL 822094  03/30"/>
        <s v="BARNESNOBLE 1400 Glade BOCA RATON FL 842102  03/30"/>
        <s v="BARNESNOBLE 1400 Glade BOCA RATON FL 761113  03/30"/>
        <s v="BARNESNOBLE 1400 Glade BOCA RATON FL 946418  03/30"/>
        <s v="CRAZY UNCLE MIKES BOCA RATON FL              03/29"/>
        <s v="KMF              KMFUSA.com                 PPD ID: 9200704262"/>
        <s v="PUBLIX SUPER MAR 21230 BOCA RATON FL 662272  03/29"/>
        <s v="BARNESNOBLE 1400 Glade BOCA RATON FL 661076  03/29"/>
        <s v="WHOLEFDS BCA 101 1400B BOCA RATON FL 646022  03/29"/>
        <s v="POLLO TROPICAL 10247 BOCA RATON FL           03/28"/>
        <s v="STARBUCKS STORE 08588 BOCA RATON FL          03/28"/>
        <s v="MARATHON PETRO14 BOCA RATON FL       755383  03/28"/>
        <s v="PUBLIX SUPER MAR 4141 BOCA RATON FL  106925  03/28"/>
        <s v="POS DEBIT                BOCAS PREMIER DRY YAMA    BOCA RATON   FL"/>
        <s v="POS DEBIT                DUFFY'S OF BOCA          BOCA RATON    FL"/>
        <s v="BOCA MART, INC. BOCA RATON FL                03/27"/>
        <s v="CRAZY UNCLE MIKES BOCA RATON FL              03/25"/>
        <s v="BARNESNOBLE 1400 Glade BOCA RATON FL 660830  03/26"/>
        <s v="BARNESNOBLE 1400 Glade BOCA RATON FL 657522  03/26"/>
        <s v="WHOLEFDS BCA 101 1400B BOCA RATON FL 835337  03/26"/>
        <s v="CRAZY UNCLE MIKES BOCA RATON FL              03/24"/>
        <s v="APL*ITUNES.COM/BILL 866-712-7753 CA          03/23"/>
        <s v="COMCAST/XFINITY 800-266-2278 FL              03/25"/>
        <s v="PUBLIX SUPER MAR 1740 HOLLYWOOD FL   807339  03/24"/>
        <s v="MARATHON PETRO14 BOCA RATON FL       825058  03/24"/>
        <s v="BARNESNOBLE 1400 Glade BOCA RATON FL 800032  03/24"/>
        <s v="CVS/PHARMACY #03 03818 BOCA RATON FL 113316  03/24"/>
        <s v="POLLO TROPICAL 10247 BOCA RATON FL           03/24"/>
        <s v="SQ *NATURE'S NEST AROMA Hollywood FL         03/24"/>
        <s v="NON-CHASE ATM WITHDRAW               440095  03/241940 N 30"/>
        <s v="SQ *K&amp;K BOHEMIAN SOU Sunny Isles B FL        03/24"/>
        <s v="WHOLEFDS BCA 101 1400B BOCA RATON FL 161121  03/23"/>
        <s v="WHOLEFDS BCA 101 1400B BOCA RATON FL 862666  03/23"/>
        <s v="BARNESNOBLE 1400 Glade BOCA RATON FL 544965  03/23"/>
        <s v="YELLOW GREEN FARMERS M HOLLYWOOD FL          03/23"/>
        <s v="WINN-DIXIE   #03 604 KEY BISCAYNE FL         03/23 Purchase $3.59 Cash Back $20.00"/>
        <s v="MARATHON PETRO14 BOCA RATON FL       720667  03/23"/>
        <s v="CRAZY UNCLE MIKES BOCA RATON FL              03/22"/>
        <s v="1940 N 30TH RD HOLLYWOOD FL          440095  03/24"/>
        <s v="WHOLEFDS BCA 101 1400B BOCA RATON FL 526425  03/22"/>
        <s v="PUBLIX SUPER MAR 4141 BOCA RATON FL  508212  03/22"/>
        <s v="HAIR CUTTERY #3983 BOCA RATON FL             03/22"/>
        <s v="PUBLIX SUPER MAR 5050 BOCA RATON FL  963607  03/22"/>
        <s v="POS DEBIT                APL*ITUNES.COM/BILL       866-712-7753 CA"/>
        <s v="POS DEBIT                STARBUCKS STORE 08262    BOCA RATON    FL"/>
        <s v="SQ *GO BISTRO Hollywood FL                   03/20"/>
        <s v="HOLLYWD TOWN PKG ON STR HOLLYWOOD FL         03/20"/>
        <s v="STARBUCKS STORE 21822 DELRAY BEACH FL        03/20"/>
        <s v="SUNPASS*ACC588612 888-865-5352 FL            03/19"/>
        <s v="BARNESNOBLE 1400 Glade BOCA RATON FL 829315  03/19"/>
        <s v="WHOLEFDS BCA 101 1400B BOCA RATON FL 806547  03/19"/>
        <s v="MARATHON PETRO14 BOCA RATON FL       801147  03/19"/>
        <s v="PUBLIX SUPER MAR 4141 BOCA RATON FL  750234  03/19"/>
        <s v="POS DEBIT                RAW JUCE                  BOCA RATON   FL"/>
        <s v="POS DEBIT LEONA`S PALACE HOLLYWOOD FL"/>
        <s v="PUBLIX SUPER MAR 21230 BOCA RATON FL 717974 03/18"/>
        <s v="WHOLEFDS BCA 101 1400B BOCA RATON FL 104278  03/18"/>
        <s v="POS DEBIT                WHISKEY TANGO ALL AMERI   HOLLYWOOD    FL"/>
        <s v="POS DEBIT                CVS/PHARM 03275--686 G    BOCA RATON   FL"/>
        <s v="POS DEBIT                TWO GEORGES AT THE COVE   DEERFIELD BE FL"/>
        <s v="POS DEBIT                GUITAR CENTER #791        DELRAY BEACH FL"/>
        <s v="POS DEBIT                MARATHON PETRO149062      BOCA RATON   FL"/>
        <s v="WHOLEFDS BCA 101 1400B BOCA RATON FL 104278  03/15"/>
        <s v="PUBLIX SUPER MAR 4141 BOCA RATON FL  227884  03/15"/>
        <s v="POS DEBIT                MENCHIES B586 GARDEN SH  BOCA RATON    FL"/>
        <s v="PUBLIX SUPER MAR 4141 BOCA RATON FL  633320  03/14"/>
        <s v="WHOLEFDS BCA 101 1400B BOCA RATON FL 933958  03/13"/>
        <s v="WHOLEFDS BCA 101 1400B BOCA RATON FL 759230  03/13"/>
        <s v="PUBLIX SUPER MAR 4141 BOCA RATON FL  610416  03/13"/>
        <s v="GUITAR CENTER #791 DELRAY BEACH FL           03/13"/>
        <s v="PUBLIX SUPER MAR 5050 BOCA RATON FL  123523  03/13"/>
        <s v="WHOLEFDS BCA 101 1400B BOCA RATON FL 154806  03/12"/>
        <s v="STARBUCKS STORE 08588 BOCA RATON FL          03/11"/>
        <s v="AVENTURA EYE SPECIALIST WEESTON FL           03/11"/>
        <s v="SUNPASS*ACC588612 888-865-5352 FL            03/11"/>
        <s v="WHOLEFDS BCA 101 1400B BOCA RATON FL 819243  03/11"/>
        <s v="BARNESNOBLE 1400 Glade BOCA RATON FL 645086  03/11"/>
        <s v="CHEVRON/SUNSHINE 39 PLANTATION FL    057556  03/11"/>
        <s v="TST* BRASS TAPS - FT FORT LAUDERDA FL        03/11"/>
        <s v="MENCHIES B586 GARDEN SH BOCA RATON FL        03/10"/>
        <s v="POLLO TROPICAL 10247 BOCA RATON FL           03/10"/>
        <s v="Wal-Mart Super Center BOCA RATON FL          03/10"/>
        <s v="THE HOME DEPOT #0204 BOCA RATON FL   354179  03/10"/>
        <s v="PUBLIX SUPER MAR 4141 BOCA RATON FL  713688  03/10"/>
        <s v="CRAZY UNCLE MIKES BOCA RATON FL              03/09"/>
        <s v="SUNPASS*ACC588612 888-865-5352 FL            03/09"/>
        <s v="ORIENTAL MART LAUDERHILL FL                  03/09"/>
        <s v="SUBWAY        03019932 LAUDERHILL FL         03/09"/>
        <s v="MARATHON PETRO14 BOCA RATON FL       723966  03/09"/>
        <s v="ATM WITHDRAWAL                       005293  03/093901 N FE"/>
        <s v="POLLO TROPICAL 10247 BOCA RATON FL           03/08"/>
        <s v="CRAZY UNCLE MIKES BOCA RATON FL              03/07"/>
        <s v="PUBLIX SUPER MAR 21230 BOCA RATON FL 728366  03/07"/>
        <s v="WHOLEFDS BCA 101 1400B BOCA RATON FL 438934  03/07"/>
        <s v="POS DEBIT                Colombiancupid.com       Southport     PA"/>
        <s v="POS DEBIT                GUITAR CENTER #791       DELRAY BEACH  FL"/>
        <s v="PUBLIX SUPER MAR 4141 BOCA RATON FL  503639  03/06"/>
        <s v="MARATHON PETRO14 BOCA RATON FL       891651  03/06"/>
        <s v="ORIG CO NAME:FPL DIRECT DEBIT CO ENTRY DESCR:ELEC PYMT  SEC:PPD                        ORIG ID:3590247775"/>
        <s v="PUBLIX SUPER MAR 4141 BOCA RATON FL          03/04 Purchase $18.73 Cash Back $20.00"/>
        <s v="PUBLIX SUPER MAR 4141 BOCA RATON FL  229809  03/04"/>
        <s v="POS DEBIT                WMV*MATCH.COM             800-326-5161 TX"/>
        <s v="POS DEBIT                PUBLIC STORAGE 26829      BOCA RATON   FL"/>
        <s v="POS DEBIT                MASSAGE ENVY 0180         BOCA RATON   FL"/>
        <s v="POS DEBIT                NETFLIX.COM               NETFLIX.COM  CA                                                                                                                                                                                                                                                                   00NN08172"/>
        <s v="POS DEBIT                CHOCOLADA BAKERY AND CA  HOLLYWOOD     FL"/>
        <s v="ABC*YOUFIT HEALTH CLUB 561-3672326 FL        02/28"/>
        <s v="SQ *GO BISTRO Hollywood FL                   02/28"/>
        <s v="HOLLYWD TOWN PKG ON STR HOLLYWOOD FL         02/28"/>
        <s v="STARBUCKS STORE 08588 BOCA RATON FL          02/28"/>
        <s v="CRAZY UNCLE MIKES BOCA RATON FL              02/27"/>
        <s v="SHELL Service Station BOCA RATON FL  069545  02/28"/>
        <s v="BIS STORE # 129 BOCA RATON FL                02/28"/>
        <s v="WHOLEFDS BCA 101 1400B BOCA RATON FL 552003  02/28"/>
        <s v="ECHST.NET 866-452-5108 WA                    02/28"/>
        <s v="POLLO TROPICAL 10247 BOCA RATON FL           02/27"/>
        <s v="BOCAS PREMIER DRY YAMAT BOCA RATON FL        02/27"/>
        <s v="STARBUCKS STORE 08588 BOCA RATON FL          02/27"/>
        <s v="HOMEDEPOT.COM 800-430-3376 GA                02/26"/>
        <s v="BIERGARTEN BOCA RATON FL                     02/26"/>
        <s v="ABC*YOUFIT HEALTH CLUB 561-3672326 FL        02/25"/>
        <s v="TOTAL WINE AND MORE 90 BOCA RATON FL 223633  02/26"/>
        <s v="SECUREHOOKUP.COM/BILL 833-344-3573 CA        02/25"/>
        <s v="CRAZY UNCLE MIKES BOCA RATON FL              02/24"/>
        <s v="APL*ITUNES.COM/BILL 866-712-7753 CA          02/23"/>
        <s v="PUBLIX SUPER MAR 21230 BOCA RATON FL 735573  02/25"/>
        <s v="POS DEBIT                SQ *BOCA WALK IN ORTHO    BOCA RATON   FL"/>
        <s v="POS DEBIT                STARBUCKS STORE 08257     BOCA RATON   FL"/>
        <s v="POS CREDIT               THE HOME DEPOT #6315      DELRAY BEACH FL"/>
        <s v="POS DEBIT                NORDSTROM RACK # 1400 G   BOCA RATON   FL"/>
        <s v="POS DEBIT                IN *CENTER FOR HEALTH     BOCA RATON   FL"/>
        <s v="POS DEBIT                COMCAST/XFINITY           800-266-2278 FL"/>
        <s v="POS DEBIT                HOMEDEPOT.COM             800-430-3376 GA"/>
        <s v="POS DEBIT                RAMI PETROLEUM,           POMPANO BEAC FL"/>
        <s v="POS DEBIT                THE HOME DEPOT #0218      DEERFIELD BE FL"/>
        <s v="POS DEBIT                HAIR CUTTERY #2846        DEERFIELD BE FL"/>
        <s v="PUBLIX SUPER MAR 21230 BOCA RATON FL 756885  02/22"/>
        <s v="WHOLEFDS BCA 101 1400B BOCA RATON FL 907356  02/21"/>
        <s v="MARATHON PETRO14 BOCA RATON FL       773033  02/21"/>
        <s v="PUBLIX SUPER MAR 4141 BOCA RATON FL  621274  02/21"/>
        <s v="POLLO TROPICAL 10058 DELRAY BEACH FL         02/20"/>
        <s v="STARBUCKS STORE 08588 BOCA RATON FL          02/20"/>
        <s v="HAIR CUTTERY #3983 BOCA RATON FL             02/20"/>
        <s v="WHOLEFDS BCA 101 1400B BOCA RATON FL 861016  02/20"/>
        <s v="STARBUCKS STORE 08588 BOCA RATON FL          02/19"/>
        <s v="Online Transfer to CHK ...3721 transaction#: 7954030791 02/19"/>
        <s v="POS DEBIT                THE HOME DEPOT #6315      DELRAY BEACH FL"/>
        <s v="POS DEBIT                STARBUCKS STORE 08588     BOCA RATON   FL"/>
        <s v="POS DEBIT                TRADER JOE'S #771 QPS     DELRAY BEACH FL"/>
        <s v="POS DEBIT                PRIP MART 199             BOCA RATON   FL"/>
        <s v="CRAZY UNCLE MIKES BOCA RATON FL              02/13"/>
        <s v="POLLO TROPICAL 10058 DELRAY BEACH FL         02/13"/>
        <s v="GUITAR CENTER #791 DELRAY BEACH FL           02/13"/>
        <s v="SWEET TOMATOES 80 Q14 BOCA RATON FL          02/13"/>
        <s v="THE HOME DEPOT #6315 DELRAY BEACH FL 063173  02/13"/>
        <s v="POS DEBIT                ROBOT BREWING COMPANY    BOCA RATON    FL"/>
        <s v="ATM WITHDRAWAL                       004811  02/123901 N FE"/>
        <s v="CRAZY UNCLE MIKES BOCA RATON FL              02/10"/>
        <s v="PUBLIX SUPER MAR 4141 BOCA RATON FL  903245  02/11"/>
        <s v="THE HOME DEPOT #6315 DELRAY BEACH FL 635836  02/11"/>
        <s v="WHOLEFDS BCA 101 1400B BOCA RATON FL 623640  02/11"/>
        <s v="POS DEBIT                AVENTURA EYE SPECIALIS    WEESTON      FL"/>
        <s v="POS DEBIT                BEDBATH&amp;BEYOND# 1400C G   BOCA RATON   FL"/>
        <s v="POS DEBIT                IKEA SUNRISE              SUNRISE      FL"/>
        <s v="DEPOSIT"/>
        <s v="POS DEBIT                CABANA NUEVO LATINO- D   DELRAY BEACH  FL"/>
        <s v="POS DEBIT                TST* ALL MEATS B         BOCA RATON    FL"/>
        <s v="POS DEBIT                818 HEAT                  BOCA RATON   FL"/>
        <s v="CRAZY UNCLE MIKES BOCA RATON FL              02/06"/>
        <s v="CANCER TREATMENT DIRECT DEP                 PPD ID: 9111111102"/>
        <s v="WHOLEFDS BCA 101 1400B BOCA RATON FL         02/07 Purchase $2.49 Cash Back $10.00"/>
        <s v="BOCA MART, INC. BOCA RATON FL                02/07"/>
        <s v="POLLO TROPICAL 10247 BOCA RATON FL           02/06"/>
        <s v="Online Transfer from SAV ...0138 transaction#: 7919850372"/>
        <s v="PUBLIX SUPER MAR 9846 BOCA RATON FL  062362  02/06"/>
        <s v="PETCO 1789 BOCA RATON FL             132613  02/06"/>
        <s v="PUBLIX SUPER MAR 4141 BOCA RATON FL  228297  02/06"/>
        <s v="TRADER JOE'S #771 QPS DELRAY BEACH FL539567  02/06"/>
        <s v="POLLO TROPICAL 10058 DELRAY BEACH FL         02/05"/>
        <s v="IN *CENTER FOR HEALTH 561-7899558 FL         02/05"/>
        <s v="BIERGARTEN BOCA RATON FL                     02/05"/>
        <s v="MARATHON PETRO14 BOCA RATON FL       797802  02/05"/>
        <s v="WITHDRAWAL 02/05"/>
        <s v="PUBLIX SUPER MAR 4141 BOCA RATON FL  615534  02/05"/>
        <s v="IKEA.COM 320623212 888-434-4532 MD           02/04"/>
        <s v="POS DEBIT                TST* YUCA RESTAU          MIAMI BEACH  FL"/>
        <s v="POS DEBIT                PARK ONE OF FLORDIA       MIAMI        FL"/>
        <s v="POS DEBIT                BB *PEREZ ART MUSEUM      MIAMI        FL"/>
        <s v="POS DEBIT                MARATHON PETRO14          BOCA RATON   FL"/>
        <s v="POS DEBIT                CRAZY UNCLE MIKES        BOCA RATON    FL"/>
        <s v="ORIG CO NAME:WF HOME MTG      CO ENTRY DESCR:AUTO PAY   SEC:PPD                        ORIG ID:W952318940"/>
        <s v="ATM WITHDRAWAL                       006454  02/011850 N FE"/>
        <s v="IN *CENTER FOR HEALTH 561-7899558 FL         01/31"/>
        <s v="CVS/PHARMACY #00 00770 BOCA RATON FL 016361  01/31"/>
        <s v="POLLO TROPICAL 10058 DELRAY BEACH FL         01/30"/>
        <s v="BOCAS PREMIER DRY YAMAT BOCA RATON FL        01/30"/>
        <s v="SHELL Service Station DELRAY BEACH FL005489  01/30"/>
        <s v="PUBLIX SUPER MAR 5050 BOCA RATON FL  314410  01/30"/>
        <s v="GUITAR CENTER #791 DELRAY BEACH FL           01/29"/>
        <s v="PUBLIX SUPER MAR 5050 BOCA RATON FL  761010  01/29"/>
        <s v="POS DEBIT                UROMEDIX-EU6             SUNRISE       FL"/>
        <s v="POS DEBIT                ABC*YOUFIT HEALTH CLUB   561-3672326   FL"/>
        <s v="POS DEBIT                SUNPASS OPERATIONS       BOCA RATON    FL"/>
        <s v="TOTAL WINE AND MORE 90 BOCA RATON FL 345568  01/28"/>
        <s v="PUBLIX SUPER MAR 4141 BOCA RATON FL  950786  01/27"/>
        <s v="TRADER JOE'S #771 QPS DELRAY BEACH FL092948  01/27"/>
        <s v="WHOLEFDS BCA 101 1400B BOCA RATON FL 337627  01/27"/>
        <s v="BARNESNOBLE 1400 Glade BOCA RATON FL 753217  01/27"/>
        <s v="WHOLEFDS BCA 101 1400B BOCA RATON FL 338865  01/27"/>
        <s v="SUNPASS*ACC588612 888-865-5352 FL            01/27"/>
        <s v="MARATHON PETRO14 BOCA RATON FL       885321  01/26"/>
        <s v="FUNKY BUDDHA LOUNGE AND BOCA RATON FL        01/26"/>
        <s v="WHOLEFDS BCA 101 1400B BOCA RATON FL 605797  01/26"/>
        <s v="STARBUCKS STORE 08257 BOCA RATON FL          01/26"/>
        <s v="ATM WITHDRAWAL                       009561  01/263901 N FE"/>
        <s v="SUNPASS*ACC588612 888-865-5352 FL            01/26"/>
        <s v="CRAZY UNCLE MIKES BOCA RATON FL              01/25"/>
        <s v="DR DAVID GOLDBERG BOCA RATON FL              01/25"/>
        <s v="HAIR CUTTERY #2846 DEERFIELD BEA FL          01/25"/>
        <s v="POS DEBIT                IN *CENTER FOR HEALTH    BOCA RATON    FL"/>
        <s v="POS DEBIT                COMCAST/XFINITY          800-266-2278  FL"/>
        <s v="POS DEBIT                LATINAMERICANCUPID.COM    SOUTHPORT    PA"/>
        <s v="WHOLEFDS BCA 101 1400B BOCA RATON FL 000597  01/24"/>
        <s v="SWEET TOMATOES 80 Q14 BOCA RATON FL          01/23"/>
        <s v="TRADER JOE'S #771 QPS DELRAY BEACH FL478626  01/23"/>
        <s v="POS DEBIT                7-ELEVEN 34819            WESTON       FL"/>
        <s v="POS DEBIT                APL*ITUNES.COM/BILL       800-275-2273 CA"/>
        <s v="POS DEBIT                POLLO TROPICAL 10058     DELRAY BEACH  FL"/>
        <s v="ONLINE TRANSFER TO CHK ...3721 TRANSACTION#: 7867603097 01/22"/>
        <s v="POS DEBIT                BOCA MART, INC.           BOCA RATON   FL"/>
        <s v="POS DEBIT                SUBWAY RESTAURANT         LAUDERDALE L FL"/>
        <s v="POS DEBIT                CRAZY UNCLE MIKES         BOCA RATON   FL"/>
        <s v="POS DEBIT                CORNER PORCH             DELRAY BEACH  FL"/>
        <s v="POS DEBIT                DR DAVID GOLDBERG         BOCA RATON   FL"/>
        <s v="POS DEBIT                MARATHON PETRO149062     BOCA RATON    FL"/>
        <s v="gotinder.com/help 000-0000000 TX             01/17"/>
        <s v="WHOLEFDS BCA 101 1400B BOCA RATON FL 858599  01/17"/>
        <s v="POS DEBIT                STARBUCKS STORE 21822     DELRAY BEACH FL"/>
        <s v="POS DEBIT                SWEET TOMATOES #80       BOCA RATON    FL"/>
        <s v="GUITAR CENTER #791 DELRAY BEACH FL           01/16"/>
        <s v="POS DEBIT                APL* ITUNES.COM/BILL     866-712-7753  CA"/>
        <s v="gotinder.com/help 000-0000000 TX             01/15"/>
        <s v="PUBLIX SUPER MAR 4141 BOCA RATON FL  317230  01/14"/>
        <s v="POS DEBIT                SHELL SERVICE STATION     LAUDERHILL   FL"/>
        <s v="POS DEBIT                JO BABY                   LAUDERHILL   FL"/>
        <s v="POS DEBIT                ANTHONYS COAL FIRED PIZ  BOCA RATON    FL"/>
        <s v="POS DEBIT                SQ *LAUDERALE            Fort Lauderd  FL"/>
        <s v="NON-CHASE ATM WITHDRAW               294805  01/117024 BERA"/>
        <s v="PUBLIX SUPER MAR 21230 BOCA RATON FL 701032  01/11"/>
        <s v="First Watch Restaurants BOCA RATON FL        01/10"/>
        <s v="7024 BERACASAWAY BOCA RATON FL       294805  01/11"/>
        <s v="TOTAL WINE AND MORE 90 BOCA RATON FL 263705  01/09"/>
        <s v="SHELL Service Station BOCA RATON FL  076301  01/09"/>
        <s v="POS DEBIT                MY MUSIC MASTER CLASS    GLENDALE      CA"/>
        <s v="POS DEBIT                SUPERCUTS                 BOCA RATON   FL"/>
        <s v="POS DEBIT                CHEVRON/GRYPHON 2080 MG   FT. LAUDERDA FL"/>
        <s v="WHOLEFDS BCA 101 1400B BOCA RATON FL 144255  01/04"/>
        <s v="POS DEBIT                GOTINDER.COM/HELP         000-0000000  TX"/>
        <s v="Netflix.com netflix.com CA                   01/02"/>
        <s v="PUBLIC STORAGE 26829 800-567-0759 FL         01/02"/>
        <s v="BARNESNOBLE 1400 Glade BOCA RATON FL 825108  01/03"/>
        <s v="POS DEBIT                NEW ROYAL DAY SPA INC    KEY LARGO     FL"/>
        <s v="POS DEBIT                GILBERTS RESORT          KEY LARGO     FL"/>
        <s v="POS DEBIT                APL*ITUNES.COM/BILL      800-275-2273  CA"/>
        <s v="`" u="1"/>
        <s v="ORIG CO NAME:Synchrony Bank   CO ENTRY DESCR:CC PYMT    SEC:TEL IND ID:602052281390228 ORIG ID:9856794001" u="1"/>
      </sharedItems>
    </cacheField>
    <cacheField name="Amount" numFmtId="43">
      <sharedItems containsString="0" containsBlank="1" containsNumber="1" minValue="-3485.05" maxValue="1225"/>
    </cacheField>
    <cacheField name="Category" numFmtId="0">
      <sharedItems containsBlank="1" count="29">
        <s v="Misc"/>
        <s v="Gas"/>
        <s v="Gym"/>
        <s v="Electric"/>
        <s v="Xfinity"/>
        <s v="Massage Envy"/>
        <s v="Public Storage"/>
        <s v="Haircut"/>
        <s v="Auto Pmt"/>
        <m/>
        <s v="Eating Out"/>
        <s v="Travel"/>
        <s v="Dry Cleaning"/>
        <s v="Music/hobbies"/>
        <s v="Household"/>
        <s v="Coffees"/>
        <s v="Groceries"/>
        <s v="Med/Dental"/>
        <s v="For Sam; house"/>
        <s v="HOA"/>
        <s v="Mortgage"/>
        <s v="Netflix"/>
        <s v="Auto Insurance"/>
        <s v="Entertainment"/>
        <s v="Cash"/>
        <s v="Rent"/>
        <s v="Cell Phone"/>
        <s v="Rent deposit"/>
        <s v="Paychec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">
  <r>
    <s v="DEBIT"/>
    <x v="0"/>
    <x v="0"/>
    <x v="0"/>
    <x v="0"/>
    <n v="0"/>
    <s v="Fcst only"/>
    <n v="13828.990000000003"/>
    <m/>
  </r>
  <r>
    <s v="DEBIT"/>
    <x v="0"/>
    <x v="0"/>
    <x v="1"/>
    <x v="0"/>
    <n v="0"/>
    <s v="Fcst only"/>
    <n v="13828.990000000003"/>
    <m/>
  </r>
  <r>
    <s v="DEBIT"/>
    <x v="0"/>
    <x v="0"/>
    <x v="2"/>
    <x v="0"/>
    <n v="0"/>
    <s v="Fcst only"/>
    <n v="13828.990000000003"/>
    <m/>
  </r>
  <r>
    <s v="DEBIT"/>
    <x v="0"/>
    <x v="0"/>
    <x v="3"/>
    <x v="0"/>
    <n v="0"/>
    <s v="Fcst only"/>
    <n v="13828.990000000003"/>
    <m/>
  </r>
  <r>
    <s v="DEBIT"/>
    <x v="0"/>
    <x v="0"/>
    <x v="4"/>
    <x v="0"/>
    <n v="0"/>
    <s v="Fcst only"/>
    <n v="13828.990000000003"/>
    <m/>
  </r>
  <r>
    <s v="DEBIT"/>
    <x v="0"/>
    <x v="0"/>
    <x v="5"/>
    <x v="0"/>
    <n v="0"/>
    <s v="Fcst only"/>
    <n v="13828.990000000003"/>
    <m/>
  </r>
  <r>
    <s v="DEBIT"/>
    <x v="0"/>
    <x v="0"/>
    <x v="6"/>
    <x v="0"/>
    <n v="0"/>
    <s v="Fcst only"/>
    <n v="13828.990000000003"/>
    <m/>
  </r>
  <r>
    <s v="DEBIT"/>
    <x v="0"/>
    <x v="0"/>
    <x v="7"/>
    <x v="0"/>
    <n v="0"/>
    <s v="Fcst only"/>
    <n v="13828.990000000003"/>
    <m/>
  </r>
  <r>
    <s v="DEBIT"/>
    <x v="0"/>
    <x v="0"/>
    <x v="8"/>
    <x v="0"/>
    <n v="0"/>
    <s v="Fcst only"/>
    <n v="13828.990000000003"/>
    <m/>
  </r>
  <r>
    <s v="DEBIT"/>
    <x v="0"/>
    <x v="1"/>
    <x v="9"/>
    <x v="1"/>
    <m/>
    <m/>
    <n v="13828.990000000003"/>
    <m/>
  </r>
  <r>
    <s v="DEBIT"/>
    <x v="0"/>
    <x v="1"/>
    <x v="9"/>
    <x v="1"/>
    <m/>
    <m/>
    <n v="13828.990000000003"/>
    <m/>
  </r>
  <r>
    <s v="DEBIT"/>
    <x v="0"/>
    <x v="1"/>
    <x v="9"/>
    <x v="1"/>
    <m/>
    <m/>
    <n v="13828.990000000003"/>
    <m/>
  </r>
  <r>
    <s v="DEBIT"/>
    <x v="0"/>
    <x v="1"/>
    <x v="9"/>
    <x v="1"/>
    <m/>
    <m/>
    <n v="13828.990000000003"/>
    <m/>
  </r>
  <r>
    <s v="DEBIT"/>
    <x v="0"/>
    <x v="2"/>
    <x v="10"/>
    <x v="2"/>
    <n v="6.02"/>
    <m/>
    <n v="13828.990000000003"/>
    <m/>
  </r>
  <r>
    <s v="DEBIT"/>
    <x v="0"/>
    <x v="2"/>
    <x v="8"/>
    <x v="2"/>
    <n v="21.98"/>
    <m/>
    <n v="13835.010000000004"/>
    <m/>
  </r>
  <r>
    <s v="DEBIT"/>
    <x v="0"/>
    <x v="2"/>
    <x v="11"/>
    <x v="2"/>
    <n v="47"/>
    <m/>
    <n v="13856.990000000003"/>
    <m/>
  </r>
  <r>
    <s v="DEBIT"/>
    <x v="0"/>
    <x v="2"/>
    <x v="10"/>
    <x v="3"/>
    <n v="41.41"/>
    <m/>
    <n v="13903.990000000003"/>
    <m/>
  </r>
  <r>
    <s v="DEBIT"/>
    <x v="0"/>
    <x v="2"/>
    <x v="4"/>
    <x v="4"/>
    <n v="58.04"/>
    <m/>
    <n v="13945.400000000003"/>
    <m/>
  </r>
  <r>
    <s v="DEBIT"/>
    <x v="0"/>
    <x v="2"/>
    <x v="10"/>
    <x v="5"/>
    <n v="21.39"/>
    <m/>
    <n v="14003.440000000004"/>
    <m/>
  </r>
  <r>
    <s v="DEBIT"/>
    <x v="0"/>
    <x v="2"/>
    <x v="12"/>
    <x v="5"/>
    <n v="4.2300000000000004"/>
    <m/>
    <n v="14024.830000000004"/>
    <m/>
  </r>
  <r>
    <s v="DEBIT"/>
    <x v="0"/>
    <x v="2"/>
    <x v="12"/>
    <x v="6"/>
    <n v="-4.2300000000000004"/>
    <m/>
    <n v="14029.060000000003"/>
    <m/>
  </r>
  <r>
    <s v="DEBIT"/>
    <x v="0"/>
    <x v="2"/>
    <x v="12"/>
    <x v="5"/>
    <n v="4.2300000000000004"/>
    <m/>
    <n v="14024.830000000004"/>
    <m/>
  </r>
  <r>
    <s v="DEBIT"/>
    <x v="0"/>
    <x v="2"/>
    <x v="4"/>
    <x v="7"/>
    <n v="7.99"/>
    <m/>
    <n v="14029.060000000003"/>
    <m/>
  </r>
  <r>
    <s v="DEBIT"/>
    <x v="0"/>
    <x v="2"/>
    <x v="1"/>
    <x v="8"/>
    <n v="5"/>
    <m/>
    <n v="14037.050000000003"/>
    <m/>
  </r>
  <r>
    <s v="DEBIT"/>
    <x v="0"/>
    <x v="2"/>
    <x v="10"/>
    <x v="9"/>
    <n v="284.23"/>
    <m/>
    <n v="14042.050000000003"/>
    <m/>
  </r>
  <r>
    <s v="DEBIT"/>
    <x v="0"/>
    <x v="2"/>
    <x v="10"/>
    <x v="10"/>
    <n v="74.650000000000006"/>
    <m/>
    <n v="14326.280000000002"/>
    <m/>
  </r>
  <r>
    <s v="DEBIT"/>
    <x v="0"/>
    <x v="2"/>
    <x v="10"/>
    <x v="11"/>
    <n v="1700"/>
    <m/>
    <n v="14400.930000000002"/>
    <m/>
  </r>
  <r>
    <s v="DEBIT"/>
    <x v="0"/>
    <x v="2"/>
    <x v="10"/>
    <x v="12"/>
    <n v="-1857.84"/>
    <m/>
    <n v="16100.930000000002"/>
    <m/>
  </r>
  <r>
    <s v="DEBIT"/>
    <x v="1"/>
    <x v="3"/>
    <x v="7"/>
    <x v="13"/>
    <n v="25.67"/>
    <m/>
    <n v="14243.090000000002"/>
    <m/>
  </r>
  <r>
    <s v="DEBIT"/>
    <x v="1"/>
    <x v="4"/>
    <x v="10"/>
    <x v="14"/>
    <n v="-0.06"/>
    <m/>
    <n v="14268.760000000002"/>
    <m/>
  </r>
  <r>
    <s v="DEBIT"/>
    <x v="1"/>
    <x v="4"/>
    <x v="10"/>
    <x v="15"/>
    <n v="100"/>
    <m/>
    <n v="14268.700000000003"/>
    <m/>
  </r>
  <r>
    <s v="DEBIT"/>
    <x v="1"/>
    <x v="4"/>
    <x v="13"/>
    <x v="16"/>
    <n v="437.54"/>
    <m/>
    <n v="14368.700000000003"/>
    <m/>
  </r>
  <r>
    <s v="DEBIT"/>
    <x v="1"/>
    <x v="4"/>
    <x v="1"/>
    <x v="17"/>
    <n v="28.38"/>
    <m/>
    <n v="14806.240000000003"/>
    <m/>
  </r>
  <r>
    <s v="DEBIT"/>
    <x v="1"/>
    <x v="4"/>
    <x v="10"/>
    <x v="18"/>
    <n v="50"/>
    <m/>
    <n v="14834.620000000003"/>
    <m/>
  </r>
  <r>
    <s v="DEBIT"/>
    <x v="1"/>
    <x v="4"/>
    <x v="14"/>
    <x v="19"/>
    <n v="13.29"/>
    <m/>
    <n v="14884.620000000003"/>
    <m/>
  </r>
  <r>
    <s v="DEBIT"/>
    <x v="1"/>
    <x v="4"/>
    <x v="15"/>
    <x v="20"/>
    <n v="-3455.28"/>
    <m/>
    <n v="14897.910000000003"/>
    <m/>
  </r>
  <r>
    <s v="DEBIT"/>
    <x v="1"/>
    <x v="5"/>
    <x v="10"/>
    <x v="21"/>
    <n v="35.42"/>
    <m/>
    <n v="11442.630000000003"/>
    <m/>
  </r>
  <r>
    <s v="DEBIT"/>
    <x v="1"/>
    <x v="5"/>
    <x v="10"/>
    <x v="22"/>
    <n v="104.81"/>
    <m/>
    <n v="11478.050000000003"/>
    <m/>
  </r>
  <r>
    <s v="DEBIT"/>
    <x v="1"/>
    <x v="6"/>
    <x v="4"/>
    <x v="23"/>
    <n v="17.61"/>
    <m/>
    <n v="11582.860000000002"/>
    <m/>
  </r>
  <r>
    <s v="DEBIT"/>
    <x v="1"/>
    <x v="6"/>
    <x v="10"/>
    <x v="24"/>
    <n v="42.95"/>
    <m/>
    <n v="11600.470000000003"/>
    <m/>
  </r>
  <r>
    <s v="DEBIT"/>
    <x v="1"/>
    <x v="6"/>
    <x v="10"/>
    <x v="25"/>
    <n v="100"/>
    <m/>
    <n v="11643.420000000004"/>
    <m/>
  </r>
  <r>
    <s v="DEBIT"/>
    <x v="1"/>
    <x v="6"/>
    <x v="10"/>
    <x v="26"/>
    <n v="-2.95"/>
    <m/>
    <n v="11743.420000000004"/>
    <m/>
  </r>
  <r>
    <s v="DEBIT"/>
    <x v="1"/>
    <x v="7"/>
    <x v="10"/>
    <x v="27"/>
    <n v="100"/>
    <m/>
    <n v="11740.470000000003"/>
    <m/>
  </r>
  <r>
    <s v="DEBIT"/>
    <x v="1"/>
    <x v="7"/>
    <x v="10"/>
    <x v="28"/>
    <n v="500"/>
    <m/>
    <n v="11840.470000000003"/>
    <m/>
  </r>
  <r>
    <s v="DEBIT"/>
    <x v="1"/>
    <x v="8"/>
    <x v="16"/>
    <x v="29"/>
    <n v="60"/>
    <m/>
    <n v="12340.470000000003"/>
    <m/>
  </r>
  <r>
    <s v="DEBIT"/>
    <x v="1"/>
    <x v="8"/>
    <x v="16"/>
    <x v="30"/>
    <n v="43.5"/>
    <m/>
    <n v="12400.470000000003"/>
    <m/>
  </r>
  <r>
    <s v="DEBIT"/>
    <x v="1"/>
    <x v="8"/>
    <x v="3"/>
    <x v="31"/>
    <n v="27.63"/>
    <m/>
    <n v="12443.970000000003"/>
    <m/>
  </r>
  <r>
    <s v="DEBIT"/>
    <x v="1"/>
    <x v="8"/>
    <x v="10"/>
    <x v="32"/>
    <n v="15.01"/>
    <m/>
    <n v="12471.600000000002"/>
    <m/>
  </r>
  <r>
    <s v="DEBIT"/>
    <x v="1"/>
    <x v="8"/>
    <x v="12"/>
    <x v="5"/>
    <n v="4.87"/>
    <m/>
    <n v="12486.610000000002"/>
    <m/>
  </r>
  <r>
    <s v="DEBIT"/>
    <x v="1"/>
    <x v="8"/>
    <x v="1"/>
    <x v="33"/>
    <n v="33"/>
    <m/>
    <n v="12491.480000000003"/>
    <m/>
  </r>
  <r>
    <s v="DEBIT"/>
    <x v="1"/>
    <x v="8"/>
    <x v="17"/>
    <x v="34"/>
    <n v="2.25"/>
    <m/>
    <n v="12524.480000000003"/>
    <m/>
  </r>
  <r>
    <s v="DEBIT"/>
    <x v="1"/>
    <x v="8"/>
    <x v="17"/>
    <x v="35"/>
    <n v="8"/>
    <m/>
    <n v="12526.730000000003"/>
    <m/>
  </r>
  <r>
    <s v="DEBIT"/>
    <x v="1"/>
    <x v="8"/>
    <x v="10"/>
    <x v="36"/>
    <n v="4"/>
    <m/>
    <n v="12534.730000000003"/>
    <m/>
  </r>
  <r>
    <s v="DEBIT"/>
    <x v="1"/>
    <x v="8"/>
    <x v="12"/>
    <x v="5"/>
    <n v="4.87"/>
    <m/>
    <n v="12538.730000000003"/>
    <m/>
  </r>
  <r>
    <s v="DEBIT"/>
    <x v="1"/>
    <x v="8"/>
    <x v="16"/>
    <x v="37"/>
    <n v="83"/>
    <m/>
    <n v="12543.600000000004"/>
    <m/>
  </r>
  <r>
    <s v="DEBIT"/>
    <x v="1"/>
    <x v="9"/>
    <x v="14"/>
    <x v="38"/>
    <n v="14.5"/>
    <m/>
    <n v="12626.600000000004"/>
    <m/>
  </r>
  <r>
    <s v="DEBIT"/>
    <x v="1"/>
    <x v="10"/>
    <x v="10"/>
    <x v="39"/>
    <n v="7.5"/>
    <m/>
    <n v="12641.100000000004"/>
    <m/>
  </r>
  <r>
    <s v="DEBIT"/>
    <x v="1"/>
    <x v="10"/>
    <x v="3"/>
    <x v="40"/>
    <n v="37.29"/>
    <m/>
    <n v="12648.600000000004"/>
    <m/>
  </r>
  <r>
    <s v="DEBIT"/>
    <x v="1"/>
    <x v="10"/>
    <x v="7"/>
    <x v="41"/>
    <n v="7.48"/>
    <m/>
    <n v="12685.890000000005"/>
    <m/>
  </r>
  <r>
    <s v="DEBIT"/>
    <x v="1"/>
    <x v="10"/>
    <x v="7"/>
    <x v="42"/>
    <n v="25.67"/>
    <m/>
    <n v="12693.370000000004"/>
    <m/>
  </r>
  <r>
    <s v="DEBIT"/>
    <x v="1"/>
    <x v="11"/>
    <x v="10"/>
    <x v="43"/>
    <n v="50"/>
    <m/>
    <n v="12669.040000000005"/>
    <m/>
  </r>
  <r>
    <s v="DEBIT"/>
    <x v="1"/>
    <x v="11"/>
    <x v="16"/>
    <x v="44"/>
    <n v="50"/>
    <m/>
    <n v="12719.040000000005"/>
    <m/>
  </r>
  <r>
    <s v="DEBIT"/>
    <x v="1"/>
    <x v="11"/>
    <x v="1"/>
    <x v="45"/>
    <n v="5.98"/>
    <m/>
    <n v="12769.040000000005"/>
    <m/>
  </r>
  <r>
    <s v="DEBIT"/>
    <x v="1"/>
    <x v="12"/>
    <x v="4"/>
    <x v="46"/>
    <n v="9.09"/>
    <m/>
    <n v="12775.020000000004"/>
    <m/>
  </r>
  <r>
    <s v="DEBIT"/>
    <x v="1"/>
    <x v="12"/>
    <x v="17"/>
    <x v="47"/>
    <n v="2"/>
    <m/>
    <n v="12784.110000000004"/>
    <m/>
  </r>
  <r>
    <s v="DEBIT"/>
    <x v="1"/>
    <x v="12"/>
    <x v="0"/>
    <x v="48"/>
    <n v="23"/>
    <m/>
    <n v="12786.110000000004"/>
    <m/>
  </r>
  <r>
    <s v="DEBIT"/>
    <x v="1"/>
    <x v="13"/>
    <x v="12"/>
    <x v="49"/>
    <n v="2.68"/>
    <m/>
    <n v="12809.110000000004"/>
    <m/>
  </r>
  <r>
    <s v="DEBIT"/>
    <x v="1"/>
    <x v="13"/>
    <x v="4"/>
    <x v="50"/>
    <n v="8.1"/>
    <m/>
    <n v="12811.790000000005"/>
    <m/>
  </r>
  <r>
    <s v="DEBIT"/>
    <x v="1"/>
    <x v="13"/>
    <x v="1"/>
    <x v="51"/>
    <n v="15.55"/>
    <m/>
    <n v="12819.890000000005"/>
    <m/>
  </r>
  <r>
    <s v="DEBIT"/>
    <x v="1"/>
    <x v="13"/>
    <x v="12"/>
    <x v="52"/>
    <n v="3.82"/>
    <m/>
    <n v="12835.440000000004"/>
    <m/>
  </r>
  <r>
    <s v="DEBIT"/>
    <x v="1"/>
    <x v="13"/>
    <x v="10"/>
    <x v="53"/>
    <n v="19.07"/>
    <m/>
    <n v="12839.260000000004"/>
    <m/>
  </r>
  <r>
    <s v="DEBIT"/>
    <x v="1"/>
    <x v="13"/>
    <x v="1"/>
    <x v="54"/>
    <n v="36"/>
    <m/>
    <n v="12858.330000000004"/>
    <m/>
  </r>
  <r>
    <s v="DEBIT"/>
    <x v="1"/>
    <x v="14"/>
    <x v="4"/>
    <x v="55"/>
    <n v="4.32"/>
    <m/>
    <n v="12894.330000000004"/>
    <m/>
  </r>
  <r>
    <s v="DEBIT"/>
    <x v="1"/>
    <x v="14"/>
    <x v="12"/>
    <x v="56"/>
    <n v="4.87"/>
    <m/>
    <n v="12898.650000000003"/>
    <m/>
  </r>
  <r>
    <s v="DEBIT"/>
    <x v="1"/>
    <x v="14"/>
    <x v="10"/>
    <x v="57"/>
    <n v="20"/>
    <m/>
    <n v="12903.520000000004"/>
    <m/>
  </r>
  <r>
    <s v="DEBIT"/>
    <x v="1"/>
    <x v="14"/>
    <x v="4"/>
    <x v="57"/>
    <n v="6.95"/>
    <m/>
    <n v="12936.570000000003"/>
    <m/>
  </r>
  <r>
    <s v="DEBIT"/>
    <x v="1"/>
    <x v="14"/>
    <x v="10"/>
    <x v="58"/>
    <n v="20"/>
    <m/>
    <n v="12923.520000000004"/>
    <m/>
  </r>
  <r>
    <s v="DEBIT"/>
    <x v="1"/>
    <x v="14"/>
    <x v="17"/>
    <x v="59"/>
    <n v="1"/>
    <m/>
    <n v="12943.520000000004"/>
    <m/>
  </r>
  <r>
    <s v="DEBIT"/>
    <x v="1"/>
    <x v="14"/>
    <x v="17"/>
    <x v="59"/>
    <n v="4"/>
    <m/>
    <n v="12944.520000000004"/>
    <m/>
  </r>
  <r>
    <s v="DEBIT"/>
    <x v="1"/>
    <x v="14"/>
    <x v="17"/>
    <x v="60"/>
    <n v="5"/>
    <m/>
    <n v="12948.520000000004"/>
    <m/>
  </r>
  <r>
    <s v="DEBIT"/>
    <x v="1"/>
    <x v="14"/>
    <x v="4"/>
    <x v="61"/>
    <n v="15.81"/>
    <m/>
    <n v="12953.520000000004"/>
    <m/>
  </r>
  <r>
    <s v="DEBIT"/>
    <x v="1"/>
    <x v="14"/>
    <x v="10"/>
    <x v="62"/>
    <n v="66.92"/>
    <m/>
    <n v="12969.330000000004"/>
    <m/>
  </r>
  <r>
    <s v="DEBIT"/>
    <x v="1"/>
    <x v="14"/>
    <x v="10"/>
    <x v="63"/>
    <n v="63"/>
    <m/>
    <n v="13036.250000000004"/>
    <m/>
  </r>
  <r>
    <s v="DEBIT"/>
    <x v="1"/>
    <x v="14"/>
    <x v="12"/>
    <x v="64"/>
    <n v="4.87"/>
    <m/>
    <n v="13099.250000000004"/>
    <m/>
  </r>
  <r>
    <s v="CREDIT"/>
    <x v="1"/>
    <x v="14"/>
    <x v="10"/>
    <x v="65"/>
    <n v="-3"/>
    <m/>
    <n v="13104.120000000004"/>
    <m/>
  </r>
  <r>
    <s v="DEBIT"/>
    <x v="1"/>
    <x v="15"/>
    <x v="10"/>
    <x v="66"/>
    <n v="44.94"/>
    <m/>
    <n v="13101.120000000004"/>
    <m/>
  </r>
  <r>
    <s v="DEBIT"/>
    <x v="1"/>
    <x v="15"/>
    <x v="1"/>
    <x v="67"/>
    <n v="3.96"/>
    <m/>
    <n v="13146.060000000005"/>
    <m/>
  </r>
  <r>
    <s v="CREDIT"/>
    <x v="1"/>
    <x v="15"/>
    <x v="15"/>
    <x v="20"/>
    <n v="-3455.28"/>
    <m/>
    <n v="13150.020000000004"/>
    <m/>
  </r>
  <r>
    <s v="DSLIP"/>
    <x v="1"/>
    <x v="15"/>
    <x v="18"/>
    <x v="68"/>
    <n v="-1350"/>
    <m/>
    <n v="9694.7400000000034"/>
    <m/>
  </r>
  <r>
    <s v="DEBIT"/>
    <x v="1"/>
    <x v="15"/>
    <x v="1"/>
    <x v="69"/>
    <n v="5.13"/>
    <m/>
    <n v="8344.7400000000034"/>
    <m/>
  </r>
  <r>
    <s v="DEBIT"/>
    <x v="1"/>
    <x v="15"/>
    <x v="1"/>
    <x v="70"/>
    <n v="5.98"/>
    <m/>
    <n v="8349.8700000000026"/>
    <m/>
  </r>
  <r>
    <s v="DEBIT"/>
    <x v="1"/>
    <x v="15"/>
    <x v="12"/>
    <x v="71"/>
    <n v="4.82"/>
    <m/>
    <n v="8355.8500000000022"/>
    <m/>
  </r>
  <r>
    <s v="DEBIT"/>
    <x v="1"/>
    <x v="15"/>
    <x v="7"/>
    <x v="72"/>
    <n v="64.7"/>
    <m/>
    <n v="8360.6700000000019"/>
    <m/>
  </r>
  <r>
    <s v="DEBIT"/>
    <x v="1"/>
    <x v="15"/>
    <x v="1"/>
    <x v="73"/>
    <n v="3.96"/>
    <m/>
    <n v="8425.3700000000026"/>
    <m/>
  </r>
  <r>
    <s v="DEBIT"/>
    <x v="1"/>
    <x v="15"/>
    <x v="15"/>
    <x v="74"/>
    <n v="-3455.28"/>
    <m/>
    <n v="8429.3300000000017"/>
    <m/>
  </r>
  <r>
    <s v="DEBIT"/>
    <x v="1"/>
    <x v="16"/>
    <x v="7"/>
    <x v="75"/>
    <n v="36.67"/>
    <m/>
    <n v="4974.050000000002"/>
    <m/>
  </r>
  <r>
    <s v="DEBIT"/>
    <x v="1"/>
    <x v="16"/>
    <x v="12"/>
    <x v="76"/>
    <n v="4.2300000000000004"/>
    <m/>
    <n v="5010.7200000000021"/>
    <m/>
  </r>
  <r>
    <s v="DEBIT"/>
    <x v="1"/>
    <x v="16"/>
    <x v="1"/>
    <x v="77"/>
    <n v="5.34"/>
    <m/>
    <n v="5014.9500000000016"/>
    <m/>
  </r>
  <r>
    <s v="DEBIT"/>
    <x v="1"/>
    <x v="17"/>
    <x v="4"/>
    <x v="78"/>
    <n v="10.99"/>
    <m/>
    <n v="5020.2900000000018"/>
    <m/>
  </r>
  <r>
    <s v="DEBIT"/>
    <x v="1"/>
    <x v="17"/>
    <x v="1"/>
    <x v="79"/>
    <n v="35.71"/>
    <m/>
    <n v="5031.2800000000016"/>
    <m/>
  </r>
  <r>
    <s v="DEBIT"/>
    <x v="1"/>
    <x v="18"/>
    <x v="4"/>
    <x v="80"/>
    <n v="24.59"/>
    <m/>
    <n v="5066.9900000000016"/>
    <m/>
  </r>
  <r>
    <s v="DEBIT"/>
    <x v="1"/>
    <x v="18"/>
    <x v="12"/>
    <x v="81"/>
    <n v="2.68"/>
    <m/>
    <n v="5091.5800000000017"/>
    <m/>
  </r>
  <r>
    <s v="DEBIT"/>
    <x v="1"/>
    <x v="18"/>
    <x v="4"/>
    <x v="82"/>
    <n v="3.98"/>
    <m/>
    <n v="5094.260000000002"/>
    <m/>
  </r>
  <r>
    <s v="DEBIT"/>
    <x v="1"/>
    <x v="18"/>
    <x v="12"/>
    <x v="83"/>
    <n v="4.2300000000000004"/>
    <m/>
    <n v="5098.2400000000016"/>
    <m/>
  </r>
  <r>
    <s v="DEBIT"/>
    <x v="1"/>
    <x v="18"/>
    <x v="1"/>
    <x v="84"/>
    <n v="30.5"/>
    <m/>
    <n v="5102.4700000000012"/>
    <m/>
  </r>
  <r>
    <s v="DEBIT"/>
    <x v="1"/>
    <x v="19"/>
    <x v="2"/>
    <x v="85"/>
    <n v="100"/>
    <s v="DEBIT_CARD"/>
    <n v="5132.9700000000012"/>
    <m/>
  </r>
  <r>
    <s v="DEBIT"/>
    <x v="1"/>
    <x v="19"/>
    <x v="17"/>
    <x v="86"/>
    <n v="12.13"/>
    <s v="MISC_DEBIT"/>
    <n v="5232.9700000000012"/>
    <m/>
  </r>
  <r>
    <s v="DEBIT"/>
    <x v="1"/>
    <x v="19"/>
    <x v="1"/>
    <x v="87"/>
    <n v="36.76"/>
    <s v="MISC_DEBIT"/>
    <n v="5245.1000000000013"/>
    <m/>
  </r>
  <r>
    <s v="DEBIT"/>
    <x v="1"/>
    <x v="19"/>
    <x v="4"/>
    <x v="88"/>
    <n v="51.41"/>
    <s v="MISC_DEBIT"/>
    <n v="5281.8600000000015"/>
    <m/>
  </r>
  <r>
    <s v="DEBIT"/>
    <x v="1"/>
    <x v="19"/>
    <x v="12"/>
    <x v="5"/>
    <n v="4.55"/>
    <s v="MISC_DEBIT"/>
    <n v="5333.2700000000013"/>
    <m/>
  </r>
  <r>
    <s v="DEBIT"/>
    <x v="1"/>
    <x v="19"/>
    <x v="3"/>
    <x v="89"/>
    <n v="35.44"/>
    <s v="MISC_DEBIT"/>
    <n v="5337.8200000000015"/>
    <m/>
  </r>
  <r>
    <s v="DEBIT"/>
    <x v="1"/>
    <x v="19"/>
    <x v="12"/>
    <x v="90"/>
    <n v="7.64"/>
    <s v="MISC_DEBIT"/>
    <n v="5373.2600000000011"/>
    <m/>
  </r>
  <r>
    <s v="DEBIT"/>
    <x v="1"/>
    <x v="19"/>
    <x v="17"/>
    <x v="91"/>
    <n v="5"/>
    <s v="MISC_DEBIT"/>
    <n v="5380.9000000000015"/>
    <m/>
  </r>
  <r>
    <s v="DEBIT"/>
    <x v="1"/>
    <x v="19"/>
    <x v="1"/>
    <x v="92"/>
    <n v="26.5"/>
    <s v="MISC_DEBIT"/>
    <n v="5385.9000000000015"/>
    <m/>
  </r>
  <r>
    <s v="DEBIT"/>
    <x v="1"/>
    <x v="19"/>
    <x v="1"/>
    <x v="93"/>
    <n v="3.8"/>
    <s v="MISC_DEBIT"/>
    <n v="5412.4000000000015"/>
    <m/>
  </r>
  <r>
    <s v="DEBIT"/>
    <x v="1"/>
    <x v="19"/>
    <x v="12"/>
    <x v="5"/>
    <n v="8.2899999999999991"/>
    <s v="MISC_DEBIT"/>
    <n v="5416.2000000000016"/>
    <m/>
  </r>
  <r>
    <s v="DEBIT"/>
    <x v="1"/>
    <x v="20"/>
    <x v="7"/>
    <x v="94"/>
    <n v="21.66"/>
    <s v="MISC_DEBIT"/>
    <n v="5424.4900000000016"/>
    <m/>
  </r>
  <r>
    <s v="DEBIT"/>
    <x v="1"/>
    <x v="21"/>
    <x v="4"/>
    <x v="95"/>
    <n v="7.58"/>
    <s v="DEBIT_CARD"/>
    <n v="5446.1500000000015"/>
    <m/>
  </r>
  <r>
    <s v="DEBIT"/>
    <x v="1"/>
    <x v="21"/>
    <x v="1"/>
    <x v="96"/>
    <n v="40.770000000000003"/>
    <s v="DEBIT_CARD"/>
    <n v="5453.7300000000014"/>
    <m/>
  </r>
  <r>
    <s v="DEBIT"/>
    <x v="1"/>
    <x v="22"/>
    <x v="1"/>
    <x v="97"/>
    <n v="7.74"/>
    <s v="DEBIT_CARD"/>
    <n v="5486.760000000002"/>
    <m/>
  </r>
  <r>
    <s v="DEBIT"/>
    <x v="1"/>
    <x v="22"/>
    <x v="4"/>
    <x v="97"/>
    <n v="3.81"/>
    <s v="DEBIT_CARD"/>
    <n v="5494.5000000000018"/>
    <m/>
  </r>
  <r>
    <s v="DEBIT"/>
    <x v="1"/>
    <x v="22"/>
    <x v="1"/>
    <x v="98"/>
    <n v="23.02"/>
    <s v="DEBIT_CARD"/>
    <n v="5498.3100000000022"/>
    <m/>
  </r>
  <r>
    <s v="DEBIT"/>
    <x v="1"/>
    <x v="22"/>
    <x v="10"/>
    <x v="99"/>
    <n v="64.73"/>
    <s v="DEBIT_CARD"/>
    <n v="5521.3300000000027"/>
    <m/>
  </r>
  <r>
    <s v="DEBIT"/>
    <x v="1"/>
    <x v="23"/>
    <x v="3"/>
    <x v="100"/>
    <n v="34.520000000000003"/>
    <s v="DEBIT_CARD"/>
    <n v="5586.0600000000022"/>
    <m/>
  </r>
  <r>
    <s v="DEBIT"/>
    <x v="1"/>
    <x v="24"/>
    <x v="12"/>
    <x v="101"/>
    <n v="2.68"/>
    <s v="DEBIT_CARD"/>
    <n v="5620.5800000000027"/>
    <m/>
  </r>
  <r>
    <s v="DEBIT"/>
    <x v="1"/>
    <x v="24"/>
    <x v="12"/>
    <x v="102"/>
    <n v="4.2300000000000004"/>
    <s v="DEBIT_CARD"/>
    <n v="5623.2600000000029"/>
    <m/>
  </r>
  <r>
    <s v="DEBIT"/>
    <x v="1"/>
    <x v="24"/>
    <x v="17"/>
    <x v="103"/>
    <n v="1.3"/>
    <s v="DEBIT_CARD"/>
    <n v="5627.4900000000025"/>
    <m/>
  </r>
  <r>
    <s v="DEBIT"/>
    <x v="1"/>
    <x v="25"/>
    <x v="4"/>
    <x v="104"/>
    <n v="12.16"/>
    <s v="DEBIT_CARD"/>
    <n v="5628.7900000000027"/>
    <m/>
  </r>
  <r>
    <s v="DEBIT"/>
    <x v="1"/>
    <x v="25"/>
    <x v="2"/>
    <x v="85"/>
    <n v="100"/>
    <s v="DEBIT_CARD"/>
    <n v="5640.9500000000025"/>
    <m/>
  </r>
  <r>
    <s v="DEBIT"/>
    <x v="1"/>
    <x v="25"/>
    <x v="4"/>
    <x v="105"/>
    <n v="20.420000000000002"/>
    <s v="DEBIT_CARD"/>
    <n v="5740.9500000000025"/>
    <m/>
  </r>
  <r>
    <s v="DEBIT"/>
    <x v="1"/>
    <x v="25"/>
    <x v="12"/>
    <x v="106"/>
    <n v="2.6"/>
    <s v="DEBIT_CARD"/>
    <n v="5761.3700000000026"/>
    <m/>
  </r>
  <r>
    <s v="DEBIT"/>
    <x v="1"/>
    <x v="25"/>
    <x v="12"/>
    <x v="5"/>
    <n v="4.2300000000000004"/>
    <s v="DEBIT_CARD"/>
    <n v="5763.970000000003"/>
    <m/>
  </r>
  <r>
    <s v="DEBIT"/>
    <x v="1"/>
    <x v="25"/>
    <x v="7"/>
    <x v="107"/>
    <n v="12.6"/>
    <s v="DEBIT_CARD"/>
    <n v="5768.2000000000025"/>
    <m/>
  </r>
  <r>
    <s v="DEBIT"/>
    <x v="1"/>
    <x v="25"/>
    <x v="10"/>
    <x v="108"/>
    <n v="400"/>
    <s v="DEBIT_CARD"/>
    <n v="5780.8000000000029"/>
    <m/>
  </r>
  <r>
    <s v="DEBIT"/>
    <x v="1"/>
    <x v="25"/>
    <x v="1"/>
    <x v="92"/>
    <n v="45.22"/>
    <s v="DEBIT_CARD"/>
    <n v="6180.8000000000029"/>
    <m/>
  </r>
  <r>
    <s v="DEBIT"/>
    <x v="1"/>
    <x v="25"/>
    <x v="12"/>
    <x v="90"/>
    <n v="2.6"/>
    <s v="DEBIT_CARD"/>
    <n v="6226.0200000000032"/>
    <m/>
  </r>
  <r>
    <s v="DEBIT"/>
    <x v="1"/>
    <x v="25"/>
    <x v="17"/>
    <x v="35"/>
    <n v="8"/>
    <s v="DEBIT_CARD"/>
    <n v="6228.6200000000035"/>
    <m/>
  </r>
  <r>
    <s v="DEBIT"/>
    <x v="1"/>
    <x v="25"/>
    <x v="3"/>
    <x v="109"/>
    <n v="37.86"/>
    <s v="DEBIT_CARD"/>
    <n v="6236.6200000000035"/>
    <m/>
  </r>
  <r>
    <s v="DEBIT"/>
    <x v="1"/>
    <x v="25"/>
    <x v="1"/>
    <x v="88"/>
    <n v="6.95"/>
    <s v="DEBIT_CARD"/>
    <n v="6274.4800000000032"/>
    <m/>
  </r>
  <r>
    <s v="DEBIT"/>
    <x v="1"/>
    <x v="25"/>
    <x v="12"/>
    <x v="5"/>
    <n v="4.2300000000000004"/>
    <s v="DEBIT_CARD"/>
    <n v="6281.430000000003"/>
    <m/>
  </r>
  <r>
    <s v="DEBIT"/>
    <x v="1"/>
    <x v="26"/>
    <x v="14"/>
    <x v="38"/>
    <n v="21.63"/>
    <s v="DEBIT_CARD"/>
    <n v="6285.6600000000026"/>
    <m/>
  </r>
  <r>
    <s v="DEBIT"/>
    <x v="1"/>
    <x v="25"/>
    <x v="19"/>
    <x v="110"/>
    <n v="828.15"/>
    <s v="DEBIT_CARD"/>
    <n v="6307.2900000000027"/>
    <m/>
  </r>
  <r>
    <s v="DEBIT"/>
    <x v="1"/>
    <x v="27"/>
    <x v="1"/>
    <x v="111"/>
    <n v="3.99"/>
    <s v="DEBIT_CARD"/>
    <n v="7135.4400000000023"/>
    <m/>
  </r>
  <r>
    <s v="DEBIT"/>
    <x v="1"/>
    <x v="27"/>
    <x v="4"/>
    <x v="111"/>
    <n v="6.15"/>
    <s v="DEBIT_CARD"/>
    <n v="7139.4300000000021"/>
    <m/>
  </r>
  <r>
    <s v="DEBIT"/>
    <x v="1"/>
    <x v="27"/>
    <x v="15"/>
    <x v="20"/>
    <n v="-3455.27"/>
    <s v="DEBIT_CARD"/>
    <n v="7145.5800000000017"/>
    <m/>
  </r>
  <r>
    <s v="DEBIT"/>
    <x v="1"/>
    <x v="27"/>
    <x v="20"/>
    <x v="112"/>
    <n v="298"/>
    <s v="DEBIT_CARD"/>
    <n v="3690.3100000000013"/>
    <m/>
  </r>
  <r>
    <s v="DEBIT"/>
    <x v="1"/>
    <x v="27"/>
    <x v="11"/>
    <x v="113"/>
    <n v="47"/>
    <s v="DEBIT_CARD"/>
    <n v="3988.3100000000013"/>
    <m/>
  </r>
  <r>
    <s v="DEBIT"/>
    <x v="1"/>
    <x v="27"/>
    <x v="21"/>
    <x v="114"/>
    <n v="545"/>
    <s v="DEBIT_CARD"/>
    <n v="4035.3100000000013"/>
    <m/>
  </r>
  <r>
    <s v="DEBIT"/>
    <x v="1"/>
    <x v="27"/>
    <x v="14"/>
    <x v="115"/>
    <n v="21.63"/>
    <s v="DEBIT_CARD"/>
    <n v="4580.3100000000013"/>
    <m/>
  </r>
  <r>
    <s v="DEBIT"/>
    <x v="1"/>
    <x v="27"/>
    <x v="10"/>
    <x v="116"/>
    <n v="11"/>
    <s v="DEBIT_CARD"/>
    <n v="4601.9400000000014"/>
    <m/>
  </r>
  <r>
    <s v="CREDIT"/>
    <x v="2"/>
    <x v="28"/>
    <x v="10"/>
    <x v="14"/>
    <n v="-0.05"/>
    <s v="DEBIT_CARD"/>
    <n v="4612.9400000000014"/>
    <m/>
  </r>
  <r>
    <s v="DEBIT"/>
    <x v="2"/>
    <x v="28"/>
    <x v="7"/>
    <x v="117"/>
    <n v="200"/>
    <s v="DEBIT_CARD"/>
    <n v="4612.8900000000012"/>
    <m/>
  </r>
  <r>
    <s v="DEBIT"/>
    <x v="2"/>
    <x v="28"/>
    <x v="10"/>
    <x v="118"/>
    <n v="4.92"/>
    <s v="DEBIT_CARD"/>
    <n v="4812.8900000000012"/>
    <m/>
  </r>
  <r>
    <s v="DEBIT"/>
    <x v="2"/>
    <x v="28"/>
    <x v="1"/>
    <x v="119"/>
    <n v="4.96"/>
    <s v="DEBIT_CARD"/>
    <n v="4817.8100000000013"/>
    <m/>
  </r>
  <r>
    <s v="DEBIT"/>
    <x v="2"/>
    <x v="28"/>
    <x v="3"/>
    <x v="120"/>
    <n v="20.010000000000002"/>
    <s v="DEBIT_CARD"/>
    <n v="4822.7700000000013"/>
    <m/>
  </r>
  <r>
    <s v="DEBIT"/>
    <x v="2"/>
    <x v="29"/>
    <x v="1"/>
    <x v="121"/>
    <n v="16.28"/>
    <s v="DEBIT_CARD"/>
    <n v="4842.7800000000016"/>
    <m/>
  </r>
  <r>
    <s v="DEBIT"/>
    <x v="2"/>
    <x v="30"/>
    <x v="4"/>
    <x v="111"/>
    <n v="21.2"/>
    <s v="DEBIT_CARD"/>
    <n v="4859.0600000000013"/>
    <m/>
  </r>
  <r>
    <s v="DEBIT"/>
    <x v="2"/>
    <x v="30"/>
    <x v="0"/>
    <x v="122"/>
    <n v="22.99"/>
    <s v="DEBIT_CARD"/>
    <n v="4880.2600000000011"/>
    <m/>
  </r>
  <r>
    <s v="DEBIT"/>
    <x v="2"/>
    <x v="30"/>
    <x v="13"/>
    <x v="123"/>
    <n v="437.54"/>
    <s v="ACH_DEBIT"/>
    <n v="4903.2500000000009"/>
    <m/>
  </r>
  <r>
    <s v="DEBIT"/>
    <x v="2"/>
    <x v="30"/>
    <x v="1"/>
    <x v="124"/>
    <n v="34.11"/>
    <s v="MISC_DEBIT"/>
    <n v="5340.7900000000009"/>
    <m/>
  </r>
  <r>
    <s v="DEBIT"/>
    <x v="2"/>
    <x v="30"/>
    <x v="2"/>
    <x v="85"/>
    <n v="100"/>
    <s v="MISC_DEBIT"/>
    <n v="5374.9000000000005"/>
    <m/>
  </r>
  <r>
    <s v="DEBIT"/>
    <x v="2"/>
    <x v="30"/>
    <x v="4"/>
    <x v="105"/>
    <n v="71.429999999999993"/>
    <s v="MISC_DEBIT"/>
    <n v="5474.9000000000005"/>
    <s v="Groceries"/>
  </r>
  <r>
    <s v="DEBIT"/>
    <x v="2"/>
    <x v="30"/>
    <x v="10"/>
    <x v="105"/>
    <n v="38.92"/>
    <s v="MISC_DEBIT"/>
    <n v="5133.3300000000008"/>
    <s v="Juicer"/>
  </r>
  <r>
    <s v="DEBIT"/>
    <x v="2"/>
    <x v="30"/>
    <x v="1"/>
    <x v="125"/>
    <n v="13.78"/>
    <s v="MISC_DEBIT"/>
    <n v="5546.3300000000008"/>
    <m/>
  </r>
  <r>
    <s v="DEBIT"/>
    <x v="2"/>
    <x v="30"/>
    <x v="17"/>
    <x v="91"/>
    <n v="5.25"/>
    <s v="MISC_DEBIT"/>
    <n v="5560.1100000000006"/>
    <m/>
  </r>
  <r>
    <s v="DEBIT"/>
    <x v="2"/>
    <x v="30"/>
    <x v="3"/>
    <x v="126"/>
    <n v="25.04"/>
    <s v="MISC_DEBIT"/>
    <n v="5565.3600000000006"/>
    <m/>
  </r>
  <r>
    <s v="DEBIT"/>
    <x v="2"/>
    <x v="30"/>
    <x v="1"/>
    <x v="127"/>
    <n v="11.77"/>
    <s v="MISC_DEBIT"/>
    <n v="5590.4000000000005"/>
    <m/>
  </r>
  <r>
    <s v="DEBIT"/>
    <x v="2"/>
    <x v="30"/>
    <x v="12"/>
    <x v="5"/>
    <n v="4.55"/>
    <s v="MISC_DEBIT"/>
    <n v="5602.170000000001"/>
    <m/>
  </r>
  <r>
    <s v="DEBIT"/>
    <x v="2"/>
    <x v="30"/>
    <x v="22"/>
    <x v="128"/>
    <n v="75"/>
    <s v="MISC_DEBIT"/>
    <n v="5606.7200000000012"/>
    <m/>
  </r>
  <r>
    <s v="DEBIT"/>
    <x v="2"/>
    <x v="30"/>
    <x v="23"/>
    <x v="128"/>
    <n v="15"/>
    <s v="MISC_DEBIT"/>
    <n v="5591.7200000000012"/>
    <m/>
  </r>
  <r>
    <s v="DEBIT"/>
    <x v="2"/>
    <x v="30"/>
    <x v="22"/>
    <x v="129"/>
    <n v="5"/>
    <s v="MISC_DEBIT"/>
    <n v="5681.7200000000012"/>
    <m/>
  </r>
  <r>
    <s v="DEBIT"/>
    <x v="2"/>
    <x v="30"/>
    <x v="22"/>
    <x v="129"/>
    <n v="28.66"/>
    <s v="MISC_DEBIT"/>
    <n v="5686.7200000000012"/>
    <m/>
  </r>
  <r>
    <s v="DEBIT"/>
    <x v="2"/>
    <x v="30"/>
    <x v="23"/>
    <x v="130"/>
    <n v="10.75"/>
    <s v="MISC_DEBIT"/>
    <n v="5715.380000000001"/>
    <m/>
  </r>
  <r>
    <s v="DEBIT"/>
    <x v="2"/>
    <x v="30"/>
    <x v="23"/>
    <x v="129"/>
    <n v="1"/>
    <s v="MISC_DEBIT"/>
    <n v="5726.130000000001"/>
    <m/>
  </r>
  <r>
    <s v="DEBIT"/>
    <x v="2"/>
    <x v="30"/>
    <x v="23"/>
    <x v="129"/>
    <n v="7.03"/>
    <s v="MISC_DEBIT"/>
    <n v="5727.130000000001"/>
    <m/>
  </r>
  <r>
    <s v="DEBIT"/>
    <x v="2"/>
    <x v="30"/>
    <x v="23"/>
    <x v="129"/>
    <n v="1"/>
    <s v="MISC_DEBIT"/>
    <n v="5734.1600000000008"/>
    <m/>
  </r>
  <r>
    <s v="DEBIT"/>
    <x v="2"/>
    <x v="30"/>
    <x v="23"/>
    <x v="131"/>
    <n v="32.4"/>
    <s v="MISC_DEBIT"/>
    <n v="5735.1600000000008"/>
    <m/>
  </r>
  <r>
    <s v="DEBIT"/>
    <x v="2"/>
    <x v="30"/>
    <x v="23"/>
    <x v="129"/>
    <n v="8.2799999999999994"/>
    <s v="MISC_DEBIT"/>
    <n v="5767.56"/>
    <m/>
  </r>
  <r>
    <s v="DEBIT"/>
    <x v="2"/>
    <x v="30"/>
    <x v="23"/>
    <x v="132"/>
    <n v="6"/>
    <s v="MISC_DEBIT"/>
    <n v="5775.84"/>
    <m/>
  </r>
  <r>
    <s v="DEBIT"/>
    <x v="2"/>
    <x v="30"/>
    <x v="23"/>
    <x v="133"/>
    <n v="6.18"/>
    <s v="MISC_DEBIT"/>
    <n v="5781.84"/>
    <m/>
  </r>
  <r>
    <s v="DEBIT"/>
    <x v="2"/>
    <x v="30"/>
    <x v="23"/>
    <x v="134"/>
    <n v="2.35"/>
    <s v="MISC_DEBIT"/>
    <n v="5788.02"/>
    <m/>
  </r>
  <r>
    <s v="DEBIT"/>
    <x v="2"/>
    <x v="30"/>
    <x v="23"/>
    <x v="135"/>
    <n v="5.94"/>
    <s v="MISC_DEBIT"/>
    <n v="5790.3700000000008"/>
    <m/>
  </r>
  <r>
    <s v="DEBIT"/>
    <x v="2"/>
    <x v="30"/>
    <x v="22"/>
    <x v="136"/>
    <n v="7.7"/>
    <s v="MISC_DEBIT"/>
    <n v="5796.31"/>
    <m/>
  </r>
  <r>
    <s v="DEBIT"/>
    <x v="2"/>
    <x v="30"/>
    <x v="23"/>
    <x v="137"/>
    <n v="7"/>
    <s v="MISC_DEBIT"/>
    <n v="5804.01"/>
    <m/>
  </r>
  <r>
    <s v="DEBIT"/>
    <x v="2"/>
    <x v="30"/>
    <x v="23"/>
    <x v="138"/>
    <n v="11.88"/>
    <s v="MISC_DEBIT"/>
    <n v="5811.01"/>
    <m/>
  </r>
  <r>
    <s v="DEBIT"/>
    <x v="2"/>
    <x v="30"/>
    <x v="23"/>
    <x v="132"/>
    <n v="6.4"/>
    <s v="MISC_DEBIT"/>
    <n v="5822.89"/>
    <m/>
  </r>
  <r>
    <s v="DEBIT"/>
    <x v="2"/>
    <x v="30"/>
    <x v="23"/>
    <x v="133"/>
    <n v="12"/>
    <s v="MISC_DEBIT"/>
    <n v="5829.29"/>
    <m/>
  </r>
  <r>
    <s v="DEBIT"/>
    <x v="2"/>
    <x v="30"/>
    <x v="23"/>
    <x v="139"/>
    <n v="23"/>
    <s v="MISC_DEBIT"/>
    <n v="5841.29"/>
    <m/>
  </r>
  <r>
    <s v="DEBIT"/>
    <x v="2"/>
    <x v="30"/>
    <x v="23"/>
    <x v="140"/>
    <n v="3.66"/>
    <s v="MISC_DEBIT"/>
    <n v="5864.29"/>
    <m/>
  </r>
  <r>
    <s v="DEBIT"/>
    <x v="2"/>
    <x v="30"/>
    <x v="23"/>
    <x v="141"/>
    <n v="20"/>
    <s v="MISC_DEBIT"/>
    <n v="5867.95"/>
    <m/>
  </r>
  <r>
    <s v="DEBIT"/>
    <x v="2"/>
    <x v="30"/>
    <x v="23"/>
    <x v="142"/>
    <n v="3.25"/>
    <s v="MISC_DEBIT"/>
    <n v="5887.95"/>
    <m/>
  </r>
  <r>
    <s v="DEBIT"/>
    <x v="2"/>
    <x v="30"/>
    <x v="23"/>
    <x v="132"/>
    <n v="6.4"/>
    <s v="MISC_DEBIT"/>
    <n v="5891.2"/>
    <m/>
  </r>
  <r>
    <s v="DEBIT"/>
    <x v="2"/>
    <x v="30"/>
    <x v="23"/>
    <x v="130"/>
    <n v="10.75"/>
    <s v="MISC_DEBIT"/>
    <n v="5897.5999999999995"/>
    <m/>
  </r>
  <r>
    <s v="DEBIT"/>
    <x v="2"/>
    <x v="30"/>
    <x v="23"/>
    <x v="142"/>
    <n v="6.5"/>
    <s v="MISC_DEBIT"/>
    <n v="5908.3499999999995"/>
    <m/>
  </r>
  <r>
    <s v="DEBIT"/>
    <x v="2"/>
    <x v="30"/>
    <x v="23"/>
    <x v="132"/>
    <n v="6"/>
    <s v="MISC_DEBIT"/>
    <n v="5914.8499999999995"/>
    <m/>
  </r>
  <r>
    <s v="DEBIT"/>
    <x v="2"/>
    <x v="30"/>
    <x v="23"/>
    <x v="143"/>
    <n v="8.9700000000000006"/>
    <s v="MISC_DEBIT"/>
    <n v="5920.8499999999995"/>
    <m/>
  </r>
  <r>
    <s v="DEBIT"/>
    <x v="2"/>
    <x v="30"/>
    <x v="23"/>
    <x v="144"/>
    <n v="3.5"/>
    <s v="MISC_DEBIT"/>
    <n v="5929.82"/>
    <m/>
  </r>
  <r>
    <s v="DEBIT"/>
    <x v="2"/>
    <x v="31"/>
    <x v="22"/>
    <x v="145"/>
    <n v="575.30000000000007"/>
    <s v="MISC_DEBIT"/>
    <n v="5933.32"/>
    <s v="DONE"/>
  </r>
  <r>
    <s v="DEBIT"/>
    <x v="2"/>
    <x v="31"/>
    <x v="23"/>
    <x v="145"/>
    <n v="287.64999999999998"/>
    <s v="MISC_DEBIT"/>
    <n v="5645.67"/>
    <m/>
  </r>
  <r>
    <s v="DEBIT"/>
    <x v="2"/>
    <x v="31"/>
    <x v="22"/>
    <x v="146"/>
    <n v="19.809999999999999"/>
    <s v="MISC_DEBIT"/>
    <n v="6508.62"/>
    <m/>
  </r>
  <r>
    <s v="DEBIT"/>
    <x v="2"/>
    <x v="31"/>
    <x v="22"/>
    <x v="146"/>
    <n v="19.75"/>
    <s v="MISC_DEBIT"/>
    <n v="6528.43"/>
    <m/>
  </r>
  <r>
    <s v="DEBIT"/>
    <x v="2"/>
    <x v="31"/>
    <x v="22"/>
    <x v="145"/>
    <n v="13.99"/>
    <s v="MISC_DEBIT"/>
    <n v="6548.18"/>
    <m/>
  </r>
  <r>
    <s v="DEBIT"/>
    <x v="2"/>
    <x v="31"/>
    <x v="22"/>
    <x v="146"/>
    <n v="12.38"/>
    <s v="MISC_DEBIT"/>
    <n v="6562.17"/>
    <m/>
  </r>
  <r>
    <s v="DEBIT"/>
    <x v="2"/>
    <x v="31"/>
    <x v="22"/>
    <x v="147"/>
    <n v="12"/>
    <s v="MISC_DEBIT"/>
    <n v="6574.55"/>
    <s v="Thur night (dinner)"/>
  </r>
  <r>
    <s v="DEBIT"/>
    <x v="2"/>
    <x v="31"/>
    <x v="22"/>
    <x v="146"/>
    <n v="11.36"/>
    <s v="MISC_DEBIT"/>
    <n v="6586.55"/>
    <m/>
  </r>
  <r>
    <s v="DEBIT"/>
    <x v="2"/>
    <x v="31"/>
    <x v="22"/>
    <x v="146"/>
    <n v="8.59"/>
    <s v="MISC_DEBIT"/>
    <n v="6597.91"/>
    <s v="DONE"/>
  </r>
  <r>
    <s v="DEBIT"/>
    <x v="2"/>
    <x v="31"/>
    <x v="22"/>
    <x v="146"/>
    <n v="7.27"/>
    <s v="MISC_DEBIT"/>
    <n v="6606.5"/>
    <s v="DONE"/>
  </r>
  <r>
    <s v="DEBIT"/>
    <x v="2"/>
    <x v="31"/>
    <x v="22"/>
    <x v="148"/>
    <n v="6.07"/>
    <s v="MISC_DEBIT"/>
    <n v="6613.77"/>
    <s v="DONE"/>
  </r>
  <r>
    <s v="DEBIT"/>
    <x v="2"/>
    <x v="31"/>
    <x v="22"/>
    <x v="149"/>
    <n v="5"/>
    <s v="MISC_DEBIT"/>
    <n v="6619.84"/>
    <m/>
  </r>
  <r>
    <s v="DEBIT"/>
    <x v="2"/>
    <x v="31"/>
    <x v="23"/>
    <x v="150"/>
    <n v="4.09"/>
    <s v="MISC_DEBIT"/>
    <n v="6624.84"/>
    <s v="Snack"/>
  </r>
  <r>
    <s v="DEBIT"/>
    <x v="2"/>
    <x v="31"/>
    <x v="22"/>
    <x v="146"/>
    <n v="2"/>
    <s v="MISC_DEBIT"/>
    <n v="6628.93"/>
    <s v="DONE"/>
  </r>
  <r>
    <s v="DEBIT"/>
    <x v="2"/>
    <x v="31"/>
    <x v="22"/>
    <x v="146"/>
    <n v="2"/>
    <s v="MISC_DEBIT"/>
    <n v="6630.93"/>
    <s v="DONE"/>
  </r>
  <r>
    <s v="DEBIT"/>
    <x v="2"/>
    <x v="31"/>
    <x v="22"/>
    <x v="146"/>
    <n v="2"/>
    <s v="MISC_DEBIT"/>
    <n v="6632.93"/>
    <s v="DONE"/>
  </r>
  <r>
    <s v="DEBIT"/>
    <x v="2"/>
    <x v="31"/>
    <x v="22"/>
    <x v="146"/>
    <n v="2"/>
    <s v="MISC_DEBIT"/>
    <n v="6634.93"/>
    <s v="DONE"/>
  </r>
  <r>
    <s v="DEBIT"/>
    <x v="2"/>
    <x v="31"/>
    <x v="22"/>
    <x v="148"/>
    <n v="1.98"/>
    <s v="MISC_DEBIT"/>
    <n v="6636.93"/>
    <s v="DONE"/>
  </r>
  <r>
    <s v="DEBIT"/>
    <x v="2"/>
    <x v="32"/>
    <x v="22"/>
    <x v="151"/>
    <n v="41.23"/>
    <s v="DEBIT_CARD"/>
    <n v="6638.91"/>
    <s v="DONE"/>
  </r>
  <r>
    <s v="DEBIT"/>
    <x v="2"/>
    <x v="32"/>
    <x v="22"/>
    <x v="152"/>
    <n v="1.7"/>
    <s v="DEBIT_CARD"/>
    <n v="6680.14"/>
    <s v="DONE"/>
  </r>
  <r>
    <s v="DEBIT"/>
    <x v="2"/>
    <x v="32"/>
    <x v="22"/>
    <x v="152"/>
    <n v="5.61"/>
    <s v="DEBIT_CARD"/>
    <n v="6681.84"/>
    <s v="DONE"/>
  </r>
  <r>
    <s v="DEBIT"/>
    <x v="2"/>
    <x v="32"/>
    <x v="22"/>
    <x v="153"/>
    <n v="2"/>
    <s v="DEBIT_CARD"/>
    <n v="6687.45"/>
    <s v="Thur morning"/>
  </r>
  <r>
    <s v="DEBIT"/>
    <x v="2"/>
    <x v="32"/>
    <x v="22"/>
    <x v="153"/>
    <n v="19.48"/>
    <s v="DEBIT_CARD"/>
    <n v="6689.45"/>
    <s v="Thur morning"/>
  </r>
  <r>
    <s v="DEBIT"/>
    <x v="2"/>
    <x v="32"/>
    <x v="22"/>
    <x v="154"/>
    <n v="16.09"/>
    <s v="DEBIT_CARD"/>
    <n v="6708.93"/>
    <s v="DONE"/>
  </r>
  <r>
    <s v="DEBIT"/>
    <x v="2"/>
    <x v="32"/>
    <x v="22"/>
    <x v="155"/>
    <n v="575.29999999999995"/>
    <s v="DEBIT_CARD"/>
    <n v="6725.02"/>
    <s v="DONE"/>
  </r>
  <r>
    <s v="DEBIT"/>
    <x v="2"/>
    <x v="33"/>
    <x v="22"/>
    <x v="156"/>
    <n v="33.43"/>
    <s v="DEBIT_CARD"/>
    <n v="7300.32"/>
    <s v="DONE"/>
  </r>
  <r>
    <s v="DEBIT"/>
    <x v="2"/>
    <x v="33"/>
    <x v="22"/>
    <x v="157"/>
    <n v="5"/>
    <s v="DEBIT_CARD"/>
    <n v="7333.75"/>
    <s v="Wed night"/>
  </r>
  <r>
    <s v="DEBIT"/>
    <x v="2"/>
    <x v="33"/>
    <x v="22"/>
    <x v="157"/>
    <n v="20.41"/>
    <s v="DEBIT_CARD"/>
    <n v="7338.75"/>
    <s v="Wed night"/>
  </r>
  <r>
    <s v="DEBIT"/>
    <x v="2"/>
    <x v="33"/>
    <x v="22"/>
    <x v="158"/>
    <n v="1.7"/>
    <s v="DEBIT_CARD"/>
    <n v="7359.16"/>
    <s v="lunch"/>
  </r>
  <r>
    <s v="DEBIT"/>
    <x v="2"/>
    <x v="33"/>
    <x v="23"/>
    <x v="159"/>
    <n v="3"/>
    <s v="DEBIT_CARD"/>
    <n v="7360.86"/>
    <m/>
  </r>
  <r>
    <s v="DEBIT"/>
    <x v="2"/>
    <x v="33"/>
    <x v="22"/>
    <x v="158"/>
    <n v="14.59"/>
    <s v="DEBIT_CARD"/>
    <n v="7363.86"/>
    <s v="lunch"/>
  </r>
  <r>
    <s v="DEBIT"/>
    <x v="2"/>
    <x v="33"/>
    <x v="22"/>
    <x v="160"/>
    <n v="19.05"/>
    <s v="DEBIT_CARD"/>
    <n v="7378.45"/>
    <s v="Wed morning"/>
  </r>
  <r>
    <s v="DEBIT"/>
    <x v="2"/>
    <x v="33"/>
    <x v="22"/>
    <x v="161"/>
    <n v="16.489999999999998"/>
    <s v="DEBIT_CARD"/>
    <n v="7397.5"/>
    <s v="DONE"/>
  </r>
  <r>
    <s v="DEBIT"/>
    <x v="2"/>
    <x v="33"/>
    <x v="22"/>
    <x v="162"/>
    <n v="10.81"/>
    <s v="DEBIT_CARD"/>
    <n v="7413.99"/>
    <s v="Tue night"/>
  </r>
  <r>
    <s v="DEBIT"/>
    <x v="2"/>
    <x v="33"/>
    <x v="22"/>
    <x v="163"/>
    <n v="8.16"/>
    <s v="DEBIT_CARD"/>
    <n v="7424.8"/>
    <s v="Tue night"/>
  </r>
  <r>
    <s v="DEBIT"/>
    <x v="2"/>
    <x v="34"/>
    <x v="10"/>
    <x v="164"/>
    <n v="14.99"/>
    <s v="DEBIT_CARD"/>
    <n v="7432.96"/>
    <s v="shorts"/>
  </r>
  <r>
    <s v="DEBIT"/>
    <x v="2"/>
    <x v="34"/>
    <x v="22"/>
    <x v="165"/>
    <n v="5"/>
    <s v="DEBIT_CARD"/>
    <n v="7447.95"/>
    <s v="Tue night"/>
  </r>
  <r>
    <s v="DEBIT"/>
    <x v="2"/>
    <x v="34"/>
    <x v="22"/>
    <x v="163"/>
    <n v="3.61"/>
    <s v="DEBIT_CARD"/>
    <n v="7452.95"/>
    <s v="Tue night"/>
  </r>
  <r>
    <s v="DEBIT"/>
    <x v="2"/>
    <x v="34"/>
    <x v="22"/>
    <x v="166"/>
    <n v="2"/>
    <s v="DEBIT_CARD"/>
    <n v="7456.56"/>
    <s v="Tue night"/>
  </r>
  <r>
    <s v="DEBIT"/>
    <x v="2"/>
    <x v="34"/>
    <x v="22"/>
    <x v="166"/>
    <n v="15.26"/>
    <s v="DEBIT_CARD"/>
    <n v="7458.56"/>
    <s v="Tue night"/>
  </r>
  <r>
    <s v="DEBIT"/>
    <x v="2"/>
    <x v="34"/>
    <x v="22"/>
    <x v="167"/>
    <n v="18.190000000000001"/>
    <s v="DEBIT_CARD"/>
    <n v="7473.82"/>
    <s v="DONE"/>
  </r>
  <r>
    <s v="DEBIT"/>
    <x v="2"/>
    <x v="34"/>
    <x v="14"/>
    <x v="168"/>
    <n v="6.65"/>
    <s v="DEBIT_CARD"/>
    <n v="7492.01"/>
    <m/>
  </r>
  <r>
    <s v="DEBIT"/>
    <x v="2"/>
    <x v="35"/>
    <x v="1"/>
    <x v="169"/>
    <n v="33"/>
    <s v="DEBIT_CARD"/>
    <n v="7498.66"/>
    <m/>
  </r>
  <r>
    <s v="DEBIT"/>
    <x v="2"/>
    <x v="36"/>
    <x v="10"/>
    <x v="170"/>
    <n v="42.78"/>
    <s v="DEBIT_CARD"/>
    <n v="7531.66"/>
    <m/>
  </r>
  <r>
    <s v="DEBIT"/>
    <x v="2"/>
    <x v="36"/>
    <x v="10"/>
    <x v="171"/>
    <n v="41.38"/>
    <s v="MISC_DEBIT"/>
    <n v="7552.82"/>
    <m/>
  </r>
  <r>
    <s v="DEBIT"/>
    <x v="2"/>
    <x v="36"/>
    <x v="7"/>
    <x v="172"/>
    <n v="52.96"/>
    <s v="MISC_DEBIT"/>
    <n v="7594.2"/>
    <m/>
  </r>
  <r>
    <s v="DEBIT"/>
    <x v="2"/>
    <x v="36"/>
    <x v="7"/>
    <x v="173"/>
    <n v="5.89"/>
    <s v="MISC_DEBIT"/>
    <n v="7647.16"/>
    <m/>
  </r>
  <r>
    <s v="DEBIT"/>
    <x v="2"/>
    <x v="36"/>
    <x v="7"/>
    <x v="174"/>
    <n v="50.24"/>
    <s v="MISC_DEBIT"/>
    <n v="7653.05"/>
    <m/>
  </r>
  <r>
    <s v="DEBIT"/>
    <x v="2"/>
    <x v="36"/>
    <x v="1"/>
    <x v="92"/>
    <n v="28.62"/>
    <s v="MISC_DEBIT"/>
    <n v="7703.29"/>
    <m/>
  </r>
  <r>
    <s v="DEBIT"/>
    <x v="2"/>
    <x v="36"/>
    <x v="17"/>
    <x v="34"/>
    <n v="2.25"/>
    <s v="MISC_DEBIT"/>
    <n v="7731.91"/>
    <m/>
  </r>
  <r>
    <s v="DEBIT"/>
    <x v="2"/>
    <x v="36"/>
    <x v="3"/>
    <x v="175"/>
    <n v="30.11"/>
    <s v="MISC_DEBIT"/>
    <n v="7734.16"/>
    <m/>
  </r>
  <r>
    <s v="DEBIT"/>
    <x v="2"/>
    <x v="36"/>
    <x v="12"/>
    <x v="90"/>
    <n v="4.8499999999999996"/>
    <s v="MISC_DEBIT"/>
    <n v="7764.2699999999995"/>
    <m/>
  </r>
  <r>
    <s v="DEBIT"/>
    <x v="2"/>
    <x v="36"/>
    <x v="12"/>
    <x v="5"/>
    <n v="4.55"/>
    <s v="MISC_DEBIT"/>
    <n v="7769.12"/>
    <m/>
  </r>
  <r>
    <s v="DEBIT"/>
    <x v="2"/>
    <x v="37"/>
    <x v="10"/>
    <x v="176"/>
    <n v="28"/>
    <s v="MISC_DEBIT"/>
    <n v="7773.67"/>
    <m/>
  </r>
  <r>
    <s v="DEBIT"/>
    <x v="2"/>
    <x v="38"/>
    <x v="12"/>
    <x v="177"/>
    <n v="3.48"/>
    <s v="DEBIT_CARD"/>
    <n v="7801.67"/>
    <m/>
  </r>
  <r>
    <s v="DEBIT"/>
    <x v="2"/>
    <x v="38"/>
    <x v="1"/>
    <x v="178"/>
    <n v="27.52"/>
    <s v="DEBIT_CARD"/>
    <n v="7805.15"/>
    <m/>
  </r>
  <r>
    <s v="DEBIT"/>
    <x v="2"/>
    <x v="38"/>
    <x v="12"/>
    <x v="179"/>
    <n v="1.86"/>
    <s v="DEBIT_CARD"/>
    <n v="7832.67"/>
    <m/>
  </r>
  <r>
    <s v="CREDIT"/>
    <x v="2"/>
    <x v="38"/>
    <x v="15"/>
    <x v="20"/>
    <n v="-3455.28"/>
    <s v="ACH_CREDIT"/>
    <n v="7834.53"/>
    <m/>
  </r>
  <r>
    <s v="DEBIT"/>
    <x v="2"/>
    <x v="39"/>
    <x v="4"/>
    <x v="180"/>
    <n v="18.97"/>
    <s v="DEBIT_CARD"/>
    <n v="4379.25"/>
    <m/>
  </r>
  <r>
    <s v="DEBIT"/>
    <x v="2"/>
    <x v="39"/>
    <x v="7"/>
    <x v="181"/>
    <n v="16.55"/>
    <s v="DEBIT_CARD"/>
    <n v="4398.22"/>
    <m/>
  </r>
  <r>
    <s v="DEBIT"/>
    <x v="2"/>
    <x v="39"/>
    <x v="7"/>
    <x v="182"/>
    <n v="7"/>
    <s v="DEBIT_CARD"/>
    <n v="4414.7700000000004"/>
    <m/>
  </r>
  <r>
    <s v="DEBIT"/>
    <x v="2"/>
    <x v="40"/>
    <x v="10"/>
    <x v="183"/>
    <n v="24.44"/>
    <s v="DEBIT_CARD"/>
    <n v="4421.7700000000004"/>
    <m/>
  </r>
  <r>
    <s v="DEBIT"/>
    <x v="2"/>
    <x v="40"/>
    <x v="22"/>
    <x v="184"/>
    <n v="4.3499999999999996"/>
    <s v="DEBIT_CARD"/>
    <n v="4446.21"/>
    <m/>
  </r>
  <r>
    <s v="DEBIT"/>
    <x v="2"/>
    <x v="40"/>
    <x v="22"/>
    <x v="184"/>
    <n v="1.6"/>
    <s v="DEBIT_CARD"/>
    <n v="4450.5600000000004"/>
    <m/>
  </r>
  <r>
    <s v="DEBIT"/>
    <x v="2"/>
    <x v="41"/>
    <x v="2"/>
    <x v="185"/>
    <n v="100"/>
    <s v="ATM"/>
    <n v="4452.16"/>
    <m/>
  </r>
  <r>
    <s v="DEBIT"/>
    <x v="2"/>
    <x v="41"/>
    <x v="4"/>
    <x v="111"/>
    <n v="40.380000000000003"/>
    <s v="DEBIT_CARD"/>
    <n v="4552.16"/>
    <m/>
  </r>
  <r>
    <s v="DEBIT"/>
    <x v="2"/>
    <x v="41"/>
    <x v="22"/>
    <x v="186"/>
    <n v="30"/>
    <s v="DEBIT_CARD"/>
    <n v="4592.54"/>
    <m/>
  </r>
  <r>
    <s v="DEBIT"/>
    <x v="2"/>
    <x v="41"/>
    <x v="22"/>
    <x v="187"/>
    <n v="34.14"/>
    <s v="DEBIT_CARD"/>
    <n v="4622.54"/>
    <m/>
  </r>
  <r>
    <s v="DEBIT"/>
    <x v="2"/>
    <x v="41"/>
    <x v="22"/>
    <x v="188"/>
    <n v="149.47999999999999"/>
    <s v="DEBIT_CARD"/>
    <n v="4656.68"/>
    <m/>
  </r>
  <r>
    <s v="DEBIT"/>
    <x v="2"/>
    <x v="41"/>
    <x v="1"/>
    <x v="189"/>
    <n v="34.68"/>
    <s v="DEBIT_CARD"/>
    <n v="4806.16"/>
    <m/>
  </r>
  <r>
    <s v="DEBIT"/>
    <x v="2"/>
    <x v="42"/>
    <x v="22"/>
    <x v="190"/>
    <n v="2.73"/>
    <s v="DEBIT_CARD"/>
    <n v="4840.84"/>
    <m/>
  </r>
  <r>
    <s v="DEBIT"/>
    <x v="2"/>
    <x v="42"/>
    <x v="22"/>
    <x v="191"/>
    <n v="12.69"/>
    <s v="DEBIT_CARD"/>
    <n v="4843.57"/>
    <m/>
  </r>
  <r>
    <s v="DEBIT"/>
    <x v="2"/>
    <x v="42"/>
    <x v="3"/>
    <x v="192"/>
    <n v="36.700000000000003"/>
    <s v="DEBIT_CARD"/>
    <n v="4856.26"/>
    <m/>
  </r>
  <r>
    <s v="DEBIT"/>
    <x v="2"/>
    <x v="42"/>
    <x v="12"/>
    <x v="193"/>
    <n v="2.6"/>
    <s v="DEBIT_CARD"/>
    <n v="4892.96"/>
    <m/>
  </r>
  <r>
    <s v="DEBIT"/>
    <x v="2"/>
    <x v="42"/>
    <x v="4"/>
    <x v="194"/>
    <n v="35.51"/>
    <s v="DEBIT_CARD"/>
    <n v="4895.5600000000004"/>
    <m/>
  </r>
  <r>
    <s v="DEBIT"/>
    <x v="2"/>
    <x v="42"/>
    <x v="7"/>
    <x v="195"/>
    <n v="6.95"/>
    <s v="DEBIT_CARD"/>
    <n v="4931.07"/>
    <m/>
  </r>
  <r>
    <s v="DEBIT"/>
    <x v="2"/>
    <x v="42"/>
    <x v="12"/>
    <x v="196"/>
    <n v="4.55"/>
    <s v="DEBIT_CARD"/>
    <n v="4938.0200000000004"/>
    <m/>
  </r>
  <r>
    <s v="DEBIT"/>
    <x v="2"/>
    <x v="43"/>
    <x v="0"/>
    <x v="122"/>
    <n v="22.75"/>
    <s v="DEBIT_CARD"/>
    <n v="4942.57"/>
    <m/>
  </r>
  <r>
    <s v="DEBIT"/>
    <x v="2"/>
    <x v="43"/>
    <x v="1"/>
    <x v="197"/>
    <n v="27.94"/>
    <s v="DEBIT_CARD"/>
    <n v="4965.32"/>
    <m/>
  </r>
  <r>
    <s v="DEBIT"/>
    <x v="2"/>
    <x v="44"/>
    <x v="4"/>
    <x v="198"/>
    <n v="23.67"/>
    <s v="DEBIT_CARD"/>
    <n v="4993.26"/>
    <m/>
  </r>
  <r>
    <s v="DEBIT"/>
    <x v="2"/>
    <x v="44"/>
    <x v="7"/>
    <x v="199"/>
    <n v="16.55"/>
    <s v="DEBIT_CARD"/>
    <n v="5016.93"/>
    <m/>
  </r>
  <r>
    <s v="DEBIT"/>
    <x v="2"/>
    <x v="45"/>
    <x v="2"/>
    <x v="200"/>
    <n v="100"/>
    <s v="ATM"/>
    <n v="5033.4799999999996"/>
    <m/>
  </r>
  <r>
    <s v="DEBIT"/>
    <x v="2"/>
    <x v="45"/>
    <x v="1"/>
    <x v="201"/>
    <n v="42.16"/>
    <s v="DEBIT_CARD"/>
    <n v="5133.4799999999996"/>
    <m/>
  </r>
  <r>
    <s v="DEBIT"/>
    <x v="2"/>
    <x v="45"/>
    <x v="1"/>
    <x v="202"/>
    <n v="14"/>
    <s v="DEBIT_CARD"/>
    <n v="5175.6400000000003"/>
    <m/>
  </r>
  <r>
    <s v="DEBIT"/>
    <x v="2"/>
    <x v="46"/>
    <x v="24"/>
    <x v="203"/>
    <n v="40"/>
    <s v="DEBIT_CARD"/>
    <n v="5189.6400000000003"/>
    <m/>
  </r>
  <r>
    <s v="DEBIT"/>
    <x v="2"/>
    <x v="46"/>
    <x v="4"/>
    <x v="204"/>
    <n v="11.34"/>
    <s v="DEBIT_CARD"/>
    <n v="5229.6400000000003"/>
    <m/>
  </r>
  <r>
    <s v="DEBIT"/>
    <x v="2"/>
    <x v="46"/>
    <x v="1"/>
    <x v="205"/>
    <n v="14.92"/>
    <s v="DEBIT_CARD"/>
    <n v="5240.9799999999996"/>
    <m/>
  </r>
  <r>
    <s v="DEBIT"/>
    <x v="2"/>
    <x v="46"/>
    <x v="1"/>
    <x v="206"/>
    <n v="31.56"/>
    <s v="DEBIT_CARD"/>
    <n v="5255.9"/>
    <m/>
  </r>
  <r>
    <s v="DEBIT"/>
    <x v="2"/>
    <x v="47"/>
    <x v="4"/>
    <x v="207"/>
    <n v="25.009999999999998"/>
    <s v="DEBIT_CARD"/>
    <n v="5287.46"/>
    <m/>
  </r>
  <r>
    <s v="DEBIT"/>
    <x v="2"/>
    <x v="47"/>
    <x v="24"/>
    <x v="207"/>
    <n v="20"/>
    <s v="DEBIT_CARD"/>
    <n v="5287.46"/>
    <m/>
  </r>
  <r>
    <s v="DEBIT"/>
    <x v="2"/>
    <x v="47"/>
    <x v="17"/>
    <x v="208"/>
    <n v="4"/>
    <s v="DEBIT_CARD"/>
    <n v="5332.47"/>
    <m/>
  </r>
  <r>
    <s v="DEBIT"/>
    <x v="2"/>
    <x v="47"/>
    <x v="12"/>
    <x v="209"/>
    <n v="2.6"/>
    <s v="DEBIT_CARD"/>
    <n v="5336.47"/>
    <m/>
  </r>
  <r>
    <s v="DEBIT"/>
    <x v="2"/>
    <x v="47"/>
    <x v="12"/>
    <x v="209"/>
    <n v="2.6"/>
    <s v="DEBIT_CARD"/>
    <n v="5339.07"/>
    <m/>
  </r>
  <r>
    <s v="DEBIT"/>
    <x v="2"/>
    <x v="47"/>
    <x v="7"/>
    <x v="210"/>
    <n v="26.81"/>
    <s v="DEBIT_CARD"/>
    <n v="5341.67"/>
    <m/>
  </r>
  <r>
    <s v="DEBIT"/>
    <x v="2"/>
    <x v="47"/>
    <x v="4"/>
    <x v="211"/>
    <n v="32.090000000000003"/>
    <s v="DEBIT_CARD"/>
    <n v="5368.48"/>
    <m/>
  </r>
  <r>
    <s v="DEBIT"/>
    <x v="2"/>
    <x v="47"/>
    <x v="24"/>
    <x v="211"/>
    <n v="20"/>
    <s v="DEBIT_CARD"/>
    <n v="5368.48"/>
    <m/>
  </r>
  <r>
    <s v="DEBIT"/>
    <x v="2"/>
    <x v="47"/>
    <x v="12"/>
    <x v="212"/>
    <n v="3.75"/>
    <s v="DEBIT_CARD"/>
    <n v="5420.57"/>
    <m/>
  </r>
  <r>
    <s v="DEBIT"/>
    <x v="2"/>
    <x v="47"/>
    <x v="12"/>
    <x v="213"/>
    <n v="4.55"/>
    <s v="DEBIT_CARD"/>
    <n v="5424.32"/>
    <m/>
  </r>
  <r>
    <s v="DEBIT"/>
    <x v="2"/>
    <x v="47"/>
    <x v="1"/>
    <x v="214"/>
    <n v="46.13"/>
    <s v="DEBIT_CARD"/>
    <n v="5428.87"/>
    <m/>
  </r>
  <r>
    <s v="DEBIT"/>
    <x v="2"/>
    <x v="48"/>
    <x v="3"/>
    <x v="215"/>
    <n v="40.04"/>
    <s v="DEBIT_CARD"/>
    <n v="5475"/>
    <m/>
  </r>
  <r>
    <s v="DEBIT"/>
    <x v="2"/>
    <x v="48"/>
    <x v="4"/>
    <x v="216"/>
    <n v="9.36"/>
    <s v="DEBIT_CARD"/>
    <n v="5515.04"/>
    <m/>
  </r>
  <r>
    <s v="DEBIT"/>
    <x v="2"/>
    <x v="48"/>
    <x v="24"/>
    <x v="216"/>
    <n v="20"/>
    <s v="DEBIT_CARD"/>
    <n v="5515.04"/>
    <m/>
  </r>
  <r>
    <s v="DEBIT"/>
    <x v="2"/>
    <x v="48"/>
    <x v="7"/>
    <x v="217"/>
    <n v="77.3"/>
    <s v="DEBIT_CARD"/>
    <n v="5544.4"/>
    <m/>
  </r>
  <r>
    <s v="DSLIP"/>
    <x v="2"/>
    <x v="48"/>
    <x v="15"/>
    <x v="218"/>
    <n v="-1000"/>
    <s v="DEPOSIT"/>
    <n v="5621.7"/>
    <m/>
  </r>
  <r>
    <s v="DEBIT"/>
    <x v="2"/>
    <x v="49"/>
    <x v="12"/>
    <x v="219"/>
    <n v="3.48"/>
    <s v="DEBIT_CARD"/>
    <n v="4621.7"/>
    <m/>
  </r>
  <r>
    <s v="DEBIT"/>
    <x v="2"/>
    <x v="49"/>
    <x v="10"/>
    <x v="220"/>
    <n v="2"/>
    <s v="DEBIT_CARD"/>
    <n v="4625.18"/>
    <m/>
  </r>
  <r>
    <s v="DEBIT"/>
    <x v="2"/>
    <x v="50"/>
    <x v="12"/>
    <x v="221"/>
    <n v="5.83"/>
    <s v="DEBIT_CARD"/>
    <n v="4627.18"/>
    <m/>
  </r>
  <r>
    <s v="DEBIT"/>
    <x v="2"/>
    <x v="50"/>
    <x v="1"/>
    <x v="222"/>
    <n v="17"/>
    <s v="DEBIT_CARD"/>
    <n v="4633.01"/>
    <m/>
  </r>
  <r>
    <s v="DEBIT"/>
    <x v="2"/>
    <x v="50"/>
    <x v="12"/>
    <x v="223"/>
    <n v="2.6"/>
    <s v="DEBIT_CARD"/>
    <n v="4650.01"/>
    <m/>
  </r>
  <r>
    <s v="DEBIT"/>
    <x v="2"/>
    <x v="50"/>
    <x v="12"/>
    <x v="224"/>
    <n v="5.09"/>
    <s v="DEBIT_CARD"/>
    <n v="4652.6099999999997"/>
    <m/>
  </r>
  <r>
    <s v="DEBIT"/>
    <x v="2"/>
    <x v="50"/>
    <x v="17"/>
    <x v="225"/>
    <n v="12"/>
    <s v="DEBIT_CARD"/>
    <n v="4657.7"/>
    <m/>
  </r>
  <r>
    <s v="DEBIT"/>
    <x v="2"/>
    <x v="50"/>
    <x v="1"/>
    <x v="226"/>
    <n v="24"/>
    <s v="DEBIT_CARD"/>
    <n v="4669.7"/>
    <m/>
  </r>
  <r>
    <s v="CREDIT"/>
    <x v="3"/>
    <x v="51"/>
    <x v="25"/>
    <x v="14"/>
    <n v="-0.01"/>
    <s v="MISC_CREDIT"/>
    <n v="4693.7"/>
    <m/>
  </r>
  <r>
    <s v="DEBIT"/>
    <x v="3"/>
    <x v="51"/>
    <x v="13"/>
    <x v="16"/>
    <n v="437.54"/>
    <s v="ACH_DEBIT"/>
    <n v="4693.6899999999996"/>
    <m/>
  </r>
  <r>
    <s v="DEBIT"/>
    <x v="3"/>
    <x v="51"/>
    <x v="4"/>
    <x v="227"/>
    <n v="47.11"/>
    <s v="DEBIT_CARD"/>
    <n v="5131.2299999999996"/>
    <m/>
  </r>
  <r>
    <s v="DEBIT"/>
    <x v="3"/>
    <x v="51"/>
    <x v="1"/>
    <x v="228"/>
    <n v="21.02"/>
    <s v="DEBIT_CARD"/>
    <n v="5178.34"/>
    <m/>
  </r>
  <r>
    <s v="DEBIT"/>
    <x v="3"/>
    <x v="51"/>
    <x v="2"/>
    <x v="229"/>
    <n v="100"/>
    <s v="ATM"/>
    <n v="5199.3599999999997"/>
    <s v="Rent"/>
  </r>
  <r>
    <s v="DEBIT"/>
    <x v="3"/>
    <x v="51"/>
    <x v="2"/>
    <x v="229"/>
    <n v="20"/>
    <s v="ATM"/>
    <n v="5199.3599999999997"/>
    <s v="Cash"/>
  </r>
  <r>
    <s v="DEBIT"/>
    <x v="3"/>
    <x v="51"/>
    <x v="3"/>
    <x v="230"/>
    <n v="36.82"/>
    <s v="DEBIT_CARD"/>
    <n v="5319.36"/>
    <m/>
  </r>
  <r>
    <s v="DEBIT"/>
    <x v="3"/>
    <x v="51"/>
    <x v="1"/>
    <x v="231"/>
    <n v="35.74"/>
    <s v="DEBIT_CARD"/>
    <n v="5356.18"/>
    <m/>
  </r>
  <r>
    <s v="DEBIT"/>
    <x v="3"/>
    <x v="51"/>
    <x v="3"/>
    <x v="232"/>
    <n v="7.42"/>
    <s v="DEBIT_CARD"/>
    <n v="5391.92"/>
    <m/>
  </r>
  <r>
    <s v="DEBIT"/>
    <x v="3"/>
    <x v="51"/>
    <x v="12"/>
    <x v="233"/>
    <n v="3.75"/>
    <s v="DEBIT_CARD"/>
    <n v="5399.34"/>
    <m/>
  </r>
  <r>
    <s v="DEBIT"/>
    <x v="3"/>
    <x v="51"/>
    <x v="12"/>
    <x v="234"/>
    <n v="3.75"/>
    <s v="DEBIT_CARD"/>
    <n v="5403.09"/>
    <m/>
  </r>
  <r>
    <s v="DEBIT"/>
    <x v="3"/>
    <x v="51"/>
    <x v="12"/>
    <x v="235"/>
    <n v="4.01"/>
    <s v="DEBIT_CARD"/>
    <n v="5406.84"/>
    <m/>
  </r>
  <r>
    <s v="DEBIT"/>
    <x v="3"/>
    <x v="51"/>
    <x v="12"/>
    <x v="236"/>
    <n v="4.76"/>
    <s v="DEBIT_CARD"/>
    <n v="5410.85"/>
    <m/>
  </r>
  <r>
    <s v="DEBIT"/>
    <x v="3"/>
    <x v="52"/>
    <x v="1"/>
    <x v="237"/>
    <n v="38.92"/>
    <s v="DEBIT_CARD"/>
    <n v="5415.61"/>
    <m/>
  </r>
  <r>
    <s v="DEBIT"/>
    <x v="3"/>
    <x v="53"/>
    <x v="7"/>
    <x v="238"/>
    <n v="24.38"/>
    <s v="DEBIT_CARD"/>
    <n v="5454.53"/>
    <m/>
  </r>
  <r>
    <s v="DEBIT"/>
    <x v="3"/>
    <x v="54"/>
    <x v="3"/>
    <x v="239"/>
    <n v="26.43"/>
    <s v="DEBIT_CARD"/>
    <n v="5478.91"/>
    <m/>
  </r>
  <r>
    <s v="DEBIT"/>
    <x v="3"/>
    <x v="54"/>
    <x v="10"/>
    <x v="240"/>
    <n v="24.66"/>
    <s v="DEBIT_CARD"/>
    <n v="5505.34"/>
    <m/>
  </r>
  <r>
    <s v="DEBIT"/>
    <x v="3"/>
    <x v="55"/>
    <x v="24"/>
    <x v="241"/>
    <n v="62.75"/>
    <s v="ATM"/>
    <n v="5530"/>
    <m/>
  </r>
  <r>
    <s v="CREDIT"/>
    <x v="3"/>
    <x v="55"/>
    <x v="10"/>
    <x v="242"/>
    <n v="-2.75"/>
    <s v="MISC_CREDIT"/>
    <n v="5592.75"/>
    <m/>
  </r>
  <r>
    <s v="DEBIT"/>
    <x v="3"/>
    <x v="56"/>
    <x v="24"/>
    <x v="243"/>
    <n v="60"/>
    <s v="ATM"/>
    <n v="5590"/>
    <m/>
  </r>
  <r>
    <s v="DEBIT"/>
    <x v="3"/>
    <x v="56"/>
    <x v="2"/>
    <x v="244"/>
    <n v="100"/>
    <s v="ATM"/>
    <n v="5650"/>
    <m/>
  </r>
  <r>
    <s v="DEBIT"/>
    <x v="3"/>
    <x v="56"/>
    <x v="2"/>
    <x v="245"/>
    <n v="100"/>
    <s v="ATM"/>
    <n v="5750"/>
    <m/>
  </r>
  <r>
    <s v="CREDIT"/>
    <x v="3"/>
    <x v="56"/>
    <x v="20"/>
    <x v="246"/>
    <n v="-4500"/>
    <s v="ACCT_XFER"/>
    <n v="5850"/>
    <m/>
  </r>
  <r>
    <s v="CREDIT"/>
    <x v="3"/>
    <x v="56"/>
    <x v="18"/>
    <x v="247"/>
    <n v="-1350"/>
    <s v="ATM_DEPOSIT"/>
    <n v="135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8">
  <r>
    <x v="0"/>
    <m/>
    <x v="0"/>
    <n v="0"/>
    <x v="0"/>
  </r>
  <r>
    <x v="0"/>
    <m/>
    <x v="0"/>
    <n v="0"/>
    <x v="1"/>
  </r>
  <r>
    <x v="0"/>
    <m/>
    <x v="0"/>
    <n v="0"/>
    <x v="2"/>
  </r>
  <r>
    <x v="0"/>
    <m/>
    <x v="0"/>
    <n v="0"/>
    <x v="3"/>
  </r>
  <r>
    <x v="0"/>
    <m/>
    <x v="0"/>
    <n v="0"/>
    <x v="4"/>
  </r>
  <r>
    <x v="0"/>
    <m/>
    <x v="0"/>
    <n v="0"/>
    <x v="5"/>
  </r>
  <r>
    <x v="0"/>
    <m/>
    <x v="0"/>
    <n v="0"/>
    <x v="6"/>
  </r>
  <r>
    <x v="0"/>
    <m/>
    <x v="0"/>
    <n v="0"/>
    <x v="7"/>
  </r>
  <r>
    <x v="0"/>
    <m/>
    <x v="0"/>
    <n v="0"/>
    <x v="8"/>
  </r>
  <r>
    <x v="0"/>
    <m/>
    <x v="1"/>
    <m/>
    <x v="9"/>
  </r>
  <r>
    <x v="0"/>
    <m/>
    <x v="1"/>
    <m/>
    <x v="9"/>
  </r>
  <r>
    <x v="0"/>
    <m/>
    <x v="1"/>
    <m/>
    <x v="9"/>
  </r>
  <r>
    <x v="0"/>
    <m/>
    <x v="1"/>
    <m/>
    <x v="9"/>
  </r>
  <r>
    <x v="0"/>
    <m/>
    <x v="1"/>
    <m/>
    <x v="9"/>
  </r>
  <r>
    <x v="0"/>
    <d v="2019-06-26T00:00:00"/>
    <x v="2"/>
    <n v="54.01"/>
    <x v="10"/>
  </r>
  <r>
    <x v="0"/>
    <d v="2019-06-26T00:00:00"/>
    <x v="3"/>
    <n v="26.31"/>
    <x v="11"/>
  </r>
  <r>
    <x v="0"/>
    <d v="2019-06-25T00:00:00"/>
    <x v="4"/>
    <n v="6.74"/>
    <x v="10"/>
  </r>
  <r>
    <x v="0"/>
    <d v="2019-06-25T00:00:00"/>
    <x v="5"/>
    <n v="11.45"/>
    <x v="12"/>
  </r>
  <r>
    <x v="0"/>
    <d v="2019-06-24T00:00:00"/>
    <x v="6"/>
    <n v="0.99"/>
    <x v="13"/>
  </r>
  <r>
    <x v="0"/>
    <d v="2019-06-24T00:00:00"/>
    <x v="7"/>
    <n v="5.67"/>
    <x v="10"/>
  </r>
  <r>
    <x v="0"/>
    <d v="2019-06-24T00:00:00"/>
    <x v="8"/>
    <n v="19"/>
    <x v="1"/>
  </r>
  <r>
    <x v="0"/>
    <d v="2019-06-24T00:00:00"/>
    <x v="9"/>
    <n v="30.91"/>
    <x v="14"/>
  </r>
  <r>
    <x v="0"/>
    <d v="2019-06-24T00:00:00"/>
    <x v="10"/>
    <n v="4.2300000000000004"/>
    <x v="15"/>
  </r>
  <r>
    <x v="0"/>
    <d v="2019-06-24T00:00:00"/>
    <x v="11"/>
    <n v="8.0399999999999991"/>
    <x v="10"/>
  </r>
  <r>
    <x v="0"/>
    <d v="2019-06-24T00:00:00"/>
    <x v="6"/>
    <n v="1.98"/>
    <x v="13"/>
  </r>
  <r>
    <x v="0"/>
    <d v="2019-06-24T00:00:00"/>
    <x v="12"/>
    <n v="5.29"/>
    <x v="0"/>
  </r>
  <r>
    <x v="0"/>
    <d v="2019-06-24T00:00:00"/>
    <x v="13"/>
    <n v="10.56"/>
    <x v="10"/>
  </r>
  <r>
    <x v="0"/>
    <d v="2019-06-24T00:00:00"/>
    <x v="14"/>
    <n v="4.2300000000000004"/>
    <x v="15"/>
  </r>
  <r>
    <x v="0"/>
    <d v="2019-06-24T00:00:00"/>
    <x v="15"/>
    <n v="29.63"/>
    <x v="16"/>
  </r>
  <r>
    <x v="0"/>
    <d v="2019-06-24T00:00:00"/>
    <x v="16"/>
    <n v="11.94"/>
    <x v="10"/>
  </r>
  <r>
    <x v="0"/>
    <d v="2019-06-24T00:00:00"/>
    <x v="17"/>
    <n v="4.2300000000000004"/>
    <x v="15"/>
  </r>
  <r>
    <x v="0"/>
    <d v="2019-06-24T00:00:00"/>
    <x v="18"/>
    <n v="1.98"/>
    <x v="13"/>
  </r>
  <r>
    <x v="0"/>
    <d v="2019-06-24T00:00:00"/>
    <x v="19"/>
    <n v="19.02"/>
    <x v="13"/>
  </r>
  <r>
    <x v="0"/>
    <d v="2019-06-24T00:00:00"/>
    <x v="20"/>
    <n v="34.89"/>
    <x v="10"/>
  </r>
  <r>
    <x v="0"/>
    <d v="2019-06-24T00:00:00"/>
    <x v="21"/>
    <n v="3.87"/>
    <x v="13"/>
  </r>
  <r>
    <x v="0"/>
    <d v="2019-06-24T00:00:00"/>
    <x v="22"/>
    <n v="10.43"/>
    <x v="13"/>
  </r>
  <r>
    <x v="0"/>
    <d v="2019-06-24T00:00:00"/>
    <x v="23"/>
    <n v="26.4"/>
    <x v="10"/>
  </r>
  <r>
    <x v="0"/>
    <d v="2019-06-21T00:00:00"/>
    <x v="24"/>
    <n v="50"/>
    <x v="13"/>
  </r>
  <r>
    <x v="0"/>
    <d v="2019-06-20T00:00:00"/>
    <x v="25"/>
    <n v="17.11"/>
    <x v="0"/>
  </r>
  <r>
    <x v="0"/>
    <d v="2019-06-20T00:00:00"/>
    <x v="26"/>
    <n v="4.2300000000000004"/>
    <x v="15"/>
  </r>
  <r>
    <x v="0"/>
    <d v="2019-06-20T00:00:00"/>
    <x v="27"/>
    <n v="18.399999999999999"/>
    <x v="16"/>
  </r>
  <r>
    <x v="0"/>
    <d v="2019-06-20T00:00:00"/>
    <x v="28"/>
    <n v="17.98"/>
    <x v="10"/>
  </r>
  <r>
    <x v="0"/>
    <d v="2019-06-19T00:00:00"/>
    <x v="29"/>
    <n v="20.58"/>
    <x v="16"/>
  </r>
  <r>
    <x v="0"/>
    <d v="2019-06-19T00:00:00"/>
    <x v="30"/>
    <n v="19.98"/>
    <x v="10"/>
  </r>
  <r>
    <x v="0"/>
    <d v="2019-06-19T00:00:00"/>
    <x v="2"/>
    <n v="14.98"/>
    <x v="10"/>
  </r>
  <r>
    <x v="0"/>
    <d v="2019-06-19T00:00:00"/>
    <x v="31"/>
    <n v="13.91"/>
    <x v="10"/>
  </r>
  <r>
    <x v="0"/>
    <d v="2019-06-18T00:00:00"/>
    <x v="32"/>
    <n v="36.86"/>
    <x v="1"/>
  </r>
  <r>
    <x v="0"/>
    <d v="2019-06-18T00:00:00"/>
    <x v="33"/>
    <n v="9.61"/>
    <x v="17"/>
  </r>
  <r>
    <x v="0"/>
    <d v="2019-06-18T00:00:00"/>
    <x v="34"/>
    <n v="161.63999999999999"/>
    <x v="11"/>
  </r>
  <r>
    <x v="0"/>
    <d v="2019-06-17T00:00:00"/>
    <x v="35"/>
    <n v="8.02"/>
    <x v="11"/>
  </r>
  <r>
    <x v="0"/>
    <d v="2019-06-17T00:00:00"/>
    <x v="36"/>
    <n v="18.41"/>
    <x v="16"/>
  </r>
  <r>
    <x v="0"/>
    <d v="2019-06-17T00:00:00"/>
    <x v="37"/>
    <n v="46.05"/>
    <x v="16"/>
  </r>
  <r>
    <x v="0"/>
    <d v="2019-06-17T00:00:00"/>
    <x v="38"/>
    <n v="4.2300000000000004"/>
    <x v="15"/>
  </r>
  <r>
    <x v="0"/>
    <d v="2019-06-17T00:00:00"/>
    <x v="39"/>
    <n v="16.8"/>
    <x v="11"/>
  </r>
  <r>
    <x v="0"/>
    <d v="2019-06-17T00:00:00"/>
    <x v="40"/>
    <n v="22.48"/>
    <x v="11"/>
  </r>
  <r>
    <x v="0"/>
    <d v="2019-06-17T00:00:00"/>
    <x v="41"/>
    <n v="5.72"/>
    <x v="11"/>
  </r>
  <r>
    <x v="0"/>
    <d v="2019-06-17T00:00:00"/>
    <x v="42"/>
    <n v="41.38"/>
    <x v="11"/>
  </r>
  <r>
    <x v="0"/>
    <d v="2019-06-17T00:00:00"/>
    <x v="43"/>
    <n v="50.46"/>
    <x v="11"/>
  </r>
  <r>
    <x v="0"/>
    <d v="2019-06-17T00:00:00"/>
    <x v="44"/>
    <n v="6.62"/>
    <x v="11"/>
  </r>
  <r>
    <x v="0"/>
    <d v="2019-06-17T00:00:00"/>
    <x v="44"/>
    <n v="6.62"/>
    <x v="11"/>
  </r>
  <r>
    <x v="0"/>
    <d v="2019-06-17T00:00:00"/>
    <x v="45"/>
    <n v="48"/>
    <x v="11"/>
  </r>
  <r>
    <x v="0"/>
    <d v="2019-06-17T00:00:00"/>
    <x v="46"/>
    <n v="44.39"/>
    <x v="11"/>
  </r>
  <r>
    <x v="0"/>
    <d v="2019-06-17T00:00:00"/>
    <x v="47"/>
    <n v="13.37"/>
    <x v="11"/>
  </r>
  <r>
    <x v="0"/>
    <d v="2019-06-17T00:00:00"/>
    <x v="48"/>
    <n v="10.02"/>
    <x v="11"/>
  </r>
  <r>
    <x v="0"/>
    <d v="2019-06-17T00:00:00"/>
    <x v="42"/>
    <n v="415.94"/>
    <x v="11"/>
  </r>
  <r>
    <x v="0"/>
    <d v="2019-06-17T00:00:00"/>
    <x v="49"/>
    <n v="20.11"/>
    <x v="10"/>
  </r>
  <r>
    <x v="0"/>
    <d v="2019-06-17T00:00:00"/>
    <x v="50"/>
    <n v="65"/>
    <x v="5"/>
  </r>
  <r>
    <x v="1"/>
    <d v="2019-06-17T00:00:00"/>
    <x v="50"/>
    <n v="65"/>
    <x v="5"/>
  </r>
  <r>
    <x v="0"/>
    <d v="2019-06-17T00:00:00"/>
    <x v="51"/>
    <n v="32.08"/>
    <x v="13"/>
  </r>
  <r>
    <x v="0"/>
    <d v="2019-06-17T00:00:00"/>
    <x v="52"/>
    <n v="15.84"/>
    <x v="10"/>
  </r>
  <r>
    <x v="0"/>
    <d v="2019-06-14T00:00:00"/>
    <x v="53"/>
    <n v="4.37"/>
    <x v="11"/>
  </r>
  <r>
    <x v="0"/>
    <d v="2019-06-14T00:00:00"/>
    <x v="54"/>
    <n v="15.33"/>
    <x v="11"/>
  </r>
  <r>
    <x v="0"/>
    <d v="2019-06-14T00:00:00"/>
    <x v="55"/>
    <n v="6.56"/>
    <x v="17"/>
  </r>
  <r>
    <x v="0"/>
    <d v="2019-06-14T00:00:00"/>
    <x v="56"/>
    <n v="22.19"/>
    <x v="10"/>
  </r>
  <r>
    <x v="0"/>
    <d v="2019-06-13T00:00:00"/>
    <x v="57"/>
    <n v="23"/>
    <x v="7"/>
  </r>
  <r>
    <x v="0"/>
    <d v="2019-06-13T00:00:00"/>
    <x v="58"/>
    <n v="16.46"/>
    <x v="18"/>
  </r>
  <r>
    <x v="0"/>
    <d v="2019-06-13T00:00:00"/>
    <x v="59"/>
    <n v="27.47"/>
    <x v="10"/>
  </r>
  <r>
    <x v="0"/>
    <d v="2019-06-13T00:00:00"/>
    <x v="60"/>
    <n v="28.39"/>
    <x v="2"/>
  </r>
  <r>
    <x v="0"/>
    <d v="2019-06-12T00:00:00"/>
    <x v="61"/>
    <n v="20"/>
    <x v="1"/>
  </r>
  <r>
    <x v="0"/>
    <d v="2019-06-12T00:00:00"/>
    <x v="62"/>
    <n v="5.73"/>
    <x v="15"/>
  </r>
  <r>
    <x v="0"/>
    <d v="2019-06-12T00:00:00"/>
    <x v="63"/>
    <n v="5.16"/>
    <x v="13"/>
  </r>
  <r>
    <x v="0"/>
    <d v="2019-06-12T00:00:00"/>
    <x v="64"/>
    <n v="33.75"/>
    <x v="11"/>
  </r>
  <r>
    <x v="0"/>
    <d v="2019-06-12T00:00:00"/>
    <x v="65"/>
    <n v="16.91"/>
    <x v="10"/>
  </r>
  <r>
    <x v="0"/>
    <d v="2019-06-11T00:00:00"/>
    <x v="66"/>
    <n v="31.75"/>
    <x v="10"/>
  </r>
  <r>
    <x v="0"/>
    <d v="2019-06-10T00:00:00"/>
    <x v="67"/>
    <n v="39.07"/>
    <x v="4"/>
  </r>
  <r>
    <x v="0"/>
    <d v="2019-06-10T00:00:00"/>
    <x v="68"/>
    <n v="4.2300000000000004"/>
    <x v="15"/>
  </r>
  <r>
    <x v="0"/>
    <d v="2019-06-10T00:00:00"/>
    <x v="69"/>
    <n v="32.26"/>
    <x v="16"/>
  </r>
  <r>
    <x v="0"/>
    <d v="2019-06-10T00:00:00"/>
    <x v="70"/>
    <n v="10.59"/>
    <x v="10"/>
  </r>
  <r>
    <x v="0"/>
    <d v="2019-06-10T00:00:00"/>
    <x v="71"/>
    <n v="44.92"/>
    <x v="13"/>
  </r>
  <r>
    <x v="0"/>
    <d v="2019-06-10T00:00:00"/>
    <x v="72"/>
    <n v="118.93"/>
    <x v="13"/>
  </r>
  <r>
    <x v="0"/>
    <d v="2019-06-10T00:00:00"/>
    <x v="73"/>
    <n v="22.79"/>
    <x v="0"/>
  </r>
  <r>
    <x v="0"/>
    <d v="2019-06-10T00:00:00"/>
    <x v="74"/>
    <n v="10.32"/>
    <x v="13"/>
  </r>
  <r>
    <x v="0"/>
    <d v="2019-06-10T00:00:00"/>
    <x v="75"/>
    <n v="30.15"/>
    <x v="10"/>
  </r>
  <r>
    <x v="0"/>
    <d v="2019-06-07T00:00:00"/>
    <x v="76"/>
    <n v="37.659999999999997"/>
    <x v="16"/>
  </r>
  <r>
    <x v="0"/>
    <d v="2019-06-07T00:00:00"/>
    <x v="77"/>
    <n v="57.9"/>
    <x v="11"/>
  </r>
  <r>
    <x v="0"/>
    <d v="2019-06-07T00:00:00"/>
    <x v="78"/>
    <n v="124.3"/>
    <x v="11"/>
  </r>
  <r>
    <x v="0"/>
    <d v="2019-06-06T00:00:00"/>
    <x v="79"/>
    <n v="17.11"/>
    <x v="0"/>
  </r>
  <r>
    <x v="0"/>
    <d v="2019-06-05T00:00:00"/>
    <x v="80"/>
    <n v="299"/>
    <x v="19"/>
  </r>
  <r>
    <x v="0"/>
    <d v="2019-06-05T00:00:00"/>
    <x v="81"/>
    <n v="16.04"/>
    <x v="0"/>
  </r>
  <r>
    <x v="0"/>
    <d v="2019-06-05T00:00:00"/>
    <x v="82"/>
    <n v="13.56"/>
    <x v="10"/>
  </r>
  <r>
    <x v="0"/>
    <d v="2019-06-05T00:00:00"/>
    <x v="83"/>
    <n v="20.02"/>
    <x v="1"/>
  </r>
  <r>
    <x v="0"/>
    <d v="2019-06-05T00:00:00"/>
    <x v="30"/>
    <n v="8.2799999999999994"/>
    <x v="10"/>
  </r>
  <r>
    <x v="0"/>
    <d v="2019-06-05T00:00:00"/>
    <x v="84"/>
    <n v="299"/>
    <x v="19"/>
  </r>
  <r>
    <x v="0"/>
    <d v="2019-06-04T00:00:00"/>
    <x v="85"/>
    <n v="60.72"/>
    <x v="3"/>
  </r>
  <r>
    <x v="0"/>
    <d v="2019-06-04T00:00:00"/>
    <x v="86"/>
    <n v="832.24"/>
    <x v="20"/>
  </r>
  <r>
    <x v="0"/>
    <d v="2019-06-04T00:00:00"/>
    <x v="87"/>
    <n v="16.95"/>
    <x v="16"/>
  </r>
  <r>
    <x v="0"/>
    <d v="2019-06-04T00:00:00"/>
    <x v="88"/>
    <n v="20.440000000000001"/>
    <x v="16"/>
  </r>
  <r>
    <x v="0"/>
    <d v="2019-06-04T00:00:00"/>
    <x v="89"/>
    <n v="10"/>
    <x v="17"/>
  </r>
  <r>
    <x v="0"/>
    <d v="2019-06-04T00:00:00"/>
    <x v="90"/>
    <n v="272.82"/>
    <x v="11"/>
  </r>
  <r>
    <x v="0"/>
    <d v="2019-06-04T00:00:00"/>
    <x v="91"/>
    <n v="44.74"/>
    <x v="11"/>
  </r>
  <r>
    <x v="0"/>
    <d v="2019-06-04T00:00:00"/>
    <x v="92"/>
    <n v="152.01"/>
    <x v="11"/>
  </r>
  <r>
    <x v="0"/>
    <d v="2019-06-04T00:00:00"/>
    <x v="93"/>
    <n v="-140"/>
    <x v="11"/>
  </r>
  <r>
    <x v="0"/>
    <d v="2019-06-03T00:00:00"/>
    <x v="94"/>
    <n v="87.82"/>
    <x v="6"/>
  </r>
  <r>
    <x v="0"/>
    <d v="2019-06-03T00:00:00"/>
    <x v="95"/>
    <n v="5.71"/>
    <x v="17"/>
  </r>
  <r>
    <x v="0"/>
    <d v="2019-06-03T00:00:00"/>
    <x v="96"/>
    <n v="7.95"/>
    <x v="16"/>
  </r>
  <r>
    <x v="0"/>
    <d v="2019-06-03T00:00:00"/>
    <x v="97"/>
    <n v="20.04"/>
    <x v="1"/>
  </r>
  <r>
    <x v="0"/>
    <d v="2019-06-03T00:00:00"/>
    <x v="98"/>
    <n v="15.24"/>
    <x v="11"/>
  </r>
  <r>
    <x v="0"/>
    <d v="2019-06-03T00:00:00"/>
    <x v="99"/>
    <n v="16.57"/>
    <x v="16"/>
  </r>
  <r>
    <x v="0"/>
    <d v="2019-06-03T00:00:00"/>
    <x v="100"/>
    <n v="3.52"/>
    <x v="11"/>
  </r>
  <r>
    <x v="0"/>
    <d v="2019-06-03T00:00:00"/>
    <x v="100"/>
    <n v="32.82"/>
    <x v="11"/>
  </r>
  <r>
    <x v="0"/>
    <d v="2019-06-03T00:00:00"/>
    <x v="101"/>
    <n v="11.61"/>
    <x v="13"/>
  </r>
  <r>
    <x v="0"/>
    <d v="2019-06-03T00:00:00"/>
    <x v="102"/>
    <n v="14.08"/>
    <x v="21"/>
  </r>
  <r>
    <x v="0"/>
    <d v="2019-06-03T00:00:00"/>
    <x v="103"/>
    <n v="11.38"/>
    <x v="11"/>
  </r>
  <r>
    <x v="0"/>
    <d v="2019-06-03T00:00:00"/>
    <x v="104"/>
    <n v="25.33"/>
    <x v="11"/>
  </r>
  <r>
    <x v="0"/>
    <d v="2019-06-03T00:00:00"/>
    <x v="105"/>
    <n v="12"/>
    <x v="11"/>
  </r>
  <r>
    <x v="0"/>
    <d v="2019-06-03T00:00:00"/>
    <x v="106"/>
    <n v="9.75"/>
    <x v="11"/>
  </r>
  <r>
    <x v="0"/>
    <d v="2019-06-03T00:00:00"/>
    <x v="107"/>
    <n v="133.13"/>
    <x v="11"/>
  </r>
  <r>
    <x v="0"/>
    <d v="2019-06-03T00:00:00"/>
    <x v="108"/>
    <n v="25"/>
    <x v="11"/>
  </r>
  <r>
    <x v="0"/>
    <d v="2019-06-03T00:00:00"/>
    <x v="109"/>
    <n v="53.93"/>
    <x v="18"/>
  </r>
  <r>
    <x v="0"/>
    <d v="2019-06-03T00:00:00"/>
    <x v="110"/>
    <n v="2.25"/>
    <x v="0"/>
  </r>
  <r>
    <x v="0"/>
    <d v="2019-06-03T00:00:00"/>
    <x v="111"/>
    <n v="9.6300000000000008"/>
    <x v="10"/>
  </r>
  <r>
    <x v="0"/>
    <d v="2019-06-03T00:00:00"/>
    <x v="112"/>
    <n v="23.26"/>
    <x v="10"/>
  </r>
  <r>
    <x v="1"/>
    <d v="2019-05-31T00:00:00"/>
    <x v="113"/>
    <n v="3.16"/>
    <x v="15"/>
  </r>
  <r>
    <x v="1"/>
    <d v="2019-05-31T00:00:00"/>
    <x v="114"/>
    <n v="8.19"/>
    <x v="16"/>
  </r>
  <r>
    <x v="1"/>
    <d v="2019-05-31T00:00:00"/>
    <x v="115"/>
    <n v="44.91"/>
    <x v="17"/>
  </r>
  <r>
    <x v="1"/>
    <d v="2019-05-31T00:00:00"/>
    <x v="116"/>
    <n v="80"/>
    <x v="11"/>
  </r>
  <r>
    <x v="1"/>
    <d v="2019-05-31T00:00:00"/>
    <x v="116"/>
    <n v="200"/>
    <x v="18"/>
  </r>
  <r>
    <x v="1"/>
    <d v="2019-05-31T00:00:00"/>
    <x v="117"/>
    <n v="19.489999999999998"/>
    <x v="17"/>
  </r>
  <r>
    <x v="1"/>
    <d v="2019-05-30T00:00:00"/>
    <x v="118"/>
    <n v="8.49"/>
    <x v="17"/>
  </r>
  <r>
    <x v="1"/>
    <d v="2019-05-30T00:00:00"/>
    <x v="119"/>
    <n v="4.2300000000000004"/>
    <x v="15"/>
  </r>
  <r>
    <x v="1"/>
    <d v="2019-05-30T00:00:00"/>
    <x v="120"/>
    <n v="24.58"/>
    <x v="16"/>
  </r>
  <r>
    <x v="1"/>
    <d v="2019-05-30T00:00:00"/>
    <x v="121"/>
    <n v="5.55"/>
    <x v="18"/>
  </r>
  <r>
    <x v="1"/>
    <d v="2019-05-30T00:00:00"/>
    <x v="121"/>
    <n v="13.78"/>
    <x v="18"/>
  </r>
  <r>
    <x v="1"/>
    <d v="2019-05-30T00:00:00"/>
    <x v="122"/>
    <n v="112.5"/>
    <x v="0"/>
  </r>
  <r>
    <x v="1"/>
    <d v="2019-05-30T00:00:00"/>
    <x v="123"/>
    <n v="545"/>
    <x v="22"/>
  </r>
  <r>
    <x v="1"/>
    <d v="2019-05-29T00:00:00"/>
    <x v="124"/>
    <n v="30.16"/>
    <x v="16"/>
  </r>
  <r>
    <x v="1"/>
    <d v="2019-05-29T00:00:00"/>
    <x v="125"/>
    <n v="3.87"/>
    <x v="13"/>
  </r>
  <r>
    <x v="1"/>
    <d v="2019-05-29T00:00:00"/>
    <x v="125"/>
    <n v="7.74"/>
    <x v="13"/>
  </r>
  <r>
    <x v="1"/>
    <d v="2019-05-29T00:00:00"/>
    <x v="126"/>
    <n v="437.54"/>
    <x v="8"/>
  </r>
  <r>
    <x v="1"/>
    <d v="2019-05-28T00:00:00"/>
    <x v="127"/>
    <n v="14.01"/>
    <x v="16"/>
  </r>
  <r>
    <x v="1"/>
    <d v="2019-05-28T00:00:00"/>
    <x v="128"/>
    <n v="2.5"/>
    <x v="0"/>
  </r>
  <r>
    <x v="1"/>
    <d v="2019-05-28T00:00:00"/>
    <x v="129"/>
    <n v="4.2300000000000004"/>
    <x v="15"/>
  </r>
  <r>
    <x v="1"/>
    <d v="2019-05-28T00:00:00"/>
    <x v="130"/>
    <n v="15.31"/>
    <x v="10"/>
  </r>
  <r>
    <x v="1"/>
    <d v="2019-05-28T00:00:00"/>
    <x v="131"/>
    <n v="3.16"/>
    <x v="15"/>
  </r>
  <r>
    <x v="1"/>
    <d v="2019-05-28T00:00:00"/>
    <x v="132"/>
    <n v="2.58"/>
    <x v="13"/>
  </r>
  <r>
    <x v="1"/>
    <d v="2019-05-28T00:00:00"/>
    <x v="133"/>
    <n v="10.82"/>
    <x v="16"/>
  </r>
  <r>
    <x v="1"/>
    <d v="2019-05-28T00:00:00"/>
    <x v="134"/>
    <n v="39.93"/>
    <x v="1"/>
  </r>
  <r>
    <x v="1"/>
    <d v="2019-05-28T00:00:00"/>
    <x v="135"/>
    <n v="24.59"/>
    <x v="0"/>
  </r>
  <r>
    <x v="1"/>
    <d v="2019-05-28T00:00:00"/>
    <x v="136"/>
    <n v="4.2699999999999996"/>
    <x v="0"/>
  </r>
  <r>
    <x v="1"/>
    <d v="2019-05-28T00:00:00"/>
    <x v="137"/>
    <n v="5.1100000000000003"/>
    <x v="16"/>
  </r>
  <r>
    <x v="1"/>
    <d v="2019-05-28T00:00:00"/>
    <x v="138"/>
    <n v="21.37"/>
    <x v="0"/>
  </r>
  <r>
    <x v="1"/>
    <d v="2019-05-28T00:00:00"/>
    <x v="139"/>
    <n v="40.11"/>
    <x v="7"/>
  </r>
  <r>
    <x v="1"/>
    <d v="2019-05-28T00:00:00"/>
    <x v="140"/>
    <n v="12.42"/>
    <x v="10"/>
  </r>
  <r>
    <x v="1"/>
    <d v="2019-05-24T00:00:00"/>
    <x v="141"/>
    <n v="0.99"/>
    <x v="13"/>
  </r>
  <r>
    <x v="1"/>
    <d v="2019-05-24T00:00:00"/>
    <x v="142"/>
    <n v="12.43"/>
    <x v="16"/>
  </r>
  <r>
    <x v="1"/>
    <d v="2019-05-24T00:00:00"/>
    <x v="143"/>
    <n v="18.5"/>
    <x v="16"/>
  </r>
  <r>
    <x v="1"/>
    <d v="2019-05-24T00:00:00"/>
    <x v="144"/>
    <n v="16.12"/>
    <x v="10"/>
  </r>
  <r>
    <x v="1"/>
    <d v="2019-05-23T00:00:00"/>
    <x v="145"/>
    <n v="27.69"/>
    <x v="0"/>
  </r>
  <r>
    <x v="1"/>
    <d v="2019-05-23T00:00:00"/>
    <x v="146"/>
    <n v="12.71"/>
    <x v="18"/>
  </r>
  <r>
    <x v="1"/>
    <d v="2019-05-23T00:00:00"/>
    <x v="141"/>
    <n v="8.15"/>
    <x v="13"/>
  </r>
  <r>
    <x v="1"/>
    <d v="2019-05-23T00:00:00"/>
    <x v="147"/>
    <n v="4.26"/>
    <x v="0"/>
  </r>
  <r>
    <x v="1"/>
    <d v="2019-05-23T00:00:00"/>
    <x v="148"/>
    <n v="16.91"/>
    <x v="10"/>
  </r>
  <r>
    <x v="1"/>
    <d v="2019-05-22T00:00:00"/>
    <x v="149"/>
    <n v="24.1"/>
    <x v="16"/>
  </r>
  <r>
    <x v="1"/>
    <d v="2019-05-22T00:00:00"/>
    <x v="150"/>
    <n v="10.91"/>
    <x v="16"/>
  </r>
  <r>
    <x v="1"/>
    <d v="2019-05-22T00:00:00"/>
    <x v="151"/>
    <n v="32.049999999999997"/>
    <x v="0"/>
  </r>
  <r>
    <x v="1"/>
    <d v="2019-05-22T00:00:00"/>
    <x v="152"/>
    <n v="15.77"/>
    <x v="10"/>
  </r>
  <r>
    <x v="1"/>
    <d v="2019-05-21T00:00:00"/>
    <x v="153"/>
    <n v="7.48"/>
    <x v="16"/>
  </r>
  <r>
    <x v="1"/>
    <d v="2019-05-20T00:00:00"/>
    <x v="154"/>
    <n v="17.62"/>
    <x v="16"/>
  </r>
  <r>
    <x v="1"/>
    <d v="2019-05-20T00:00:00"/>
    <x v="155"/>
    <n v="7"/>
    <x v="23"/>
  </r>
  <r>
    <x v="1"/>
    <d v="2019-05-20T00:00:00"/>
    <x v="156"/>
    <n v="13.96"/>
    <x v="16"/>
  </r>
  <r>
    <x v="1"/>
    <d v="2019-05-20T00:00:00"/>
    <x v="157"/>
    <n v="13.86"/>
    <x v="23"/>
  </r>
  <r>
    <x v="1"/>
    <d v="2019-05-20T00:00:00"/>
    <x v="158"/>
    <n v="32"/>
    <x v="1"/>
  </r>
  <r>
    <x v="1"/>
    <d v="2019-05-20T00:00:00"/>
    <x v="159"/>
    <n v="4.2300000000000004"/>
    <x v="15"/>
  </r>
  <r>
    <x v="1"/>
    <d v="2019-05-20T00:00:00"/>
    <x v="160"/>
    <n v="10.42"/>
    <x v="10"/>
  </r>
  <r>
    <x v="1"/>
    <d v="2019-05-20T00:00:00"/>
    <x v="161"/>
    <n v="11.96"/>
    <x v="23"/>
  </r>
  <r>
    <x v="1"/>
    <d v="2019-05-20T00:00:00"/>
    <x v="162"/>
    <n v="7.44"/>
    <x v="18"/>
  </r>
  <r>
    <x v="1"/>
    <d v="2019-05-20T00:00:00"/>
    <x v="163"/>
    <n v="40.15"/>
    <x v="18"/>
  </r>
  <r>
    <x v="1"/>
    <d v="2019-05-20T00:00:00"/>
    <x v="164"/>
    <n v="40"/>
    <x v="24"/>
  </r>
  <r>
    <x v="1"/>
    <d v="2019-05-20T00:00:00"/>
    <x v="165"/>
    <n v="4.2300000000000004"/>
    <x v="15"/>
  </r>
  <r>
    <x v="1"/>
    <d v="2019-05-20T00:00:00"/>
    <x v="166"/>
    <n v="38.99"/>
    <x v="13"/>
  </r>
  <r>
    <x v="1"/>
    <d v="2019-05-20T00:00:00"/>
    <x v="167"/>
    <n v="60"/>
    <x v="24"/>
  </r>
  <r>
    <x v="1"/>
    <d v="2019-05-20T00:00:00"/>
    <x v="168"/>
    <n v="39.97"/>
    <x v="10"/>
  </r>
  <r>
    <x v="1"/>
    <d v="2019-05-20T00:00:00"/>
    <x v="169"/>
    <n v="1.29"/>
    <x v="13"/>
  </r>
  <r>
    <x v="1"/>
    <d v="2019-05-17T00:00:00"/>
    <x v="170"/>
    <n v="200"/>
    <x v="0"/>
  </r>
  <r>
    <x v="1"/>
    <d v="2019-05-17T00:00:00"/>
    <x v="171"/>
    <n v="8.0299999999999994"/>
    <x v="10"/>
  </r>
  <r>
    <x v="1"/>
    <d v="2019-05-17T00:00:00"/>
    <x v="2"/>
    <n v="33.82"/>
    <x v="10"/>
  </r>
  <r>
    <x v="1"/>
    <d v="2019-05-16T00:00:00"/>
    <x v="172"/>
    <n v="12.71"/>
    <x v="18"/>
  </r>
  <r>
    <x v="1"/>
    <d v="2019-05-16T00:00:00"/>
    <x v="173"/>
    <n v="17.91"/>
    <x v="10"/>
  </r>
  <r>
    <x v="1"/>
    <d v="2019-05-15T00:00:00"/>
    <x v="174"/>
    <n v="25.07"/>
    <x v="1"/>
  </r>
  <r>
    <x v="1"/>
    <d v="2019-05-15T00:00:00"/>
    <x v="175"/>
    <n v="33.229999999999997"/>
    <x v="16"/>
  </r>
  <r>
    <x v="1"/>
    <d v="2019-05-15T00:00:00"/>
    <x v="176"/>
    <n v="5.73"/>
    <x v="15"/>
  </r>
  <r>
    <x v="1"/>
    <d v="2019-05-15T00:00:00"/>
    <x v="177"/>
    <n v="113.51"/>
    <x v="18"/>
  </r>
  <r>
    <x v="1"/>
    <d v="2019-05-15T00:00:00"/>
    <x v="178"/>
    <n v="5.73"/>
    <x v="15"/>
  </r>
  <r>
    <x v="1"/>
    <d v="2019-05-14T00:00:00"/>
    <x v="179"/>
    <n v="1.29"/>
    <x v="13"/>
  </r>
  <r>
    <x v="1"/>
    <d v="2019-05-14T00:00:00"/>
    <x v="180"/>
    <n v="3.48"/>
    <x v="15"/>
  </r>
  <r>
    <x v="1"/>
    <d v="2019-05-14T00:00:00"/>
    <x v="181"/>
    <n v="39.17"/>
    <x v="10"/>
  </r>
  <r>
    <x v="1"/>
    <d v="2019-05-13T00:00:00"/>
    <x v="182"/>
    <n v="2.39"/>
    <x v="0"/>
  </r>
  <r>
    <x v="1"/>
    <d v="2019-05-13T00:00:00"/>
    <x v="183"/>
    <n v="3.16"/>
    <x v="15"/>
  </r>
  <r>
    <x v="1"/>
    <d v="2019-05-13T00:00:00"/>
    <x v="184"/>
    <n v="9.89"/>
    <x v="23"/>
  </r>
  <r>
    <x v="1"/>
    <d v="2019-05-13T00:00:00"/>
    <x v="185"/>
    <n v="23.92"/>
    <x v="10"/>
  </r>
  <r>
    <x v="1"/>
    <d v="2019-05-13T00:00:00"/>
    <x v="186"/>
    <n v="4.2300000000000004"/>
    <x v="15"/>
  </r>
  <r>
    <x v="1"/>
    <d v="2019-05-13T00:00:00"/>
    <x v="187"/>
    <n v="4.2300000000000004"/>
    <x v="15"/>
  </r>
  <r>
    <x v="1"/>
    <d v="2019-05-13T00:00:00"/>
    <x v="188"/>
    <n v="8.33"/>
    <x v="16"/>
  </r>
  <r>
    <x v="1"/>
    <d v="2019-05-13T00:00:00"/>
    <x v="189"/>
    <n v="30.35"/>
    <x v="1"/>
  </r>
  <r>
    <x v="1"/>
    <d v="2019-05-13T00:00:00"/>
    <x v="190"/>
    <n v="17.11"/>
    <x v="13"/>
  </r>
  <r>
    <x v="1"/>
    <d v="2019-05-13T00:00:00"/>
    <x v="191"/>
    <n v="4.2300000000000004"/>
    <x v="15"/>
  </r>
  <r>
    <x v="1"/>
    <d v="2019-05-13T00:00:00"/>
    <x v="192"/>
    <n v="21.64"/>
    <x v="18"/>
  </r>
  <r>
    <x v="1"/>
    <d v="2019-05-13T00:00:00"/>
    <x v="193"/>
    <n v="17.84"/>
    <x v="10"/>
  </r>
  <r>
    <x v="1"/>
    <d v="2019-05-10T00:00:00"/>
    <x v="194"/>
    <n v="21.22"/>
    <x v="0"/>
  </r>
  <r>
    <x v="1"/>
    <d v="2019-05-10T00:00:00"/>
    <x v="2"/>
    <n v="12.42"/>
    <x v="10"/>
  </r>
  <r>
    <x v="1"/>
    <d v="2019-05-09T00:00:00"/>
    <x v="195"/>
    <n v="8.23"/>
    <x v="18"/>
  </r>
  <r>
    <x v="1"/>
    <d v="2019-05-08T00:00:00"/>
    <x v="196"/>
    <n v="142.59"/>
    <x v="18"/>
  </r>
  <r>
    <x v="1"/>
    <d v="2019-05-08T00:00:00"/>
    <x v="197"/>
    <n v="27.01"/>
    <x v="1"/>
  </r>
  <r>
    <x v="1"/>
    <d v="2019-05-08T00:00:00"/>
    <x v="198"/>
    <n v="16.03"/>
    <x v="12"/>
  </r>
  <r>
    <x v="1"/>
    <d v="2019-05-08T00:00:00"/>
    <x v="199"/>
    <n v="30.33"/>
    <x v="10"/>
  </r>
  <r>
    <x v="1"/>
    <d v="2019-05-07T00:00:00"/>
    <x v="85"/>
    <n v="54.84"/>
    <x v="3"/>
  </r>
  <r>
    <x v="1"/>
    <d v="2019-05-07T00:00:00"/>
    <x v="200"/>
    <n v="15.11"/>
    <x v="16"/>
  </r>
  <r>
    <x v="1"/>
    <d v="2019-05-07T00:00:00"/>
    <x v="201"/>
    <n v="4.2300000000000004"/>
    <x v="15"/>
  </r>
  <r>
    <x v="1"/>
    <d v="2019-05-07T00:00:00"/>
    <x v="202"/>
    <n v="20.12"/>
    <x v="16"/>
  </r>
  <r>
    <x v="1"/>
    <d v="2019-05-07T00:00:00"/>
    <x v="203"/>
    <n v="5.72"/>
    <x v="16"/>
  </r>
  <r>
    <x v="1"/>
    <d v="2019-05-07T00:00:00"/>
    <x v="204"/>
    <n v="87.82"/>
    <x v="6"/>
  </r>
  <r>
    <x v="1"/>
    <d v="2019-05-07T00:00:00"/>
    <x v="205"/>
    <n v="-103.35"/>
    <x v="13"/>
  </r>
  <r>
    <x v="1"/>
    <d v="2019-05-06T00:00:00"/>
    <x v="206"/>
    <n v="14.12"/>
    <x v="21"/>
  </r>
  <r>
    <x v="1"/>
    <d v="2019-05-06T00:00:00"/>
    <x v="80"/>
    <n v="299"/>
    <x v="19"/>
  </r>
  <r>
    <x v="1"/>
    <d v="2019-05-06T00:00:00"/>
    <x v="207"/>
    <n v="98.17"/>
    <x v="0"/>
  </r>
  <r>
    <x v="1"/>
    <d v="2019-05-06T00:00:00"/>
    <x v="208"/>
    <n v="1225"/>
    <x v="25"/>
  </r>
  <r>
    <x v="1"/>
    <d v="2019-05-06T00:00:00"/>
    <x v="209"/>
    <n v="4.2300000000000004"/>
    <x v="15"/>
  </r>
  <r>
    <x v="1"/>
    <d v="2019-05-06T00:00:00"/>
    <x v="210"/>
    <n v="7.69"/>
    <x v="17"/>
  </r>
  <r>
    <x v="1"/>
    <d v="2019-05-06T00:00:00"/>
    <x v="211"/>
    <n v="40.39"/>
    <x v="18"/>
  </r>
  <r>
    <x v="1"/>
    <d v="2019-05-06T00:00:00"/>
    <x v="212"/>
    <n v="13.06"/>
    <x v="16"/>
  </r>
  <r>
    <x v="1"/>
    <d v="2019-05-06T00:00:00"/>
    <x v="213"/>
    <n v="29.1"/>
    <x v="13"/>
  </r>
  <r>
    <x v="1"/>
    <d v="2019-05-06T00:00:00"/>
    <x v="214"/>
    <n v="35.229999999999997"/>
    <x v="14"/>
  </r>
  <r>
    <x v="1"/>
    <d v="2019-05-06T00:00:00"/>
    <x v="209"/>
    <n v="6.96"/>
    <x v="0"/>
  </r>
  <r>
    <x v="1"/>
    <d v="2019-05-06T00:00:00"/>
    <x v="209"/>
    <n v="4.2300000000000004"/>
    <x v="15"/>
  </r>
  <r>
    <x v="1"/>
    <d v="2019-05-06T00:00:00"/>
    <x v="215"/>
    <n v="8.4499999999999993"/>
    <x v="10"/>
  </r>
  <r>
    <x v="1"/>
    <d v="2019-05-06T00:00:00"/>
    <x v="215"/>
    <n v="19.79"/>
    <x v="16"/>
  </r>
  <r>
    <x v="1"/>
    <d v="2019-05-06T00:00:00"/>
    <x v="210"/>
    <n v="8.49"/>
    <x v="17"/>
  </r>
  <r>
    <x v="1"/>
    <d v="2019-05-06T00:00:00"/>
    <x v="216"/>
    <n v="42.372"/>
    <x v="18"/>
  </r>
  <r>
    <x v="1"/>
    <d v="2019-05-06T00:00:00"/>
    <x v="217"/>
    <n v="2.65"/>
    <x v="0"/>
  </r>
  <r>
    <x v="1"/>
    <d v="2019-05-06T00:00:00"/>
    <x v="218"/>
    <n v="30.11"/>
    <x v="1"/>
  </r>
  <r>
    <x v="1"/>
    <d v="2019-05-06T00:00:00"/>
    <x v="209"/>
    <n v="4.2300000000000004"/>
    <x v="15"/>
  </r>
  <r>
    <x v="1"/>
    <d v="2019-05-06T00:00:00"/>
    <x v="219"/>
    <n v="24"/>
    <x v="7"/>
  </r>
  <r>
    <x v="1"/>
    <d v="2019-05-06T00:00:00"/>
    <x v="220"/>
    <n v="40"/>
    <x v="24"/>
  </r>
  <r>
    <x v="1"/>
    <d v="2019-05-04T00:00:00"/>
    <x v="2"/>
    <n v="34.89"/>
    <x v="10"/>
  </r>
  <r>
    <x v="1"/>
    <d v="2019-05-03T00:00:00"/>
    <x v="221"/>
    <n v="14.12"/>
    <x v="21"/>
  </r>
  <r>
    <x v="1"/>
    <d v="2019-05-02T00:00:00"/>
    <x v="86"/>
    <n v="832.24"/>
    <x v="20"/>
  </r>
  <r>
    <x v="1"/>
    <d v="2019-05-02T00:00:00"/>
    <x v="222"/>
    <n v="16.46"/>
    <x v="18"/>
  </r>
  <r>
    <x v="1"/>
    <d v="2019-05-01T00:00:00"/>
    <x v="223"/>
    <n v="13.9"/>
    <x v="18"/>
  </r>
  <r>
    <x v="2"/>
    <d v="2019-04-30T00:00:00"/>
    <x v="224"/>
    <n v="-0.01"/>
    <x v="0"/>
  </r>
  <r>
    <x v="2"/>
    <d v="2019-04-30T00:00:00"/>
    <x v="225"/>
    <n v="13.54"/>
    <x v="16"/>
  </r>
  <r>
    <x v="2"/>
    <d v="2019-04-30T00:00:00"/>
    <x v="226"/>
    <n v="14.1"/>
    <x v="10"/>
  </r>
  <r>
    <x v="2"/>
    <d v="2019-04-30T00:00:00"/>
    <x v="227"/>
    <n v="31.59"/>
    <x v="16"/>
  </r>
  <r>
    <x v="2"/>
    <d v="2019-04-30T00:00:00"/>
    <x v="228"/>
    <n v="44.45"/>
    <x v="10"/>
  </r>
  <r>
    <x v="2"/>
    <d v="2019-04-29T00:00:00"/>
    <x v="229"/>
    <n v="40"/>
    <x v="24"/>
  </r>
  <r>
    <x v="2"/>
    <d v="2019-04-29T00:00:00"/>
    <x v="230"/>
    <n v="-29.95"/>
    <x v="0"/>
  </r>
  <r>
    <x v="2"/>
    <d v="2019-04-29T00:00:00"/>
    <x v="126"/>
    <n v="437.54"/>
    <x v="8"/>
  </r>
  <r>
    <x v="2"/>
    <d v="2019-04-29T00:00:00"/>
    <x v="231"/>
    <n v="29.95"/>
    <x v="0"/>
  </r>
  <r>
    <x v="2"/>
    <d v="2019-04-29T00:00:00"/>
    <x v="232"/>
    <n v="32.130000000000003"/>
    <x v="1"/>
  </r>
  <r>
    <x v="2"/>
    <d v="2019-04-29T00:00:00"/>
    <x v="215"/>
    <n v="15.7"/>
    <x v="16"/>
  </r>
  <r>
    <x v="2"/>
    <d v="2019-04-29T00:00:00"/>
    <x v="215"/>
    <n v="12.46"/>
    <x v="10"/>
  </r>
  <r>
    <x v="2"/>
    <d v="2019-04-29T00:00:00"/>
    <x v="233"/>
    <n v="7.48"/>
    <x v="16"/>
  </r>
  <r>
    <x v="2"/>
    <d v="2019-04-29T00:00:00"/>
    <x v="234"/>
    <n v="130.32"/>
    <x v="14"/>
  </r>
  <r>
    <x v="2"/>
    <d v="2019-04-29T00:00:00"/>
    <x v="235"/>
    <n v="5.55"/>
    <x v="18"/>
  </r>
  <r>
    <x v="2"/>
    <d v="2019-04-29T00:00:00"/>
    <x v="236"/>
    <n v="8.5399999999999991"/>
    <x v="13"/>
  </r>
  <r>
    <x v="2"/>
    <d v="2019-04-29T00:00:00"/>
    <x v="209"/>
    <n v="4.2300000000000004"/>
    <x v="15"/>
  </r>
  <r>
    <x v="2"/>
    <d v="2019-04-29T00:00:00"/>
    <x v="237"/>
    <n v="21.25"/>
    <x v="13"/>
  </r>
  <r>
    <x v="2"/>
    <d v="2019-04-29T00:00:00"/>
    <x v="238"/>
    <n v="21.39"/>
    <x v="2"/>
  </r>
  <r>
    <x v="2"/>
    <d v="2019-04-29T00:00:00"/>
    <x v="239"/>
    <n v="37.450000000000003"/>
    <x v="10"/>
  </r>
  <r>
    <x v="2"/>
    <d v="2019-04-29T00:00:00"/>
    <x v="217"/>
    <n v="2.65"/>
    <x v="0"/>
  </r>
  <r>
    <x v="2"/>
    <d v="2019-04-29T00:00:00"/>
    <x v="240"/>
    <n v="69.98"/>
    <x v="0"/>
  </r>
  <r>
    <x v="2"/>
    <d v="2019-04-29T00:00:00"/>
    <x v="241"/>
    <n v="-42.78"/>
    <x v="13"/>
  </r>
  <r>
    <x v="2"/>
    <d v="2019-04-29T00:00:00"/>
    <x v="242"/>
    <n v="42.78"/>
    <x v="13"/>
  </r>
  <r>
    <x v="2"/>
    <d v="2019-04-29T00:00:00"/>
    <x v="243"/>
    <n v="30.21"/>
    <x v="1"/>
  </r>
  <r>
    <x v="2"/>
    <d v="2019-04-29T00:00:00"/>
    <x v="244"/>
    <n v="130"/>
    <x v="24"/>
  </r>
  <r>
    <x v="2"/>
    <d v="2019-04-29T00:00:00"/>
    <x v="244"/>
    <n v="30"/>
    <x v="24"/>
  </r>
  <r>
    <x v="2"/>
    <d v="2019-04-27T00:00:00"/>
    <x v="2"/>
    <n v="8.42"/>
    <x v="10"/>
  </r>
  <r>
    <x v="2"/>
    <d v="2019-04-26T00:00:00"/>
    <x v="245"/>
    <n v="2.13"/>
    <x v="14"/>
  </r>
  <r>
    <x v="2"/>
    <d v="2019-04-26T00:00:00"/>
    <x v="246"/>
    <n v="10.49"/>
    <x v="16"/>
  </r>
  <r>
    <x v="2"/>
    <d v="2019-04-25T00:00:00"/>
    <x v="247"/>
    <n v="39.06"/>
    <x v="4"/>
  </r>
  <r>
    <x v="2"/>
    <d v="2019-04-25T00:00:00"/>
    <x v="248"/>
    <n v="41.71"/>
    <x v="13"/>
  </r>
  <r>
    <x v="2"/>
    <d v="2019-04-25T00:00:00"/>
    <x v="249"/>
    <n v="13.78"/>
    <x v="18"/>
  </r>
  <r>
    <x v="2"/>
    <d v="2019-04-24T00:00:00"/>
    <x v="250"/>
    <n v="0.99"/>
    <x v="13"/>
  </r>
  <r>
    <x v="2"/>
    <d v="2019-04-24T00:00:00"/>
    <x v="250"/>
    <n v="2.99"/>
    <x v="13"/>
  </r>
  <r>
    <x v="2"/>
    <d v="2019-04-24T00:00:00"/>
    <x v="251"/>
    <n v="5.94"/>
    <x v="15"/>
  </r>
  <r>
    <x v="2"/>
    <d v="2019-04-24T00:00:00"/>
    <x v="252"/>
    <n v="9.6199999999999992"/>
    <x v="10"/>
  </r>
  <r>
    <x v="2"/>
    <d v="2019-04-24T00:00:00"/>
    <x v="253"/>
    <n v="39.770000000000003"/>
    <x v="13"/>
  </r>
  <r>
    <x v="2"/>
    <d v="2019-04-24T00:00:00"/>
    <x v="254"/>
    <n v="23.83"/>
    <x v="10"/>
  </r>
  <r>
    <x v="2"/>
    <d v="2019-04-23T00:00:00"/>
    <x v="255"/>
    <n v="12.97"/>
    <x v="10"/>
  </r>
  <r>
    <x v="2"/>
    <d v="2019-04-23T00:00:00"/>
    <x v="256"/>
    <n v="32"/>
    <x v="16"/>
  </r>
  <r>
    <x v="2"/>
    <d v="2019-04-22T00:00:00"/>
    <x v="257"/>
    <n v="9.6199999999999992"/>
    <x v="10"/>
  </r>
  <r>
    <x v="2"/>
    <d v="2019-04-22T00:00:00"/>
    <x v="258"/>
    <n v="35.5"/>
    <x v="1"/>
  </r>
  <r>
    <x v="2"/>
    <d v="2019-04-22T00:00:00"/>
    <x v="259"/>
    <n v="3.49"/>
    <x v="13"/>
  </r>
  <r>
    <x v="2"/>
    <d v="2019-04-22T00:00:00"/>
    <x v="260"/>
    <n v="4.9800000000000004"/>
    <x v="15"/>
  </r>
  <r>
    <x v="2"/>
    <d v="2019-04-22T00:00:00"/>
    <x v="261"/>
    <n v="9.0799999999999983"/>
    <x v="10"/>
  </r>
  <r>
    <x v="2"/>
    <d v="2019-04-22T00:00:00"/>
    <x v="261"/>
    <n v="20"/>
    <x v="24"/>
  </r>
  <r>
    <x v="2"/>
    <d v="2019-04-22T00:00:00"/>
    <x v="262"/>
    <n v="4.2300000000000004"/>
    <x v="15"/>
  </r>
  <r>
    <x v="2"/>
    <d v="2019-04-22T00:00:00"/>
    <x v="263"/>
    <n v="46.99"/>
    <x v="18"/>
  </r>
  <r>
    <x v="2"/>
    <d v="2019-04-22T00:00:00"/>
    <x v="264"/>
    <n v="21.39"/>
    <x v="13"/>
  </r>
  <r>
    <x v="2"/>
    <d v="2019-04-22T00:00:00"/>
    <x v="265"/>
    <n v="4.2300000000000004"/>
    <x v="15"/>
  </r>
  <r>
    <x v="2"/>
    <d v="2019-04-22T00:00:00"/>
    <x v="266"/>
    <n v="34.93"/>
    <x v="10"/>
  </r>
  <r>
    <x v="2"/>
    <d v="2019-04-22T00:00:00"/>
    <x v="267"/>
    <n v="4"/>
    <x v="0"/>
  </r>
  <r>
    <x v="2"/>
    <d v="2019-04-22T00:00:00"/>
    <x v="268"/>
    <n v="3.48"/>
    <x v="15"/>
  </r>
  <r>
    <x v="2"/>
    <d v="2019-04-19T00:00:00"/>
    <x v="269"/>
    <n v="17.11"/>
    <x v="0"/>
  </r>
  <r>
    <x v="2"/>
    <d v="2019-04-19T00:00:00"/>
    <x v="270"/>
    <n v="4.2300000000000004"/>
    <x v="15"/>
  </r>
  <r>
    <x v="2"/>
    <d v="2019-04-19T00:00:00"/>
    <x v="271"/>
    <n v="19.149999999999999"/>
    <x v="16"/>
  </r>
  <r>
    <x v="2"/>
    <d v="2019-04-19T00:00:00"/>
    <x v="272"/>
    <n v="30.07"/>
    <x v="1"/>
  </r>
  <r>
    <x v="2"/>
    <d v="2019-04-19T00:00:00"/>
    <x v="273"/>
    <n v="23"/>
    <x v="7"/>
  </r>
  <r>
    <x v="2"/>
    <d v="2019-04-19T00:00:00"/>
    <x v="2"/>
    <n v="32.75"/>
    <x v="10"/>
  </r>
  <r>
    <x v="2"/>
    <d v="2019-04-17T00:00:00"/>
    <x v="170"/>
    <n v="84"/>
    <x v="0"/>
  </r>
  <r>
    <x v="2"/>
    <d v="2019-04-17T00:00:00"/>
    <x v="274"/>
    <n v="10.17"/>
    <x v="16"/>
  </r>
  <r>
    <x v="2"/>
    <d v="2019-04-17T00:00:00"/>
    <x v="275"/>
    <n v="2.2799999999999998"/>
    <x v="13"/>
  </r>
  <r>
    <x v="2"/>
    <d v="2019-04-17T00:00:00"/>
    <x v="276"/>
    <n v="24.33"/>
    <x v="10"/>
  </r>
  <r>
    <x v="2"/>
    <d v="2019-04-16T00:00:00"/>
    <x v="277"/>
    <n v="161.72999999999999"/>
    <x v="0"/>
  </r>
  <r>
    <x v="2"/>
    <d v="2019-04-16T00:00:00"/>
    <x v="278"/>
    <n v="5.01"/>
    <x v="16"/>
  </r>
  <r>
    <x v="2"/>
    <d v="2019-04-16T00:00:00"/>
    <x v="279"/>
    <n v="10.199999999999999"/>
    <x v="10"/>
  </r>
  <r>
    <x v="2"/>
    <d v="2019-04-16T00:00:00"/>
    <x v="280"/>
    <n v="5.73"/>
    <x v="15"/>
  </r>
  <r>
    <x v="2"/>
    <d v="2019-04-16T00:00:00"/>
    <x v="281"/>
    <n v="56.23"/>
    <x v="18"/>
  </r>
  <r>
    <x v="2"/>
    <d v="2019-04-15T00:00:00"/>
    <x v="282"/>
    <n v="18.12"/>
    <x v="16"/>
  </r>
  <r>
    <x v="2"/>
    <d v="2019-04-15T00:00:00"/>
    <x v="283"/>
    <n v="22"/>
    <x v="0"/>
  </r>
  <r>
    <x v="2"/>
    <d v="2019-04-15T00:00:00"/>
    <x v="284"/>
    <n v="45.66"/>
    <x v="16"/>
  </r>
  <r>
    <x v="2"/>
    <d v="2019-04-15T00:00:00"/>
    <x v="285"/>
    <n v="128.34"/>
    <x v="0"/>
  </r>
  <r>
    <x v="2"/>
    <d v="2019-04-15T00:00:00"/>
    <x v="286"/>
    <n v="4.2300000000000004"/>
    <x v="15"/>
  </r>
  <r>
    <x v="2"/>
    <d v="2019-04-15T00:00:00"/>
    <x v="287"/>
    <n v="35.82"/>
    <x v="10"/>
  </r>
  <r>
    <x v="2"/>
    <d v="2019-04-15T00:00:00"/>
    <x v="288"/>
    <n v="9.6199999999999992"/>
    <x v="13"/>
  </r>
  <r>
    <x v="2"/>
    <d v="2019-04-15T00:00:00"/>
    <x v="289"/>
    <n v="220.47"/>
    <x v="13"/>
  </r>
  <r>
    <x v="2"/>
    <d v="2019-04-15T00:00:00"/>
    <x v="290"/>
    <n v="30.01"/>
    <x v="1"/>
  </r>
  <r>
    <x v="2"/>
    <d v="2019-04-15T00:00:00"/>
    <x v="291"/>
    <n v="4.2300000000000004"/>
    <x v="15"/>
  </r>
  <r>
    <x v="2"/>
    <d v="2019-04-15T00:00:00"/>
    <x v="292"/>
    <n v="26.32"/>
    <x v="10"/>
  </r>
  <r>
    <x v="2"/>
    <d v="2019-04-15T00:00:00"/>
    <x v="293"/>
    <n v="3.48"/>
    <x v="15"/>
  </r>
  <r>
    <x v="2"/>
    <d v="2019-04-15T00:00:00"/>
    <x v="294"/>
    <n v="2.99"/>
    <x v="13"/>
  </r>
  <r>
    <x v="2"/>
    <d v="2019-04-12T00:00:00"/>
    <x v="295"/>
    <n v="23"/>
    <x v="16"/>
  </r>
  <r>
    <x v="2"/>
    <d v="2019-04-12T00:00:00"/>
    <x v="296"/>
    <n v="5.09"/>
    <x v="15"/>
  </r>
  <r>
    <x v="2"/>
    <d v="2019-04-12T00:00:00"/>
    <x v="297"/>
    <n v="5.85"/>
    <x v="13"/>
  </r>
  <r>
    <x v="2"/>
    <d v="2019-04-11T00:00:00"/>
    <x v="298"/>
    <n v="25.78"/>
    <x v="16"/>
  </r>
  <r>
    <x v="2"/>
    <d v="2019-04-11T00:00:00"/>
    <x v="299"/>
    <n v="16.46"/>
    <x v="18"/>
  </r>
  <r>
    <x v="2"/>
    <d v="2019-04-11T00:00:00"/>
    <x v="2"/>
    <n v="11.42"/>
    <x v="10"/>
  </r>
  <r>
    <x v="2"/>
    <d v="2019-04-11T00:00:00"/>
    <x v="300"/>
    <n v="2.99"/>
    <x v="13"/>
  </r>
  <r>
    <x v="2"/>
    <d v="2019-04-10T00:00:00"/>
    <x v="301"/>
    <n v="7.47"/>
    <x v="10"/>
  </r>
  <r>
    <x v="2"/>
    <d v="2019-04-10T00:00:00"/>
    <x v="302"/>
    <n v="12.36"/>
    <x v="16"/>
  </r>
  <r>
    <x v="2"/>
    <d v="2019-04-10T00:00:00"/>
    <x v="303"/>
    <n v="5.09"/>
    <x v="15"/>
  </r>
  <r>
    <x v="2"/>
    <d v="2019-04-10T00:00:00"/>
    <x v="304"/>
    <n v="-411.28"/>
    <x v="0"/>
  </r>
  <r>
    <x v="2"/>
    <d v="2019-04-09T00:00:00"/>
    <x v="85"/>
    <n v="50.22"/>
    <x v="3"/>
  </r>
  <r>
    <x v="2"/>
    <d v="2019-04-09T00:00:00"/>
    <x v="305"/>
    <n v="4.2300000000000004"/>
    <x v="15"/>
  </r>
  <r>
    <x v="2"/>
    <d v="2019-04-09T00:00:00"/>
    <x v="306"/>
    <n v="5.09"/>
    <x v="15"/>
  </r>
  <r>
    <x v="2"/>
    <d v="2019-04-08T00:00:00"/>
    <x v="307"/>
    <n v="27.76"/>
    <x v="16"/>
  </r>
  <r>
    <x v="2"/>
    <d v="2019-04-08T00:00:00"/>
    <x v="308"/>
    <n v="4.2300000000000004"/>
    <x v="15"/>
  </r>
  <r>
    <x v="2"/>
    <d v="2019-04-08T00:00:00"/>
    <x v="309"/>
    <n v="29.08"/>
    <x v="10"/>
  </r>
  <r>
    <x v="2"/>
    <d v="2019-04-08T00:00:00"/>
    <x v="310"/>
    <n v="7.99"/>
    <x v="17"/>
  </r>
  <r>
    <x v="2"/>
    <d v="2019-04-08T00:00:00"/>
    <x v="244"/>
    <n v="40"/>
    <x v="24"/>
  </r>
  <r>
    <x v="2"/>
    <d v="2019-04-08T00:00:00"/>
    <x v="311"/>
    <n v="15.28"/>
    <x v="18"/>
  </r>
  <r>
    <x v="2"/>
    <d v="2019-04-08T00:00:00"/>
    <x v="209"/>
    <n v="4.2300000000000004"/>
    <x v="15"/>
  </r>
  <r>
    <x v="2"/>
    <d v="2019-04-08T00:00:00"/>
    <x v="312"/>
    <n v="27.08"/>
    <x v="1"/>
  </r>
  <r>
    <x v="2"/>
    <d v="2019-04-08T00:00:00"/>
    <x v="213"/>
    <n v="103.35"/>
    <x v="13"/>
  </r>
  <r>
    <x v="2"/>
    <d v="2019-04-08T00:00:00"/>
    <x v="209"/>
    <n v="4.2300000000000004"/>
    <x v="15"/>
  </r>
  <r>
    <x v="2"/>
    <d v="2019-04-08T00:00:00"/>
    <x v="209"/>
    <n v="4.2300000000000004"/>
    <x v="15"/>
  </r>
  <r>
    <x v="2"/>
    <d v="2019-04-08T00:00:00"/>
    <x v="313"/>
    <n v="22"/>
    <x v="0"/>
  </r>
  <r>
    <x v="2"/>
    <d v="2019-04-08T00:00:00"/>
    <x v="215"/>
    <n v="11.36"/>
    <x v="10"/>
  </r>
  <r>
    <x v="2"/>
    <d v="2019-04-08T00:00:00"/>
    <x v="213"/>
    <n v="42.39"/>
    <x v="13"/>
  </r>
  <r>
    <x v="2"/>
    <d v="2019-04-08T00:00:00"/>
    <x v="29"/>
    <n v="13.89"/>
    <x v="16"/>
  </r>
  <r>
    <x v="2"/>
    <d v="2019-04-08T00:00:00"/>
    <x v="219"/>
    <n v="23"/>
    <x v="7"/>
  </r>
  <r>
    <x v="2"/>
    <d v="2019-04-08T00:00:00"/>
    <x v="209"/>
    <n v="21.35"/>
    <x v="0"/>
  </r>
  <r>
    <x v="2"/>
    <d v="2019-04-08T00:00:00"/>
    <x v="209"/>
    <n v="4.2300000000000004"/>
    <x v="15"/>
  </r>
  <r>
    <x v="2"/>
    <d v="2019-04-06T00:00:00"/>
    <x v="314"/>
    <n v="32.21"/>
    <x v="10"/>
  </r>
  <r>
    <x v="2"/>
    <d v="2019-04-05T00:00:00"/>
    <x v="315"/>
    <n v="27.66"/>
    <x v="16"/>
  </r>
  <r>
    <x v="2"/>
    <d v="2019-04-05T00:00:00"/>
    <x v="316"/>
    <n v="6.96"/>
    <x v="15"/>
  </r>
  <r>
    <x v="2"/>
    <d v="2019-04-05T00:00:00"/>
    <x v="317"/>
    <n v="26.03"/>
    <x v="1"/>
  </r>
  <r>
    <x v="2"/>
    <d v="2019-04-05T00:00:00"/>
    <x v="2"/>
    <n v="8.0299999999999994"/>
    <x v="10"/>
  </r>
  <r>
    <x v="2"/>
    <d v="2019-04-05T00:00:00"/>
    <x v="318"/>
    <n v="5.09"/>
    <x v="15"/>
  </r>
  <r>
    <x v="2"/>
    <d v="2019-04-05T00:00:00"/>
    <x v="84"/>
    <n v="299"/>
    <x v="19"/>
  </r>
  <r>
    <x v="2"/>
    <d v="2019-04-04T00:00:00"/>
    <x v="319"/>
    <n v="5.73"/>
    <x v="15"/>
  </r>
  <r>
    <x v="2"/>
    <d v="2019-04-04T00:00:00"/>
    <x v="320"/>
    <n v="2.2799999999999998"/>
    <x v="13"/>
  </r>
  <r>
    <x v="2"/>
    <d v="2019-04-04T00:00:00"/>
    <x v="321"/>
    <n v="26.4"/>
    <x v="10"/>
  </r>
  <r>
    <x v="2"/>
    <d v="2019-04-03T00:00:00"/>
    <x v="322"/>
    <n v="14.12"/>
    <x v="21"/>
  </r>
  <r>
    <x v="2"/>
    <d v="2019-04-03T00:00:00"/>
    <x v="323"/>
    <n v="65"/>
    <x v="5"/>
  </r>
  <r>
    <x v="2"/>
    <d v="2019-04-03T00:00:00"/>
    <x v="324"/>
    <n v="87.82"/>
    <x v="6"/>
  </r>
  <r>
    <x v="2"/>
    <d v="2019-04-03T00:00:00"/>
    <x v="325"/>
    <n v="5.09"/>
    <x v="15"/>
  </r>
  <r>
    <x v="2"/>
    <d v="2019-04-03T00:00:00"/>
    <x v="326"/>
    <n v="25.33"/>
    <x v="10"/>
  </r>
  <r>
    <x v="2"/>
    <d v="2019-04-02T00:00:00"/>
    <x v="86"/>
    <n v="832.24"/>
    <x v="20"/>
  </r>
  <r>
    <x v="2"/>
    <d v="2019-04-02T00:00:00"/>
    <x v="327"/>
    <n v="2.41"/>
    <x v="15"/>
  </r>
  <r>
    <x v="2"/>
    <d v="2019-04-02T00:00:00"/>
    <x v="328"/>
    <n v="7.73"/>
    <x v="16"/>
  </r>
  <r>
    <x v="2"/>
    <d v="2019-04-02T00:00:00"/>
    <x v="329"/>
    <n v="11.55"/>
    <x v="10"/>
  </r>
  <r>
    <x v="2"/>
    <d v="2019-04-02T00:00:00"/>
    <x v="330"/>
    <n v="20.59"/>
    <x v="10"/>
  </r>
  <r>
    <x v="2"/>
    <d v="2019-04-01T00:00:00"/>
    <x v="331"/>
    <n v="29.95"/>
    <x v="0"/>
  </r>
  <r>
    <x v="2"/>
    <d v="2019-04-01T00:00:00"/>
    <x v="332"/>
    <n v="17.97"/>
    <x v="16"/>
  </r>
  <r>
    <x v="2"/>
    <d v="2019-04-01T00:00:00"/>
    <x v="333"/>
    <n v="30.01"/>
    <x v="0"/>
  </r>
  <r>
    <x v="2"/>
    <d v="2019-04-01T00:00:00"/>
    <x v="334"/>
    <n v="37.97"/>
    <x v="0"/>
  </r>
  <r>
    <x v="2"/>
    <d v="2019-04-01T00:00:00"/>
    <x v="335"/>
    <n v="29.47"/>
    <x v="18"/>
  </r>
  <r>
    <x v="2"/>
    <d v="2019-04-01T00:00:00"/>
    <x v="336"/>
    <n v="2.68"/>
    <x v="15"/>
  </r>
  <r>
    <x v="2"/>
    <d v="2019-04-01T00:00:00"/>
    <x v="337"/>
    <n v="5.62"/>
    <x v="15"/>
  </r>
  <r>
    <x v="2"/>
    <d v="2019-04-01T00:00:00"/>
    <x v="338"/>
    <n v="37.44"/>
    <x v="18"/>
  </r>
  <r>
    <x v="2"/>
    <d v="2019-04-01T00:00:00"/>
    <x v="339"/>
    <n v="5.51"/>
    <x v="15"/>
  </r>
  <r>
    <x v="2"/>
    <d v="2019-04-01T00:00:00"/>
    <x v="340"/>
    <n v="6.42"/>
    <x v="10"/>
  </r>
  <r>
    <x v="2"/>
    <d v="2019-04-01T00:00:00"/>
    <x v="341"/>
    <n v="2.68"/>
    <x v="15"/>
  </r>
  <r>
    <x v="2"/>
    <d v="2019-04-01T00:00:00"/>
    <x v="342"/>
    <n v="6.05"/>
    <x v="15"/>
  </r>
  <r>
    <x v="2"/>
    <d v="2019-04-01T00:00:00"/>
    <x v="343"/>
    <n v="53.49"/>
    <x v="0"/>
  </r>
  <r>
    <x v="2"/>
    <d v="2019-04-01T00:00:00"/>
    <x v="344"/>
    <n v="11.42"/>
    <x v="10"/>
  </r>
  <r>
    <x v="3"/>
    <d v="2019-03-29T00:00:00"/>
    <x v="224"/>
    <n v="-0.01"/>
    <x v="0"/>
  </r>
  <r>
    <x v="3"/>
    <d v="2019-03-29T00:00:00"/>
    <x v="345"/>
    <n v="437.54"/>
    <x v="8"/>
  </r>
  <r>
    <x v="3"/>
    <d v="2019-03-29T00:00:00"/>
    <x v="346"/>
    <n v="35.369999999999997"/>
    <x v="16"/>
  </r>
  <r>
    <x v="3"/>
    <d v="2019-03-29T00:00:00"/>
    <x v="347"/>
    <n v="5.94"/>
    <x v="15"/>
  </r>
  <r>
    <x v="3"/>
    <d v="2019-03-29T00:00:00"/>
    <x v="348"/>
    <n v="4.05"/>
    <x v="10"/>
  </r>
  <r>
    <x v="3"/>
    <d v="2019-03-29T00:00:00"/>
    <x v="349"/>
    <n v="13.78"/>
    <x v="18"/>
  </r>
  <r>
    <x v="3"/>
    <d v="2019-03-29T00:00:00"/>
    <x v="350"/>
    <n v="5.09"/>
    <x v="15"/>
  </r>
  <r>
    <x v="3"/>
    <d v="2019-03-28T00:00:00"/>
    <x v="351"/>
    <n v="30"/>
    <x v="1"/>
  </r>
  <r>
    <x v="3"/>
    <d v="2019-03-28T00:00:00"/>
    <x v="352"/>
    <n v="30.35"/>
    <x v="16"/>
  </r>
  <r>
    <x v="3"/>
    <d v="2019-03-29T00:00:00"/>
    <x v="353"/>
    <n v="16.03"/>
    <x v="12"/>
  </r>
  <r>
    <x v="3"/>
    <d v="2019-03-29T00:00:00"/>
    <x v="238"/>
    <n v="21.39"/>
    <x v="2"/>
  </r>
  <r>
    <x v="3"/>
    <d v="2019-03-28T00:00:00"/>
    <x v="354"/>
    <n v="17.97"/>
    <x v="10"/>
  </r>
  <r>
    <x v="3"/>
    <d v="2019-03-28T00:00:00"/>
    <x v="318"/>
    <n v="5.73"/>
    <x v="15"/>
  </r>
  <r>
    <x v="3"/>
    <d v="2019-03-27T00:00:00"/>
    <x v="355"/>
    <n v="20.149999999999999"/>
    <x v="16"/>
  </r>
  <r>
    <x v="3"/>
    <d v="2019-03-27T00:00:00"/>
    <x v="356"/>
    <n v="40.1"/>
    <x v="10"/>
  </r>
  <r>
    <x v="3"/>
    <d v="2019-03-26T00:00:00"/>
    <x v="357"/>
    <n v="42.79"/>
    <x v="0"/>
  </r>
  <r>
    <x v="3"/>
    <d v="2019-03-26T00:00:00"/>
    <x v="358"/>
    <n v="5.3"/>
    <x v="15"/>
  </r>
  <r>
    <x v="3"/>
    <d v="2019-03-26T00:00:00"/>
    <x v="359"/>
    <n v="12.42"/>
    <x v="10"/>
  </r>
  <r>
    <x v="3"/>
    <d v="2019-03-26T00:00:00"/>
    <x v="360"/>
    <n v="7.35"/>
    <x v="10"/>
  </r>
  <r>
    <x v="3"/>
    <d v="2019-03-25T00:00:00"/>
    <x v="361"/>
    <n v="0.99"/>
    <x v="13"/>
  </r>
  <r>
    <x v="3"/>
    <d v="2019-03-25T00:00:00"/>
    <x v="362"/>
    <n v="39.06"/>
    <x v="4"/>
  </r>
  <r>
    <x v="3"/>
    <d v="2019-03-25T00:00:00"/>
    <x v="363"/>
    <n v="26.95"/>
    <x v="16"/>
  </r>
  <r>
    <x v="3"/>
    <d v="2019-03-25T00:00:00"/>
    <x v="364"/>
    <n v="22.01"/>
    <x v="1"/>
  </r>
  <r>
    <x v="3"/>
    <d v="2019-03-25T00:00:00"/>
    <x v="365"/>
    <n v="6.05"/>
    <x v="15"/>
  </r>
  <r>
    <x v="3"/>
    <d v="2019-03-25T00:00:00"/>
    <x v="366"/>
    <n v="6.94"/>
    <x v="0"/>
  </r>
  <r>
    <x v="3"/>
    <d v="2019-03-25T00:00:00"/>
    <x v="367"/>
    <n v="11.11"/>
    <x v="18"/>
  </r>
  <r>
    <x v="3"/>
    <d v="2019-03-25T00:00:00"/>
    <x v="368"/>
    <n v="16.05"/>
    <x v="0"/>
  </r>
  <r>
    <x v="3"/>
    <d v="2019-03-25T00:00:00"/>
    <x v="369"/>
    <n v="63.95"/>
    <x v="24"/>
  </r>
  <r>
    <x v="3"/>
    <d v="2019-03-25T00:00:00"/>
    <x v="370"/>
    <n v="37.450000000000003"/>
    <x v="10"/>
  </r>
  <r>
    <x v="3"/>
    <d v="2019-03-25T00:00:00"/>
    <x v="371"/>
    <n v="13.97"/>
    <x v="16"/>
  </r>
  <r>
    <x v="3"/>
    <d v="2019-03-25T00:00:00"/>
    <x v="372"/>
    <n v="13.38"/>
    <x v="10"/>
  </r>
  <r>
    <x v="3"/>
    <d v="2019-03-25T00:00:00"/>
    <x v="373"/>
    <n v="4.2300000000000004"/>
    <x v="15"/>
  </r>
  <r>
    <x v="3"/>
    <d v="2019-03-25T00:00:00"/>
    <x v="374"/>
    <n v="5"/>
    <x v="16"/>
  </r>
  <r>
    <x v="3"/>
    <d v="2019-03-25T00:00:00"/>
    <x v="375"/>
    <n v="3.59"/>
    <x v="10"/>
  </r>
  <r>
    <x v="3"/>
    <d v="2019-03-25T00:00:00"/>
    <x v="375"/>
    <n v="20"/>
    <x v="24"/>
  </r>
  <r>
    <x v="3"/>
    <d v="2019-03-25T00:00:00"/>
    <x v="376"/>
    <n v="30"/>
    <x v="1"/>
  </r>
  <r>
    <x v="3"/>
    <d v="2019-03-25T00:00:00"/>
    <x v="377"/>
    <n v="18.45"/>
    <x v="10"/>
  </r>
  <r>
    <x v="3"/>
    <d v="2019-03-25T00:00:00"/>
    <x v="378"/>
    <n v="-3.95"/>
    <x v="0"/>
  </r>
  <r>
    <x v="3"/>
    <d v="2019-03-22T00:00:00"/>
    <x v="379"/>
    <n v="11.45"/>
    <x v="10"/>
  </r>
  <r>
    <x v="3"/>
    <d v="2019-03-22T00:00:00"/>
    <x v="380"/>
    <n v="30.83"/>
    <x v="16"/>
  </r>
  <r>
    <x v="3"/>
    <d v="2019-03-22T00:00:00"/>
    <x v="381"/>
    <n v="23"/>
    <x v="7"/>
  </r>
  <r>
    <x v="3"/>
    <d v="2019-03-22T00:00:00"/>
    <x v="382"/>
    <n v="7.48"/>
    <x v="16"/>
  </r>
  <r>
    <x v="3"/>
    <d v="2019-03-22T00:00:00"/>
    <x v="383"/>
    <n v="11.84"/>
    <x v="13"/>
  </r>
  <r>
    <x v="3"/>
    <d v="2019-03-22T00:00:00"/>
    <x v="2"/>
    <n v="16.84"/>
    <x v="10"/>
  </r>
  <r>
    <x v="3"/>
    <d v="2019-03-22T00:00:00"/>
    <x v="384"/>
    <n v="5.73"/>
    <x v="15"/>
  </r>
  <r>
    <x v="3"/>
    <d v="2019-03-21T00:00:00"/>
    <x v="385"/>
    <n v="46.99"/>
    <x v="18"/>
  </r>
  <r>
    <x v="3"/>
    <d v="2019-03-21T00:00:00"/>
    <x v="386"/>
    <n v="2.25"/>
    <x v="0"/>
  </r>
  <r>
    <x v="3"/>
    <d v="2019-03-21T00:00:00"/>
    <x v="387"/>
    <n v="5.73"/>
    <x v="15"/>
  </r>
  <r>
    <x v="3"/>
    <d v="2019-03-20T00:00:00"/>
    <x v="388"/>
    <n v="10"/>
    <x v="0"/>
  </r>
  <r>
    <x v="3"/>
    <d v="2019-03-19T00:00:00"/>
    <x v="389"/>
    <n v="17.11"/>
    <x v="13"/>
  </r>
  <r>
    <x v="3"/>
    <d v="2019-03-19T00:00:00"/>
    <x v="390"/>
    <n v="13.96"/>
    <x v="10"/>
  </r>
  <r>
    <x v="3"/>
    <d v="2019-03-19T00:00:00"/>
    <x v="391"/>
    <n v="25.03"/>
    <x v="1"/>
  </r>
  <r>
    <x v="3"/>
    <d v="2019-03-19T00:00:00"/>
    <x v="392"/>
    <n v="25.94"/>
    <x v="16"/>
  </r>
  <r>
    <x v="3"/>
    <d v="2019-03-18T00:00:00"/>
    <x v="393"/>
    <n v="11.24"/>
    <x v="10"/>
  </r>
  <r>
    <x v="3"/>
    <d v="2019-03-18T00:00:00"/>
    <x v="217"/>
    <n v="3.4"/>
    <x v="0"/>
  </r>
  <r>
    <x v="3"/>
    <d v="2019-03-18T00:00:00"/>
    <x v="394"/>
    <n v="13.6"/>
    <x v="23"/>
  </r>
  <r>
    <x v="3"/>
    <d v="2019-03-18T00:00:00"/>
    <x v="395"/>
    <n v="11.23"/>
    <x v="16"/>
  </r>
  <r>
    <x v="3"/>
    <d v="2019-03-18T00:00:00"/>
    <x v="209"/>
    <n v="5.94"/>
    <x v="15"/>
  </r>
  <r>
    <x v="3"/>
    <d v="2019-03-18T00:00:00"/>
    <x v="396"/>
    <n v="44.03"/>
    <x v="10"/>
  </r>
  <r>
    <x v="3"/>
    <d v="2019-03-18T00:00:00"/>
    <x v="396"/>
    <n v="3"/>
    <x v="16"/>
  </r>
  <r>
    <x v="3"/>
    <d v="2019-03-18T00:00:00"/>
    <x v="170"/>
    <n v="150"/>
    <x v="0"/>
  </r>
  <r>
    <x v="3"/>
    <d v="2019-03-18T00:00:00"/>
    <x v="216"/>
    <n v="18.190000000000001"/>
    <x v="10"/>
  </r>
  <r>
    <x v="3"/>
    <d v="2019-03-18T00:00:00"/>
    <x v="397"/>
    <n v="25.68"/>
    <x v="10"/>
  </r>
  <r>
    <x v="3"/>
    <d v="2019-03-18T00:00:00"/>
    <x v="217"/>
    <n v="2.25"/>
    <x v="0"/>
  </r>
  <r>
    <x v="3"/>
    <d v="2019-03-18T00:00:00"/>
    <x v="398"/>
    <n v="32.08"/>
    <x v="0"/>
  </r>
  <r>
    <x v="3"/>
    <d v="2019-03-18T00:00:00"/>
    <x v="209"/>
    <n v="5.19"/>
    <x v="15"/>
  </r>
  <r>
    <x v="3"/>
    <d v="2019-03-18T00:00:00"/>
    <x v="211"/>
    <n v="40.26"/>
    <x v="23"/>
  </r>
  <r>
    <x v="3"/>
    <d v="2019-03-18T00:00:00"/>
    <x v="209"/>
    <n v="2.2999999999999998"/>
    <x v="15"/>
  </r>
  <r>
    <x v="3"/>
    <d v="2019-03-18T00:00:00"/>
    <x v="399"/>
    <n v="52.95"/>
    <x v="23"/>
  </r>
  <r>
    <x v="3"/>
    <d v="2019-03-18T00:00:00"/>
    <x v="400"/>
    <n v="42.79"/>
    <x v="13"/>
  </r>
  <r>
    <x v="3"/>
    <d v="2019-03-18T00:00:00"/>
    <x v="209"/>
    <n v="4.55"/>
    <x v="10"/>
  </r>
  <r>
    <x v="3"/>
    <d v="2019-03-18T00:00:00"/>
    <x v="209"/>
    <n v="3.91"/>
    <x v="15"/>
  </r>
  <r>
    <x v="3"/>
    <d v="2019-03-18T00:00:00"/>
    <x v="401"/>
    <n v="30"/>
    <x v="1"/>
  </r>
  <r>
    <x v="3"/>
    <d v="2019-03-16T00:00:00"/>
    <x v="318"/>
    <n v="5.09"/>
    <x v="15"/>
  </r>
  <r>
    <x v="3"/>
    <d v="2019-03-15T00:00:00"/>
    <x v="402"/>
    <n v="11.84"/>
    <x v="10"/>
  </r>
  <r>
    <x v="3"/>
    <d v="2019-03-15T00:00:00"/>
    <x v="403"/>
    <n v="23.52"/>
    <x v="16"/>
  </r>
  <r>
    <x v="3"/>
    <d v="2019-03-15T00:00:00"/>
    <x v="404"/>
    <n v="13.97"/>
    <x v="18"/>
  </r>
  <r>
    <x v="3"/>
    <d v="2019-03-15T00:00:00"/>
    <x v="2"/>
    <n v="12.84"/>
    <x v="10"/>
  </r>
  <r>
    <x v="3"/>
    <d v="2019-03-14T00:00:00"/>
    <x v="405"/>
    <n v="3.89"/>
    <x v="16"/>
  </r>
  <r>
    <x v="3"/>
    <d v="2019-03-13T00:00:00"/>
    <x v="406"/>
    <n v="8.5399999999999991"/>
    <x v="10"/>
  </r>
  <r>
    <x v="3"/>
    <d v="2019-03-13T00:00:00"/>
    <x v="407"/>
    <n v="9.5299999999999994"/>
    <x v="16"/>
  </r>
  <r>
    <x v="3"/>
    <d v="2019-03-13T00:00:00"/>
    <x v="408"/>
    <n v="45.58"/>
    <x v="16"/>
  </r>
  <r>
    <x v="3"/>
    <d v="2019-03-13T00:00:00"/>
    <x v="409"/>
    <n v="18.18"/>
    <x v="13"/>
  </r>
  <r>
    <x v="3"/>
    <d v="2019-03-13T00:00:00"/>
    <x v="410"/>
    <n v="27.7"/>
    <x v="16"/>
  </r>
  <r>
    <x v="3"/>
    <d v="2019-03-12T00:00:00"/>
    <x v="411"/>
    <n v="3.2"/>
    <x v="10"/>
  </r>
  <r>
    <x v="3"/>
    <d v="2019-03-12T00:00:00"/>
    <x v="412"/>
    <n v="5.09"/>
    <x v="15"/>
  </r>
  <r>
    <x v="3"/>
    <d v="2019-03-12T00:00:00"/>
    <x v="413"/>
    <n v="130.27000000000001"/>
    <x v="17"/>
  </r>
  <r>
    <x v="3"/>
    <d v="2019-03-12T00:00:00"/>
    <x v="414"/>
    <n v="10"/>
    <x v="0"/>
  </r>
  <r>
    <x v="3"/>
    <d v="2019-03-11T00:00:00"/>
    <x v="415"/>
    <n v="12.36"/>
    <x v="16"/>
  </r>
  <r>
    <x v="3"/>
    <d v="2019-03-11T00:00:00"/>
    <x v="416"/>
    <n v="6.96"/>
    <x v="15"/>
  </r>
  <r>
    <x v="3"/>
    <d v="2019-03-11T00:00:00"/>
    <x v="417"/>
    <n v="29.55"/>
    <x v="1"/>
  </r>
  <r>
    <x v="3"/>
    <d v="2019-03-11T00:00:00"/>
    <x v="418"/>
    <n v="23.5"/>
    <x v="10"/>
  </r>
  <r>
    <x v="3"/>
    <d v="2019-03-11T00:00:00"/>
    <x v="419"/>
    <n v="13.9"/>
    <x v="18"/>
  </r>
  <r>
    <x v="3"/>
    <d v="2019-03-11T00:00:00"/>
    <x v="420"/>
    <n v="8.23"/>
    <x v="18"/>
  </r>
  <r>
    <x v="3"/>
    <d v="2019-03-11T00:00:00"/>
    <x v="421"/>
    <n v="33.49"/>
    <x v="0"/>
  </r>
  <r>
    <x v="3"/>
    <d v="2019-03-11T00:00:00"/>
    <x v="422"/>
    <n v="30.01"/>
    <x v="14"/>
  </r>
  <r>
    <x v="3"/>
    <d v="2019-03-11T00:00:00"/>
    <x v="423"/>
    <n v="5.2"/>
    <x v="16"/>
  </r>
  <r>
    <x v="3"/>
    <d v="2019-03-11T00:00:00"/>
    <x v="424"/>
    <n v="17.84"/>
    <x v="10"/>
  </r>
  <r>
    <x v="3"/>
    <d v="2019-03-11T00:00:00"/>
    <x v="425"/>
    <n v="10"/>
    <x v="0"/>
  </r>
  <r>
    <x v="3"/>
    <d v="2019-03-11T00:00:00"/>
    <x v="426"/>
    <n v="8.3699999999999992"/>
    <x v="16"/>
  </r>
  <r>
    <x v="3"/>
    <d v="2019-03-11T00:00:00"/>
    <x v="427"/>
    <n v="14.57"/>
    <x v="18"/>
  </r>
  <r>
    <x v="3"/>
    <d v="2019-03-11T00:00:00"/>
    <x v="428"/>
    <n v="30.22"/>
    <x v="1"/>
  </r>
  <r>
    <x v="3"/>
    <d v="2019-03-11T00:00:00"/>
    <x v="429"/>
    <n v="60"/>
    <x v="24"/>
  </r>
  <r>
    <x v="3"/>
    <d v="2019-03-11T00:00:00"/>
    <x v="430"/>
    <n v="16.46"/>
    <x v="18"/>
  </r>
  <r>
    <x v="3"/>
    <d v="2019-03-11T00:00:00"/>
    <x v="431"/>
    <n v="15.7"/>
    <x v="10"/>
  </r>
  <r>
    <x v="3"/>
    <d v="2019-03-08T00:00:00"/>
    <x v="219"/>
    <n v="23"/>
    <x v="7"/>
  </r>
  <r>
    <x v="3"/>
    <d v="2019-03-08T00:00:00"/>
    <x v="29"/>
    <n v="5.99"/>
    <x v="10"/>
  </r>
  <r>
    <x v="3"/>
    <d v="2019-03-08T00:00:00"/>
    <x v="2"/>
    <n v="10.35"/>
    <x v="10"/>
  </r>
  <r>
    <x v="3"/>
    <d v="2019-03-08T00:00:00"/>
    <x v="309"/>
    <n v="10.7"/>
    <x v="10"/>
  </r>
  <r>
    <x v="3"/>
    <d v="2019-03-07T00:00:00"/>
    <x v="432"/>
    <n v="15.85"/>
    <x v="16"/>
  </r>
  <r>
    <x v="3"/>
    <d v="2019-03-07T00:00:00"/>
    <x v="433"/>
    <n v="6.42"/>
    <x v="10"/>
  </r>
  <r>
    <x v="3"/>
    <d v="2019-03-07T00:00:00"/>
    <x v="434"/>
    <n v="59.99"/>
    <x v="0"/>
  </r>
  <r>
    <x v="3"/>
    <d v="2019-03-07T00:00:00"/>
    <x v="435"/>
    <n v="21.39"/>
    <x v="13"/>
  </r>
  <r>
    <x v="3"/>
    <d v="2019-03-07T00:00:00"/>
    <x v="299"/>
    <n v="16.46"/>
    <x v="18"/>
  </r>
  <r>
    <x v="3"/>
    <d v="2019-03-07T00:00:00"/>
    <x v="2"/>
    <n v="10.35"/>
    <x v="10"/>
  </r>
  <r>
    <x v="3"/>
    <d v="2019-03-07T00:00:00"/>
    <x v="318"/>
    <n v="5.09"/>
    <x v="15"/>
  </r>
  <r>
    <x v="3"/>
    <d v="2019-03-06T00:00:00"/>
    <x v="436"/>
    <n v="33.15"/>
    <x v="16"/>
  </r>
  <r>
    <x v="3"/>
    <d v="2019-03-06T00:00:00"/>
    <x v="437"/>
    <n v="20.05"/>
    <x v="1"/>
  </r>
  <r>
    <x v="3"/>
    <d v="2019-03-06T00:00:00"/>
    <x v="438"/>
    <n v="41.6"/>
    <x v="3"/>
  </r>
  <r>
    <x v="3"/>
    <d v="2019-03-05T00:00:00"/>
    <x v="80"/>
    <n v="299"/>
    <x v="19"/>
  </r>
  <r>
    <x v="3"/>
    <d v="2019-03-04T00:00:00"/>
    <x v="86"/>
    <n v="832.24"/>
    <x v="20"/>
  </r>
  <r>
    <x v="3"/>
    <d v="2019-03-04T00:00:00"/>
    <x v="439"/>
    <n v="18.729999999999997"/>
    <x v="16"/>
  </r>
  <r>
    <x v="3"/>
    <d v="2019-03-04T00:00:00"/>
    <x v="439"/>
    <n v="19.999999999999996"/>
    <x v="24"/>
  </r>
  <r>
    <x v="3"/>
    <d v="2019-03-04T00:00:00"/>
    <x v="440"/>
    <n v="8.85"/>
    <x v="16"/>
  </r>
  <r>
    <x v="3"/>
    <d v="2019-03-04T00:00:00"/>
    <x v="441"/>
    <n v="77.97"/>
    <x v="0"/>
  </r>
  <r>
    <x v="3"/>
    <d v="2019-03-04T00:00:00"/>
    <x v="309"/>
    <n v="10.42"/>
    <x v="10"/>
  </r>
  <r>
    <x v="3"/>
    <d v="2019-03-04T00:00:00"/>
    <x v="209"/>
    <n v="4.2300000000000004"/>
    <x v="15"/>
  </r>
  <r>
    <x v="3"/>
    <d v="2019-03-04T00:00:00"/>
    <x v="242"/>
    <n v="869.88"/>
    <x v="13"/>
  </r>
  <r>
    <x v="3"/>
    <d v="2019-03-04T00:00:00"/>
    <x v="209"/>
    <n v="17.11"/>
    <x v="13"/>
  </r>
  <r>
    <x v="3"/>
    <d v="2019-03-04T00:00:00"/>
    <x v="209"/>
    <n v="2.41"/>
    <x v="15"/>
  </r>
  <r>
    <x v="3"/>
    <d v="2019-03-04T00:00:00"/>
    <x v="124"/>
    <n v="23.02"/>
    <x v="16"/>
  </r>
  <r>
    <x v="3"/>
    <d v="2019-03-04T00:00:00"/>
    <x v="209"/>
    <n v="5.94"/>
    <x v="15"/>
  </r>
  <r>
    <x v="3"/>
    <d v="2019-03-04T00:00:00"/>
    <x v="442"/>
    <n v="87.82"/>
    <x v="6"/>
  </r>
  <r>
    <x v="3"/>
    <d v="2019-03-04T00:00:00"/>
    <x v="215"/>
    <n v="6.06"/>
    <x v="16"/>
  </r>
  <r>
    <x v="3"/>
    <d v="2019-03-04T00:00:00"/>
    <x v="443"/>
    <n v="65"/>
    <x v="5"/>
  </r>
  <r>
    <x v="3"/>
    <d v="2019-03-04T00:00:00"/>
    <x v="210"/>
    <n v="13.9"/>
    <x v="0"/>
  </r>
  <r>
    <x v="3"/>
    <d v="2019-03-04T00:00:00"/>
    <x v="444"/>
    <n v="14.12"/>
    <x v="21"/>
  </r>
  <r>
    <x v="3"/>
    <d v="2019-03-02T00:00:00"/>
    <x v="314"/>
    <n v="29.17"/>
    <x v="10"/>
  </r>
  <r>
    <x v="3"/>
    <d v="2019-03-02T00:00:00"/>
    <x v="2"/>
    <n v="19.52"/>
    <x v="10"/>
  </r>
  <r>
    <x v="3"/>
    <d v="2019-03-02T00:00:00"/>
    <x v="445"/>
    <n v="5.3"/>
    <x v="18"/>
  </r>
  <r>
    <x v="3"/>
    <d v="2019-03-02T00:00:00"/>
    <x v="318"/>
    <n v="5.09"/>
    <x v="15"/>
  </r>
  <r>
    <x v="3"/>
    <d v="2019-03-01T00:00:00"/>
    <x v="446"/>
    <n v="21.39"/>
    <x v="2"/>
  </r>
  <r>
    <x v="4"/>
    <d v="2019-03-01T00:00:00"/>
    <x v="345"/>
    <n v="437.54"/>
    <x v="8"/>
  </r>
  <r>
    <x v="3"/>
    <d v="2019-03-01T00:00:00"/>
    <x v="447"/>
    <n v="50"/>
    <x v="18"/>
  </r>
  <r>
    <x v="3"/>
    <d v="2019-03-01T00:00:00"/>
    <x v="448"/>
    <n v="2.25"/>
    <x v="0"/>
  </r>
  <r>
    <x v="3"/>
    <d v="2019-03-01T00:00:00"/>
    <x v="449"/>
    <n v="5.73"/>
    <x v="15"/>
  </r>
  <r>
    <x v="3"/>
    <d v="2019-03-01T00:00:00"/>
    <x v="450"/>
    <n v="40.520000000000003"/>
    <x v="10"/>
  </r>
  <r>
    <x v="4"/>
    <d v="2019-02-28T00:00:00"/>
    <x v="224"/>
    <n v="-0.02"/>
    <x v="0"/>
  </r>
  <r>
    <x v="4"/>
    <d v="2019-02-28T00:00:00"/>
    <x v="451"/>
    <n v="30.01"/>
    <x v="1"/>
  </r>
  <r>
    <x v="4"/>
    <d v="2019-02-28T00:00:00"/>
    <x v="452"/>
    <n v="10.88"/>
    <x v="0"/>
  </r>
  <r>
    <x v="4"/>
    <d v="2019-02-28T00:00:00"/>
    <x v="453"/>
    <n v="8.56"/>
    <x v="10"/>
  </r>
  <r>
    <x v="4"/>
    <d v="2019-02-28T00:00:00"/>
    <x v="454"/>
    <n v="29.95"/>
    <x v="0"/>
  </r>
  <r>
    <x v="4"/>
    <d v="2019-02-28T00:00:00"/>
    <x v="455"/>
    <n v="5.55"/>
    <x v="18"/>
  </r>
  <r>
    <x v="4"/>
    <d v="2019-02-28T00:00:00"/>
    <x v="455"/>
    <n v="8.01"/>
    <x v="18"/>
  </r>
  <r>
    <x v="4"/>
    <d v="2019-02-28T00:00:00"/>
    <x v="456"/>
    <n v="31.17"/>
    <x v="12"/>
  </r>
  <r>
    <x v="4"/>
    <d v="2019-02-28T00:00:00"/>
    <x v="457"/>
    <n v="5.73"/>
    <x v="15"/>
  </r>
  <r>
    <x v="4"/>
    <d v="2019-02-28T00:00:00"/>
    <x v="458"/>
    <n v="31.82"/>
    <x v="14"/>
  </r>
  <r>
    <x v="4"/>
    <d v="2019-02-27T00:00:00"/>
    <x v="459"/>
    <n v="22.26"/>
    <x v="10"/>
  </r>
  <r>
    <x v="4"/>
    <d v="2019-02-26T00:00:00"/>
    <x v="460"/>
    <n v="42.79"/>
    <x v="2"/>
  </r>
  <r>
    <x v="4"/>
    <d v="2019-02-26T00:00:00"/>
    <x v="461"/>
    <n v="15.78"/>
    <x v="16"/>
  </r>
  <r>
    <x v="4"/>
    <d v="2019-02-26T00:00:00"/>
    <x v="462"/>
    <n v="9.9499999999999993"/>
    <x v="0"/>
  </r>
  <r>
    <x v="4"/>
    <d v="2019-02-26T00:00:00"/>
    <x v="463"/>
    <n v="22.66"/>
    <x v="10"/>
  </r>
  <r>
    <x v="4"/>
    <d v="2019-02-25T00:00:00"/>
    <x v="464"/>
    <n v="0.99"/>
    <x v="13"/>
  </r>
  <r>
    <x v="4"/>
    <d v="2019-02-25T00:00:00"/>
    <x v="464"/>
    <n v="2.99"/>
    <x v="13"/>
  </r>
  <r>
    <x v="4"/>
    <d v="2019-02-25T00:00:00"/>
    <x v="465"/>
    <n v="6.25"/>
    <x v="16"/>
  </r>
  <r>
    <x v="4"/>
    <d v="2019-02-25T00:00:00"/>
    <x v="466"/>
    <n v="80"/>
    <x v="17"/>
  </r>
  <r>
    <x v="4"/>
    <d v="2019-02-25T00:00:00"/>
    <x v="238"/>
    <n v="42.79"/>
    <x v="2"/>
  </r>
  <r>
    <x v="4"/>
    <d v="2019-02-25T00:00:00"/>
    <x v="309"/>
    <n v="17.66"/>
    <x v="10"/>
  </r>
  <r>
    <x v="4"/>
    <d v="2019-02-25T00:00:00"/>
    <x v="124"/>
    <n v="9.2899999999999991"/>
    <x v="16"/>
  </r>
  <r>
    <x v="4"/>
    <d v="2019-02-25T00:00:00"/>
    <x v="467"/>
    <n v="8.23"/>
    <x v="15"/>
  </r>
  <r>
    <x v="4"/>
    <d v="2019-02-25T00:00:00"/>
    <x v="215"/>
    <n v="32.33"/>
    <x v="16"/>
  </r>
  <r>
    <x v="4"/>
    <d v="2019-02-25T00:00:00"/>
    <x v="468"/>
    <n v="-18.75"/>
    <x v="14"/>
  </r>
  <r>
    <x v="4"/>
    <d v="2019-02-25T00:00:00"/>
    <x v="469"/>
    <n v="160.37"/>
    <x v="0"/>
  </r>
  <r>
    <x v="4"/>
    <d v="2019-02-25T00:00:00"/>
    <x v="215"/>
    <n v="7.22"/>
    <x v="10"/>
  </r>
  <r>
    <x v="4"/>
    <d v="2019-02-25T00:00:00"/>
    <x v="470"/>
    <n v="90"/>
    <x v="17"/>
  </r>
  <r>
    <x v="4"/>
    <d v="2019-02-25T00:00:00"/>
    <x v="471"/>
    <n v="39.06"/>
    <x v="4"/>
  </r>
  <r>
    <x v="4"/>
    <d v="2019-02-25T00:00:00"/>
    <x v="309"/>
    <n v="16.05"/>
    <x v="10"/>
  </r>
  <r>
    <x v="4"/>
    <d v="2019-02-25T00:00:00"/>
    <x v="209"/>
    <n v="2.2999999999999998"/>
    <x v="15"/>
  </r>
  <r>
    <x v="4"/>
    <d v="2019-02-25T00:00:00"/>
    <x v="215"/>
    <n v="11.26"/>
    <x v="16"/>
  </r>
  <r>
    <x v="4"/>
    <d v="2019-02-25T00:00:00"/>
    <x v="472"/>
    <n v="31.82"/>
    <x v="14"/>
  </r>
  <r>
    <x v="4"/>
    <d v="2019-02-25T00:00:00"/>
    <x v="473"/>
    <n v="3.51"/>
    <x v="0"/>
  </r>
  <r>
    <x v="4"/>
    <d v="2019-02-25T00:00:00"/>
    <x v="473"/>
    <n v="15.33"/>
    <x v="1"/>
  </r>
  <r>
    <x v="4"/>
    <d v="2019-02-25T00:00:00"/>
    <x v="474"/>
    <n v="81.64"/>
    <x v="14"/>
  </r>
  <r>
    <x v="4"/>
    <d v="2019-02-25T00:00:00"/>
    <x v="475"/>
    <n v="24"/>
    <x v="7"/>
  </r>
  <r>
    <x v="4"/>
    <d v="2019-02-25T00:00:00"/>
    <x v="209"/>
    <n v="17.11"/>
    <x v="0"/>
  </r>
  <r>
    <x v="4"/>
    <d v="2019-02-25T00:00:00"/>
    <x v="209"/>
    <n v="4.2300000000000004"/>
    <x v="15"/>
  </r>
  <r>
    <x v="4"/>
    <d v="2019-02-25T00:00:00"/>
    <x v="383"/>
    <n v="0.99"/>
    <x v="13"/>
  </r>
  <r>
    <x v="4"/>
    <d v="2019-02-25T00:00:00"/>
    <x v="383"/>
    <n v="2.99"/>
    <x v="13"/>
  </r>
  <r>
    <x v="4"/>
    <d v="2019-02-23T00:00:00"/>
    <x v="318"/>
    <n v="5.73"/>
    <x v="15"/>
  </r>
  <r>
    <x v="4"/>
    <d v="2019-02-22T00:00:00"/>
    <x v="170"/>
    <n v="150"/>
    <x v="0"/>
  </r>
  <r>
    <x v="4"/>
    <d v="2019-02-22T00:00:00"/>
    <x v="476"/>
    <n v="39.549999999999997"/>
    <x v="16"/>
  </r>
  <r>
    <x v="4"/>
    <d v="2019-02-21T00:00:00"/>
    <x v="477"/>
    <n v="8.56"/>
    <x v="16"/>
  </r>
  <r>
    <x v="4"/>
    <d v="2019-02-21T00:00:00"/>
    <x v="478"/>
    <n v="33"/>
    <x v="1"/>
  </r>
  <r>
    <x v="4"/>
    <d v="2019-02-21T00:00:00"/>
    <x v="479"/>
    <n v="6.61"/>
    <x v="16"/>
  </r>
  <r>
    <x v="4"/>
    <d v="2019-02-21T00:00:00"/>
    <x v="480"/>
    <n v="10.95"/>
    <x v="18"/>
  </r>
  <r>
    <x v="4"/>
    <d v="2019-02-21T00:00:00"/>
    <x v="480"/>
    <n v="16.03"/>
    <x v="18"/>
  </r>
  <r>
    <x v="4"/>
    <d v="2019-02-21T00:00:00"/>
    <x v="481"/>
    <n v="5.09"/>
    <x v="15"/>
  </r>
  <r>
    <x v="4"/>
    <d v="2019-02-20T00:00:00"/>
    <x v="482"/>
    <n v="23"/>
    <x v="7"/>
  </r>
  <r>
    <x v="4"/>
    <d v="2019-02-20T00:00:00"/>
    <x v="483"/>
    <n v="15.51"/>
    <x v="16"/>
  </r>
  <r>
    <x v="4"/>
    <d v="2019-02-20T00:00:00"/>
    <x v="484"/>
    <n v="5.09"/>
    <x v="15"/>
  </r>
  <r>
    <x v="4"/>
    <d v="2019-02-19T00:00:00"/>
    <x v="485"/>
    <n v="151"/>
    <x v="26"/>
  </r>
  <r>
    <x v="4"/>
    <d v="2019-02-19T00:00:00"/>
    <x v="400"/>
    <n v="25.66"/>
    <x v="13"/>
  </r>
  <r>
    <x v="4"/>
    <d v="2019-02-19T00:00:00"/>
    <x v="486"/>
    <n v="19.649999999999999"/>
    <x v="14"/>
  </r>
  <r>
    <x v="4"/>
    <d v="2019-02-19T00:00:00"/>
    <x v="487"/>
    <n v="5.09"/>
    <x v="15"/>
  </r>
  <r>
    <x v="4"/>
    <d v="2019-02-19T00:00:00"/>
    <x v="488"/>
    <n v="31.84"/>
    <x v="16"/>
  </r>
  <r>
    <x v="4"/>
    <d v="2019-02-19T00:00:00"/>
    <x v="124"/>
    <n v="2.99"/>
    <x v="16"/>
  </r>
  <r>
    <x v="4"/>
    <d v="2019-02-19T00:00:00"/>
    <x v="125"/>
    <n v="2.58"/>
    <x v="13"/>
  </r>
  <r>
    <x v="4"/>
    <d v="2019-02-19T00:00:00"/>
    <x v="212"/>
    <n v="45.27"/>
    <x v="16"/>
  </r>
  <r>
    <x v="4"/>
    <d v="2019-02-19T00:00:00"/>
    <x v="209"/>
    <n v="5.94"/>
    <x v="15"/>
  </r>
  <r>
    <x v="4"/>
    <d v="2019-02-19T00:00:00"/>
    <x v="489"/>
    <n v="25.02"/>
    <x v="1"/>
  </r>
  <r>
    <x v="4"/>
    <d v="2019-02-19T00:00:00"/>
    <x v="486"/>
    <n v="22.81"/>
    <x v="14"/>
  </r>
  <r>
    <x v="4"/>
    <d v="2019-02-19T00:00:00"/>
    <x v="486"/>
    <n v="52.8"/>
    <x v="14"/>
  </r>
  <r>
    <x v="4"/>
    <d v="2019-02-19T00:00:00"/>
    <x v="309"/>
    <n v="40.659999999999997"/>
    <x v="10"/>
  </r>
  <r>
    <x v="4"/>
    <d v="2019-02-19T00:00:00"/>
    <x v="209"/>
    <n v="42.8"/>
    <x v="0"/>
  </r>
  <r>
    <x v="4"/>
    <d v="2019-02-19T00:00:00"/>
    <x v="209"/>
    <n v="4.2300000000000004"/>
    <x v="15"/>
  </r>
  <r>
    <x v="4"/>
    <d v="2019-02-19T00:00:00"/>
    <x v="215"/>
    <n v="12.84"/>
    <x v="16"/>
  </r>
  <r>
    <x v="4"/>
    <d v="2019-02-16T00:00:00"/>
    <x v="2"/>
    <n v="24.08"/>
    <x v="10"/>
  </r>
  <r>
    <x v="4"/>
    <d v="2019-02-15T00:00:00"/>
    <x v="490"/>
    <n v="16.38"/>
    <x v="10"/>
  </r>
  <r>
    <x v="4"/>
    <d v="2019-02-14T00:00:00"/>
    <x v="491"/>
    <n v="5.55"/>
    <x v="18"/>
  </r>
  <r>
    <x v="4"/>
    <d v="2019-02-14T00:00:00"/>
    <x v="492"/>
    <n v="17.11"/>
    <x v="13"/>
  </r>
  <r>
    <x v="4"/>
    <d v="2019-02-14T00:00:00"/>
    <x v="493"/>
    <n v="25.67"/>
    <x v="18"/>
  </r>
  <r>
    <x v="4"/>
    <d v="2019-02-13T00:00:00"/>
    <x v="494"/>
    <n v="12.79"/>
    <x v="14"/>
  </r>
  <r>
    <x v="4"/>
    <d v="2019-02-13T00:00:00"/>
    <x v="124"/>
    <n v="12.22"/>
    <x v="16"/>
  </r>
  <r>
    <x v="4"/>
    <d v="2019-02-13T00:00:00"/>
    <x v="470"/>
    <n v="90"/>
    <x v="17"/>
  </r>
  <r>
    <x v="4"/>
    <d v="2019-02-13T00:00:00"/>
    <x v="495"/>
    <n v="16.920000000000002"/>
    <x v="23"/>
  </r>
  <r>
    <x v="4"/>
    <d v="2019-02-13T00:00:00"/>
    <x v="318"/>
    <n v="5.09"/>
    <x v="15"/>
  </r>
  <r>
    <x v="4"/>
    <d v="2019-02-12T00:00:00"/>
    <x v="496"/>
    <n v="60"/>
    <x v="24"/>
  </r>
  <r>
    <x v="4"/>
    <d v="2019-02-12T00:00:00"/>
    <x v="497"/>
    <n v="18.52"/>
    <x v="10"/>
  </r>
  <r>
    <x v="4"/>
    <d v="2019-02-11T00:00:00"/>
    <x v="498"/>
    <n v="9"/>
    <x v="16"/>
  </r>
  <r>
    <x v="4"/>
    <d v="2019-02-11T00:00:00"/>
    <x v="499"/>
    <n v="80.7"/>
    <x v="14"/>
  </r>
  <r>
    <x v="4"/>
    <d v="2019-02-11T00:00:00"/>
    <x v="500"/>
    <n v="9.94"/>
    <x v="16"/>
  </r>
  <r>
    <x v="4"/>
    <d v="2019-02-11T00:00:00"/>
    <x v="501"/>
    <n v="250"/>
    <x v="17"/>
  </r>
  <r>
    <x v="4"/>
    <d v="2019-02-11T00:00:00"/>
    <x v="124"/>
    <n v="10"/>
    <x v="16"/>
  </r>
  <r>
    <x v="4"/>
    <d v="2019-02-11T00:00:00"/>
    <x v="309"/>
    <n v="15.52"/>
    <x v="10"/>
  </r>
  <r>
    <x v="4"/>
    <d v="2019-02-11T00:00:00"/>
    <x v="124"/>
    <n v="11.41"/>
    <x v="16"/>
  </r>
  <r>
    <x v="4"/>
    <d v="2019-02-11T00:00:00"/>
    <x v="233"/>
    <n v="15.51"/>
    <x v="16"/>
  </r>
  <r>
    <x v="4"/>
    <d v="2019-02-11T00:00:00"/>
    <x v="215"/>
    <n v="6.42"/>
    <x v="16"/>
  </r>
  <r>
    <x v="4"/>
    <d v="2019-02-11T00:00:00"/>
    <x v="209"/>
    <n v="4.2300000000000004"/>
    <x v="15"/>
  </r>
  <r>
    <x v="4"/>
    <d v="2019-02-11T00:00:00"/>
    <x v="502"/>
    <n v="199.71"/>
    <x v="14"/>
  </r>
  <r>
    <x v="4"/>
    <d v="2019-02-11T00:00:00"/>
    <x v="503"/>
    <n v="557.80999999999995"/>
    <x v="14"/>
  </r>
  <r>
    <x v="4"/>
    <d v="2019-02-11T00:00:00"/>
    <x v="504"/>
    <n v="-1250"/>
    <x v="27"/>
  </r>
  <r>
    <x v="4"/>
    <d v="2019-02-11T00:00:00"/>
    <x v="475"/>
    <n v="24"/>
    <x v="7"/>
  </r>
  <r>
    <x v="4"/>
    <d v="2019-02-09T00:00:00"/>
    <x v="505"/>
    <n v="71.06"/>
    <x v="10"/>
  </r>
  <r>
    <x v="4"/>
    <d v="2019-02-09T00:00:00"/>
    <x v="506"/>
    <n v="19.54"/>
    <x v="10"/>
  </r>
  <r>
    <x v="4"/>
    <d v="2019-02-09T00:00:00"/>
    <x v="2"/>
    <n v="17.98"/>
    <x v="10"/>
  </r>
  <r>
    <x v="4"/>
    <d v="2019-02-11T00:00:00"/>
    <x v="507"/>
    <n v="45.08"/>
    <x v="0"/>
  </r>
  <r>
    <x v="4"/>
    <d v="2019-02-08T00:00:00"/>
    <x v="508"/>
    <n v="29.61"/>
    <x v="10"/>
  </r>
  <r>
    <x v="4"/>
    <d v="2019-02-08T00:00:00"/>
    <x v="509"/>
    <n v="-3485.05"/>
    <x v="28"/>
  </r>
  <r>
    <x v="4"/>
    <d v="2019-02-07T00:00:00"/>
    <x v="510"/>
    <n v="12.49"/>
    <x v="17"/>
  </r>
  <r>
    <x v="4"/>
    <d v="2019-02-07T00:00:00"/>
    <x v="511"/>
    <n v="27.81"/>
    <x v="16"/>
  </r>
  <r>
    <x v="4"/>
    <d v="2019-02-07T00:00:00"/>
    <x v="512"/>
    <n v="8.01"/>
    <x v="18"/>
  </r>
  <r>
    <x v="4"/>
    <d v="2019-02-07T00:00:00"/>
    <x v="513"/>
    <n v="-115"/>
    <x v="9"/>
  </r>
  <r>
    <x v="4"/>
    <d v="2019-02-06T00:00:00"/>
    <x v="85"/>
    <n v="40.950000000000003"/>
    <x v="3"/>
  </r>
  <r>
    <x v="4"/>
    <d v="2019-02-06T00:00:00"/>
    <x v="514"/>
    <n v="7.18"/>
    <x v="16"/>
  </r>
  <r>
    <x v="4"/>
    <d v="2019-02-06T00:00:00"/>
    <x v="515"/>
    <n v="13.9"/>
    <x v="18"/>
  </r>
  <r>
    <x v="4"/>
    <d v="2019-02-06T00:00:00"/>
    <x v="516"/>
    <n v="6.02"/>
    <x v="16"/>
  </r>
  <r>
    <x v="4"/>
    <d v="2019-02-06T00:00:00"/>
    <x v="517"/>
    <n v="17.170000000000002"/>
    <x v="18"/>
  </r>
  <r>
    <x v="4"/>
    <d v="2019-02-06T00:00:00"/>
    <x v="518"/>
    <n v="5.55"/>
    <x v="18"/>
  </r>
  <r>
    <x v="4"/>
    <d v="2019-02-06T00:00:00"/>
    <x v="519"/>
    <n v="90"/>
    <x v="17"/>
  </r>
  <r>
    <x v="4"/>
    <d v="2019-02-06T00:00:00"/>
    <x v="520"/>
    <n v="20.12"/>
    <x v="10"/>
  </r>
  <r>
    <x v="4"/>
    <d v="2019-02-05T00:00:00"/>
    <x v="80"/>
    <n v="299"/>
    <x v="19"/>
  </r>
  <r>
    <x v="4"/>
    <d v="2019-02-05T00:00:00"/>
    <x v="521"/>
    <n v="20"/>
    <x v="1"/>
  </r>
  <r>
    <x v="4"/>
    <d v="2019-02-05T00:00:00"/>
    <x v="522"/>
    <n v="1225"/>
    <x v="25"/>
  </r>
  <r>
    <x v="4"/>
    <d v="2019-02-05T00:00:00"/>
    <x v="523"/>
    <n v="2.54"/>
    <x v="16"/>
  </r>
  <r>
    <x v="4"/>
    <d v="2019-02-05T00:00:00"/>
    <x v="524"/>
    <n v="1145.3800000000001"/>
    <x v="14"/>
  </r>
  <r>
    <x v="4"/>
    <d v="2019-02-04T00:00:00"/>
    <x v="124"/>
    <n v="34.97"/>
    <x v="16"/>
  </r>
  <r>
    <x v="4"/>
    <d v="2019-02-04T00:00:00"/>
    <x v="525"/>
    <n v="124.33"/>
    <x v="10"/>
  </r>
  <r>
    <x v="4"/>
    <d v="2019-02-04T00:00:00"/>
    <x v="526"/>
    <n v="20"/>
    <x v="23"/>
  </r>
  <r>
    <x v="4"/>
    <d v="2019-02-04T00:00:00"/>
    <x v="527"/>
    <n v="32"/>
    <x v="23"/>
  </r>
  <r>
    <x v="4"/>
    <d v="2019-02-04T00:00:00"/>
    <x v="215"/>
    <n v="8.56"/>
    <x v="16"/>
  </r>
  <r>
    <x v="4"/>
    <d v="2019-02-04T00:00:00"/>
    <x v="309"/>
    <n v="21.66"/>
    <x v="10"/>
  </r>
  <r>
    <x v="4"/>
    <d v="2019-02-04T00:00:00"/>
    <x v="528"/>
    <n v="25.7"/>
    <x v="1"/>
  </r>
  <r>
    <x v="4"/>
    <d v="2019-02-04T00:00:00"/>
    <x v="397"/>
    <n v="28.61"/>
    <x v="10"/>
  </r>
  <r>
    <x v="4"/>
    <d v="2019-02-04T00:00:00"/>
    <x v="442"/>
    <n v="87.82"/>
    <x v="6"/>
  </r>
  <r>
    <x v="4"/>
    <d v="2019-02-04T00:00:00"/>
    <x v="217"/>
    <n v="2.25"/>
    <x v="0"/>
  </r>
  <r>
    <x v="4"/>
    <d v="2019-02-04T00:00:00"/>
    <x v="209"/>
    <n v="21.39"/>
    <x v="0"/>
  </r>
  <r>
    <x v="4"/>
    <d v="2019-02-04T00:00:00"/>
    <x v="209"/>
    <n v="5.56"/>
    <x v="15"/>
  </r>
  <r>
    <x v="4"/>
    <d v="2019-02-04T00:00:00"/>
    <x v="444"/>
    <n v="11.95"/>
    <x v="21"/>
  </r>
  <r>
    <x v="4"/>
    <d v="2019-02-02T00:00:00"/>
    <x v="529"/>
    <n v="17.98"/>
    <x v="10"/>
  </r>
  <r>
    <x v="4"/>
    <d v="2019-02-04T00:00:00"/>
    <x v="443"/>
    <n v="65"/>
    <x v="5"/>
  </r>
  <r>
    <x v="4"/>
    <d v="2019-02-04T00:00:00"/>
    <x v="530"/>
    <n v="828.15"/>
    <x v="20"/>
  </r>
  <r>
    <x v="4"/>
    <d v="2019-02-04T00:00:00"/>
    <x v="309"/>
    <n v="7.35"/>
    <x v="10"/>
  </r>
  <r>
    <x v="4"/>
    <d v="2019-02-01T00:00:00"/>
    <x v="531"/>
    <n v="60"/>
    <x v="24"/>
  </r>
  <r>
    <x v="4"/>
    <d v="2019-02-01T00:00:00"/>
    <x v="532"/>
    <n v="90"/>
    <x v="17"/>
  </r>
  <r>
    <x v="5"/>
    <d v="2019-01-31T00:00:00"/>
    <x v="224"/>
    <n v="-0.01"/>
    <x v="0"/>
  </r>
  <r>
    <x v="5"/>
    <d v="2019-01-31T00:00:00"/>
    <x v="533"/>
    <n v="17.64"/>
    <x v="17"/>
  </r>
  <r>
    <x v="5"/>
    <d v="2019-01-31T00:00:00"/>
    <x v="534"/>
    <n v="16.03"/>
    <x v="18"/>
  </r>
  <r>
    <x v="5"/>
    <d v="2019-01-31T00:00:00"/>
    <x v="535"/>
    <n v="17.72"/>
    <x v="12"/>
  </r>
  <r>
    <x v="5"/>
    <d v="2019-01-30T00:00:00"/>
    <x v="536"/>
    <n v="20.04"/>
    <x v="1"/>
  </r>
  <r>
    <x v="5"/>
    <d v="2019-01-30T00:00:00"/>
    <x v="537"/>
    <n v="5.67"/>
    <x v="16"/>
  </r>
  <r>
    <x v="5"/>
    <d v="2019-01-30T00:00:00"/>
    <x v="538"/>
    <n v="27.8"/>
    <x v="13"/>
  </r>
  <r>
    <x v="5"/>
    <d v="2019-01-29T00:00:00"/>
    <x v="539"/>
    <n v="6.5"/>
    <x v="16"/>
  </r>
  <r>
    <x v="5"/>
    <d v="2019-01-29T00:00:00"/>
    <x v="540"/>
    <n v="64.73"/>
    <x v="17"/>
  </r>
  <r>
    <x v="5"/>
    <d v="2019-01-29T00:00:00"/>
    <x v="541"/>
    <n v="21.39"/>
    <x v="2"/>
  </r>
  <r>
    <x v="5"/>
    <d v="2019-01-29T00:00:00"/>
    <x v="542"/>
    <n v="10"/>
    <x v="0"/>
  </r>
  <r>
    <x v="5"/>
    <d v="2019-01-29T00:00:00"/>
    <x v="126"/>
    <n v="437.54"/>
    <x v="8"/>
  </r>
  <r>
    <x v="5"/>
    <d v="2019-01-28T00:00:00"/>
    <x v="543"/>
    <n v="14.93"/>
    <x v="16"/>
  </r>
  <r>
    <x v="5"/>
    <d v="2019-01-28T00:00:00"/>
    <x v="544"/>
    <n v="13.73"/>
    <x v="16"/>
  </r>
  <r>
    <x v="5"/>
    <d v="2019-01-28T00:00:00"/>
    <x v="545"/>
    <n v="22.75"/>
    <x v="16"/>
  </r>
  <r>
    <x v="5"/>
    <d v="2019-01-28T00:00:00"/>
    <x v="546"/>
    <n v="9.24"/>
    <x v="10"/>
  </r>
  <r>
    <x v="5"/>
    <d v="2019-01-28T00:00:00"/>
    <x v="547"/>
    <n v="2.73"/>
    <x v="15"/>
  </r>
  <r>
    <x v="5"/>
    <d v="2019-01-28T00:00:00"/>
    <x v="548"/>
    <n v="9.24"/>
    <x v="10"/>
  </r>
  <r>
    <x v="5"/>
    <d v="2019-01-28T00:00:00"/>
    <x v="549"/>
    <n v="10"/>
    <x v="0"/>
  </r>
  <r>
    <x v="5"/>
    <d v="2019-01-28T00:00:00"/>
    <x v="550"/>
    <n v="25.13"/>
    <x v="1"/>
  </r>
  <r>
    <x v="5"/>
    <d v="2019-01-28T00:00:00"/>
    <x v="551"/>
    <n v="24.91"/>
    <x v="10"/>
  </r>
  <r>
    <x v="5"/>
    <d v="2019-01-28T00:00:00"/>
    <x v="552"/>
    <n v="8.56"/>
    <x v="10"/>
  </r>
  <r>
    <x v="5"/>
    <d v="2019-01-28T00:00:00"/>
    <x v="553"/>
    <n v="5.09"/>
    <x v="15"/>
  </r>
  <r>
    <x v="5"/>
    <d v="2019-01-28T00:00:00"/>
    <x v="554"/>
    <n v="80"/>
    <x v="24"/>
  </r>
  <r>
    <x v="5"/>
    <d v="2019-01-28T00:00:00"/>
    <x v="555"/>
    <n v="10"/>
    <x v="0"/>
  </r>
  <r>
    <x v="5"/>
    <d v="2019-01-28T00:00:00"/>
    <x v="556"/>
    <n v="46.59"/>
    <x v="10"/>
  </r>
  <r>
    <x v="5"/>
    <d v="2019-01-28T00:00:00"/>
    <x v="557"/>
    <n v="40"/>
    <x v="17"/>
  </r>
  <r>
    <x v="5"/>
    <d v="2019-01-25T00:00:00"/>
    <x v="558"/>
    <n v="24"/>
    <x v="7"/>
  </r>
  <r>
    <x v="5"/>
    <d v="2019-01-25T00:00:00"/>
    <x v="559"/>
    <n v="90"/>
    <x v="17"/>
  </r>
  <r>
    <x v="5"/>
    <d v="2019-01-25T00:00:00"/>
    <x v="560"/>
    <n v="39.06"/>
    <x v="4"/>
  </r>
  <r>
    <x v="5"/>
    <d v="2019-01-25T00:00:00"/>
    <x v="529"/>
    <n v="18.98"/>
    <x v="10"/>
  </r>
  <r>
    <x v="5"/>
    <d v="2019-01-25T00:00:00"/>
    <x v="542"/>
    <n v="12.63"/>
    <x v="0"/>
  </r>
  <r>
    <x v="5"/>
    <d v="2019-01-25T00:00:00"/>
    <x v="561"/>
    <n v="69.98"/>
    <x v="0"/>
  </r>
  <r>
    <x v="5"/>
    <d v="2019-01-24T00:00:00"/>
    <x v="562"/>
    <n v="12.75"/>
    <x v="16"/>
  </r>
  <r>
    <x v="5"/>
    <d v="2019-01-24T00:00:00"/>
    <x v="562"/>
    <n v="20"/>
    <x v="17"/>
  </r>
  <r>
    <x v="5"/>
    <d v="2019-01-24T00:00:00"/>
    <x v="563"/>
    <n v="15.6"/>
    <x v="18"/>
  </r>
  <r>
    <x v="5"/>
    <d v="2019-01-23T00:00:00"/>
    <x v="564"/>
    <n v="34.729999999999997"/>
    <x v="18"/>
  </r>
  <r>
    <x v="5"/>
    <d v="2019-01-23T00:00:00"/>
    <x v="565"/>
    <n v="25"/>
    <x v="1"/>
  </r>
  <r>
    <x v="5"/>
    <d v="2019-01-23T00:00:00"/>
    <x v="566"/>
    <n v="6.86"/>
    <x v="13"/>
  </r>
  <r>
    <x v="5"/>
    <d v="2019-01-23T00:00:00"/>
    <x v="567"/>
    <n v="13.57"/>
    <x v="18"/>
  </r>
  <r>
    <x v="5"/>
    <d v="2019-01-23T00:00:00"/>
    <x v="318"/>
    <n v="5.09"/>
    <x v="15"/>
  </r>
  <r>
    <x v="5"/>
    <d v="2019-01-22T00:00:00"/>
    <x v="568"/>
    <n v="151"/>
    <x v="26"/>
  </r>
  <r>
    <x v="5"/>
    <d v="2019-01-22T00:00:00"/>
    <x v="215"/>
    <n v="8.56"/>
    <x v="10"/>
  </r>
  <r>
    <x v="5"/>
    <d v="2019-01-22T00:00:00"/>
    <x v="569"/>
    <n v="15"/>
    <x v="1"/>
  </r>
  <r>
    <x v="5"/>
    <d v="2019-01-22T00:00:00"/>
    <x v="215"/>
    <n v="25.41"/>
    <x v="16"/>
  </r>
  <r>
    <x v="5"/>
    <d v="2019-01-22T00:00:00"/>
    <x v="215"/>
    <n v="19.989999999999998"/>
    <x v="17"/>
  </r>
  <r>
    <x v="5"/>
    <d v="2019-01-22T00:00:00"/>
    <x v="570"/>
    <n v="7.49"/>
    <x v="10"/>
  </r>
  <r>
    <x v="5"/>
    <d v="2019-01-22T00:00:00"/>
    <x v="486"/>
    <n v="29.94"/>
    <x v="0"/>
  </r>
  <r>
    <x v="5"/>
    <d v="2019-01-22T00:00:00"/>
    <x v="209"/>
    <n v="4.2300000000000004"/>
    <x v="15"/>
  </r>
  <r>
    <x v="5"/>
    <d v="2019-01-22T00:00:00"/>
    <x v="571"/>
    <n v="32.1"/>
    <x v="10"/>
  </r>
  <r>
    <x v="5"/>
    <d v="2019-01-22T00:00:00"/>
    <x v="244"/>
    <n v="60"/>
    <x v="24"/>
  </r>
  <r>
    <x v="5"/>
    <d v="2019-01-22T00:00:00"/>
    <x v="209"/>
    <n v="5.94"/>
    <x v="15"/>
  </r>
  <r>
    <x v="5"/>
    <d v="2019-01-19T00:00:00"/>
    <x v="572"/>
    <n v="23.66"/>
    <x v="23"/>
  </r>
  <r>
    <x v="5"/>
    <d v="2019-01-18T00:00:00"/>
    <x v="170"/>
    <n v="300"/>
    <x v="0"/>
  </r>
  <r>
    <x v="5"/>
    <d v="2019-01-18T00:00:00"/>
    <x v="573"/>
    <n v="40"/>
    <x v="17"/>
  </r>
  <r>
    <x v="5"/>
    <d v="2019-01-18T00:00:00"/>
    <x v="574"/>
    <n v="22"/>
    <x v="1"/>
  </r>
  <r>
    <x v="5"/>
    <d v="2019-01-17T00:00:00"/>
    <x v="575"/>
    <n v="29.99"/>
    <x v="0"/>
  </r>
  <r>
    <x v="5"/>
    <d v="2019-01-17T00:00:00"/>
    <x v="576"/>
    <n v="16.7"/>
    <x v="16"/>
  </r>
  <r>
    <x v="5"/>
    <d v="2019-01-17T00:00:00"/>
    <x v="577"/>
    <n v="5.73"/>
    <x v="15"/>
  </r>
  <r>
    <x v="5"/>
    <d v="2019-01-17T00:00:00"/>
    <x v="400"/>
    <n v="42.79"/>
    <x v="13"/>
  </r>
  <r>
    <x v="5"/>
    <d v="2019-01-17T00:00:00"/>
    <x v="236"/>
    <n v="18.170000000000002"/>
    <x v="13"/>
  </r>
  <r>
    <x v="5"/>
    <d v="2019-01-17T00:00:00"/>
    <x v="578"/>
    <n v="25.67"/>
    <x v="18"/>
  </r>
  <r>
    <x v="5"/>
    <d v="2019-01-17T00:00:00"/>
    <x v="567"/>
    <n v="5.55"/>
    <x v="18"/>
  </r>
  <r>
    <x v="5"/>
    <d v="2019-01-16T00:00:00"/>
    <x v="579"/>
    <n v="14.97"/>
    <x v="13"/>
  </r>
  <r>
    <x v="5"/>
    <d v="2019-01-16T00:00:00"/>
    <x v="529"/>
    <n v="34.96"/>
    <x v="10"/>
  </r>
  <r>
    <x v="5"/>
    <d v="2019-01-16T00:00:00"/>
    <x v="580"/>
    <n v="3.57"/>
    <x v="13"/>
  </r>
  <r>
    <x v="5"/>
    <d v="2019-01-15T00:00:00"/>
    <x v="581"/>
    <n v="-13.16"/>
    <x v="0"/>
  </r>
  <r>
    <x v="5"/>
    <d v="2019-01-14T00:00:00"/>
    <x v="582"/>
    <n v="19.760000000000002"/>
    <x v="16"/>
  </r>
  <r>
    <x v="5"/>
    <d v="2019-01-14T00:00:00"/>
    <x v="583"/>
    <n v="20"/>
    <x v="1"/>
  </r>
  <r>
    <x v="5"/>
    <d v="2019-01-14T00:00:00"/>
    <x v="209"/>
    <n v="2.41"/>
    <x v="15"/>
  </r>
  <r>
    <x v="5"/>
    <d v="2019-01-14T00:00:00"/>
    <x v="584"/>
    <n v="25.19"/>
    <x v="10"/>
  </r>
  <r>
    <x v="5"/>
    <d v="2019-01-14T00:00:00"/>
    <x v="209"/>
    <n v="2.41"/>
    <x v="15"/>
  </r>
  <r>
    <x v="5"/>
    <d v="2019-01-14T00:00:00"/>
    <x v="124"/>
    <n v="20.149999999999999"/>
    <x v="16"/>
  </r>
  <r>
    <x v="5"/>
    <d v="2019-01-14T00:00:00"/>
    <x v="209"/>
    <n v="3.58"/>
    <x v="15"/>
  </r>
  <r>
    <x v="5"/>
    <d v="2019-01-12T00:00:00"/>
    <x v="585"/>
    <n v="72.8"/>
    <x v="18"/>
  </r>
  <r>
    <x v="5"/>
    <d v="2019-01-12T00:00:00"/>
    <x v="586"/>
    <n v="14.98"/>
    <x v="23"/>
  </r>
  <r>
    <x v="5"/>
    <d v="2019-01-11T00:00:00"/>
    <x v="587"/>
    <n v="43"/>
    <x v="24"/>
  </r>
  <r>
    <x v="5"/>
    <d v="2019-01-11T00:00:00"/>
    <x v="588"/>
    <n v="26.28"/>
    <x v="16"/>
  </r>
  <r>
    <x v="5"/>
    <d v="2019-01-11T00:00:00"/>
    <x v="589"/>
    <n v="34.799999999999997"/>
    <x v="18"/>
  </r>
  <r>
    <x v="5"/>
    <d v="2019-01-11T00:00:00"/>
    <x v="590"/>
    <n v="-3"/>
    <x v="0"/>
  </r>
  <r>
    <x v="5"/>
    <d v="2019-01-10T00:00:00"/>
    <x v="529"/>
    <n v="17.98"/>
    <x v="10"/>
  </r>
  <r>
    <x v="5"/>
    <d v="2019-01-10T00:00:00"/>
    <x v="393"/>
    <n v="12.84"/>
    <x v="18"/>
  </r>
  <r>
    <x v="5"/>
    <d v="2019-01-10T00:00:00"/>
    <x v="299"/>
    <n v="8.01"/>
    <x v="18"/>
  </r>
  <r>
    <x v="5"/>
    <d v="2019-01-09T00:00:00"/>
    <x v="591"/>
    <n v="27.3"/>
    <x v="16"/>
  </r>
  <r>
    <x v="5"/>
    <d v="2019-01-09T00:00:00"/>
    <x v="592"/>
    <n v="34"/>
    <x v="1"/>
  </r>
  <r>
    <x v="5"/>
    <d v="2019-01-09T00:00:00"/>
    <x v="215"/>
    <n v="6"/>
    <x v="10"/>
  </r>
  <r>
    <x v="5"/>
    <d v="2019-01-09T00:00:00"/>
    <x v="215"/>
    <n v="12.760000000000002"/>
    <x v="16"/>
  </r>
  <r>
    <x v="5"/>
    <d v="2019-01-09T00:00:00"/>
    <x v="212"/>
    <n v="11.99"/>
    <x v="18"/>
  </r>
  <r>
    <x v="5"/>
    <d v="2019-01-08T00:00:00"/>
    <x v="571"/>
    <n v="17.98"/>
    <x v="10"/>
  </r>
  <r>
    <x v="5"/>
    <d v="2019-01-08T00:00:00"/>
    <x v="393"/>
    <n v="12.84"/>
    <x v="10"/>
  </r>
  <r>
    <x v="5"/>
    <d v="2019-01-08T00:00:00"/>
    <x v="593"/>
    <n v="31.98"/>
    <x v="0"/>
  </r>
  <r>
    <x v="5"/>
    <d v="2019-01-07T00:00:00"/>
    <x v="438"/>
    <n v="40.4"/>
    <x v="3"/>
  </r>
  <r>
    <x v="5"/>
    <d v="2019-01-07T00:00:00"/>
    <x v="210"/>
    <n v="16.98"/>
    <x v="17"/>
  </r>
  <r>
    <x v="5"/>
    <d v="2019-01-07T00:00:00"/>
    <x v="124"/>
    <n v="30.96"/>
    <x v="16"/>
  </r>
  <r>
    <x v="5"/>
    <d v="2019-01-07T00:00:00"/>
    <x v="215"/>
    <n v="8.66"/>
    <x v="16"/>
  </r>
  <r>
    <x v="5"/>
    <d v="2019-01-07T00:00:00"/>
    <x v="125"/>
    <n v="6.24"/>
    <x v="13"/>
  </r>
  <r>
    <x v="5"/>
    <d v="2019-01-07T00:00:00"/>
    <x v="209"/>
    <n v="2.2999999999999998"/>
    <x v="15"/>
  </r>
  <r>
    <x v="5"/>
    <d v="2019-01-07T00:00:00"/>
    <x v="209"/>
    <n v="5.94"/>
    <x v="15"/>
  </r>
  <r>
    <x v="5"/>
    <d v="2019-01-07T00:00:00"/>
    <x v="571"/>
    <n v="39.590000000000003"/>
    <x v="10"/>
  </r>
  <r>
    <x v="5"/>
    <d v="2019-01-07T00:00:00"/>
    <x v="209"/>
    <n v="10.17"/>
    <x v="15"/>
  </r>
  <r>
    <x v="5"/>
    <d v="2019-01-07T00:00:00"/>
    <x v="594"/>
    <n v="27.99"/>
    <x v="7"/>
  </r>
  <r>
    <x v="5"/>
    <d v="2019-01-07T00:00:00"/>
    <x v="595"/>
    <n v="25.01"/>
    <x v="1"/>
  </r>
  <r>
    <x v="5"/>
    <d v="2019-01-07T00:00:00"/>
    <x v="244"/>
    <n v="60"/>
    <x v="0"/>
  </r>
  <r>
    <x v="5"/>
    <d v="2019-01-07T00:00:00"/>
    <x v="84"/>
    <n v="299"/>
    <x v="19"/>
  </r>
  <r>
    <x v="5"/>
    <d v="2019-01-04T00:00:00"/>
    <x v="596"/>
    <n v="34.5"/>
    <x v="23"/>
  </r>
  <r>
    <x v="5"/>
    <d v="2019-01-04T00:00:00"/>
    <x v="597"/>
    <n v="19.98"/>
    <x v="0"/>
  </r>
  <r>
    <x v="5"/>
    <d v="2019-01-04T00:00:00"/>
    <x v="529"/>
    <n v="31.03"/>
    <x v="10"/>
  </r>
  <r>
    <x v="5"/>
    <d v="2019-01-03T00:00:00"/>
    <x v="598"/>
    <n v="11.95"/>
    <x v="21"/>
  </r>
  <r>
    <x v="5"/>
    <d v="2019-01-03T00:00:00"/>
    <x v="599"/>
    <n v="71.819999999999993"/>
    <x v="6"/>
  </r>
  <r>
    <x v="5"/>
    <d v="2019-01-03T00:00:00"/>
    <x v="86"/>
    <n v="828.15"/>
    <x v="20"/>
  </r>
  <r>
    <x v="5"/>
    <d v="2019-01-03T00:00:00"/>
    <x v="600"/>
    <n v="5.19"/>
    <x v="15"/>
  </r>
  <r>
    <x v="5"/>
    <d v="2019-01-02T00:00:00"/>
    <x v="443"/>
    <n v="65"/>
    <x v="5"/>
  </r>
  <r>
    <x v="5"/>
    <d v="2019-01-02T00:00:00"/>
    <x v="209"/>
    <n v="2.41"/>
    <x v="15"/>
  </r>
  <r>
    <x v="5"/>
    <d v="2019-01-02T00:00:00"/>
    <x v="212"/>
    <n v="14.25"/>
    <x v="16"/>
  </r>
  <r>
    <x v="5"/>
    <d v="2019-01-02T00:00:00"/>
    <x v="209"/>
    <n v="6.9"/>
    <x v="15"/>
  </r>
  <r>
    <x v="5"/>
    <d v="2019-01-01T00:00:00"/>
    <x v="601"/>
    <n v="62"/>
    <x v="11"/>
  </r>
  <r>
    <x v="5"/>
    <d v="2019-01-01T00:00:00"/>
    <x v="602"/>
    <n v="30.4"/>
    <x v="11"/>
  </r>
  <r>
    <x v="5"/>
    <d v="2019-01-01T00:00:00"/>
    <x v="603"/>
    <n v="8.57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E6DCB-2619-4078-B3E4-633EF2EB142D}" name="PivotTable1" cacheId="2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A3:H56" firstHeaderRow="1" firstDataRow="2" firstDataCol="1" rowPageCount="1" colPageCount="1"/>
  <pivotFields count="5">
    <pivotField axis="axisCol" compact="0" outline="0" showAll="0">
      <items count="7">
        <item x="5"/>
        <item x="4"/>
        <item x="3"/>
        <item x="2"/>
        <item x="1"/>
        <item x="0"/>
        <item t="default"/>
      </items>
    </pivotField>
    <pivotField compact="0" outline="0" showAll="0"/>
    <pivotField axis="axisRow" compact="0" outline="0" showAll="0">
      <items count="607">
        <item x="170"/>
        <item x="590"/>
        <item x="600"/>
        <item x="589"/>
        <item x="209"/>
        <item x="569"/>
        <item x="595"/>
        <item x="572"/>
        <item x="571"/>
        <item x="529"/>
        <item x="210"/>
        <item x="573"/>
        <item x="602"/>
        <item x="556"/>
        <item x="557"/>
        <item x="558"/>
        <item x="470"/>
        <item x="495"/>
        <item x="496"/>
        <item x="497"/>
        <item x="2"/>
        <item x="309"/>
        <item x="508"/>
        <item x="215"/>
        <item x="599"/>
        <item x="588"/>
        <item x="582"/>
        <item x="592"/>
        <item x="591"/>
        <item x="86"/>
        <item x="596"/>
        <item x="576"/>
        <item x="1"/>
        <item x="559"/>
        <item x="560"/>
        <item x="562"/>
        <item x="563"/>
        <item x="564"/>
        <item x="540"/>
        <item x="541"/>
        <item x="126"/>
        <item x="543"/>
        <item x="544"/>
        <item x="545"/>
        <item x="546"/>
        <item x="547"/>
        <item x="548"/>
        <item x="552"/>
        <item x="584"/>
        <item x="574"/>
        <item x="443"/>
        <item x="593"/>
        <item x="601"/>
        <item x="567"/>
        <item x="299"/>
        <item x="212"/>
        <item x="124"/>
        <item x="393"/>
        <item x="31"/>
        <item x="583"/>
        <item x="586"/>
        <item x="318"/>
        <item x="577"/>
        <item x="570"/>
        <item x="594"/>
        <item x="578"/>
        <item x="524"/>
        <item x="503"/>
        <item x="486"/>
        <item x="498"/>
        <item x="499"/>
        <item x="500"/>
        <item x="501"/>
        <item x="233"/>
        <item x="504"/>
        <item x="475"/>
        <item x="505"/>
        <item x="506"/>
        <item x="507"/>
        <item x="509"/>
        <item x="510"/>
        <item x="511"/>
        <item x="512"/>
        <item x="513"/>
        <item x="85"/>
        <item x="514"/>
        <item x="515"/>
        <item x="516"/>
        <item x="517"/>
        <item x="518"/>
        <item x="519"/>
        <item x="520"/>
        <item x="80"/>
        <item x="521"/>
        <item x="522"/>
        <item x="523"/>
        <item x="525"/>
        <item x="526"/>
        <item x="527"/>
        <item x="528"/>
        <item x="397"/>
        <item x="442"/>
        <item x="217"/>
        <item x="444"/>
        <item x="530"/>
        <item x="531"/>
        <item x="532"/>
        <item x="533"/>
        <item x="534"/>
        <item x="535"/>
        <item x="536"/>
        <item x="537"/>
        <item x="493"/>
        <item x="494"/>
        <item x="502"/>
        <item m="1" x="604"/>
        <item x="242"/>
        <item x="314"/>
        <item x="445"/>
        <item x="446"/>
        <item x="345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3"/>
        <item x="464"/>
        <item x="465"/>
        <item x="466"/>
        <item x="238"/>
        <item x="467"/>
        <item x="468"/>
        <item x="469"/>
        <item x="471"/>
        <item x="472"/>
        <item x="473"/>
        <item x="474"/>
        <item x="383"/>
        <item x="476"/>
        <item x="477"/>
        <item x="478"/>
        <item x="479"/>
        <item x="480"/>
        <item x="481"/>
        <item x="482"/>
        <item x="483"/>
        <item x="484"/>
        <item x="485"/>
        <item x="439"/>
        <item x="440"/>
        <item x="396"/>
        <item m="1" x="605"/>
        <item x="216"/>
        <item x="398"/>
        <item x="211"/>
        <item x="399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581"/>
        <item x="575"/>
        <item x="579"/>
        <item x="598"/>
        <item x="587"/>
        <item x="568"/>
        <item x="438"/>
        <item x="84"/>
        <item x="565"/>
        <item x="585"/>
        <item x="538"/>
        <item x="539"/>
        <item x="487"/>
        <item x="488"/>
        <item x="489"/>
        <item x="490"/>
        <item x="491"/>
        <item x="492"/>
        <item x="400"/>
        <item x="236"/>
        <item x="125"/>
        <item x="580"/>
        <item x="566"/>
        <item x="603"/>
        <item x="597"/>
        <item x="561"/>
        <item x="434"/>
        <item x="441"/>
        <item x="462"/>
        <item x="414"/>
        <item x="425"/>
        <item x="426"/>
        <item x="427"/>
        <item x="428"/>
        <item x="429"/>
        <item x="430"/>
        <item x="431"/>
        <item x="219"/>
        <item x="29"/>
        <item x="432"/>
        <item x="433"/>
        <item x="549"/>
        <item x="550"/>
        <item x="551"/>
        <item x="553"/>
        <item x="554"/>
        <item x="555"/>
        <item x="435"/>
        <item x="436"/>
        <item x="437"/>
        <item x="542"/>
        <item x="244"/>
        <item x="0"/>
        <item x="224"/>
        <item x="300"/>
        <item x="301"/>
        <item x="302"/>
        <item x="303"/>
        <item x="304"/>
        <item x="305"/>
        <item x="306"/>
        <item x="307"/>
        <item x="308"/>
        <item x="310"/>
        <item x="311"/>
        <item x="312"/>
        <item x="213"/>
        <item x="313"/>
        <item x="315"/>
        <item x="316"/>
        <item x="317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4"/>
        <item x="385"/>
        <item x="386"/>
        <item x="387"/>
        <item x="388"/>
        <item x="389"/>
        <item x="390"/>
        <item x="391"/>
        <item x="392"/>
        <item x="394"/>
        <item x="395"/>
        <item x="231"/>
        <item x="232"/>
        <item x="234"/>
        <item x="235"/>
        <item x="237"/>
        <item x="239"/>
        <item x="24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1"/>
        <item x="82"/>
        <item x="83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14"/>
        <item x="218"/>
        <item x="220"/>
        <item x="221"/>
        <item x="222"/>
        <item x="223"/>
        <item x="225"/>
        <item x="226"/>
        <item x="227"/>
        <item x="228"/>
        <item x="229"/>
        <item x="230"/>
        <item x="240"/>
        <item x="241"/>
        <item t="default"/>
      </items>
    </pivotField>
    <pivotField dataField="1" compact="0" numFmtId="43" outline="0" showAll="0"/>
    <pivotField axis="axisPage" compact="0" outline="0" showAll="0">
      <items count="30">
        <item x="20"/>
        <item x="24"/>
        <item x="26"/>
        <item x="15"/>
        <item x="10"/>
        <item x="3"/>
        <item x="23"/>
        <item x="18"/>
        <item x="1"/>
        <item x="16"/>
        <item x="7"/>
        <item x="19"/>
        <item x="5"/>
        <item x="0"/>
        <item x="21"/>
        <item x="6"/>
        <item x="11"/>
        <item x="4"/>
        <item x="9"/>
        <item x="17"/>
        <item x="2"/>
        <item x="8"/>
        <item x="27"/>
        <item x="28"/>
        <item x="25"/>
        <item x="12"/>
        <item x="13"/>
        <item x="14"/>
        <item x="22"/>
        <item t="default"/>
      </items>
    </pivotField>
  </pivotFields>
  <rowFields count="1">
    <field x="2"/>
  </rowFields>
  <rowItems count="52">
    <i>
      <x v="4"/>
    </i>
    <i>
      <x v="116"/>
    </i>
    <i>
      <x v="137"/>
    </i>
    <i>
      <x v="148"/>
    </i>
    <i>
      <x v="175"/>
    </i>
    <i>
      <x v="192"/>
    </i>
    <i>
      <x v="200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37"/>
    </i>
    <i>
      <x v="244"/>
    </i>
    <i>
      <x v="256"/>
    </i>
    <i>
      <x v="262"/>
    </i>
    <i>
      <x v="302"/>
    </i>
    <i>
      <x v="329"/>
    </i>
    <i>
      <x v="339"/>
    </i>
    <i>
      <x v="345"/>
    </i>
    <i>
      <x v="347"/>
    </i>
    <i>
      <x v="350"/>
    </i>
    <i>
      <x v="356"/>
    </i>
    <i>
      <x v="361"/>
    </i>
    <i>
      <x v="372"/>
    </i>
    <i>
      <x v="385"/>
    </i>
    <i>
      <x v="386"/>
    </i>
    <i>
      <x v="391"/>
    </i>
    <i>
      <x v="394"/>
    </i>
    <i>
      <x v="399"/>
    </i>
    <i>
      <x v="411"/>
    </i>
    <i>
      <x v="412"/>
    </i>
    <i>
      <x v="414"/>
    </i>
    <i>
      <x v="415"/>
    </i>
    <i>
      <x v="417"/>
    </i>
    <i>
      <x v="442"/>
    </i>
    <i>
      <x v="454"/>
    </i>
    <i>
      <x v="462"/>
    </i>
    <i>
      <x v="463"/>
    </i>
    <i>
      <x v="465"/>
    </i>
    <i>
      <x v="488"/>
    </i>
    <i>
      <x v="516"/>
    </i>
    <i>
      <x v="525"/>
    </i>
    <i>
      <x v="550"/>
    </i>
    <i>
      <x v="553"/>
    </i>
    <i>
      <x v="562"/>
    </i>
    <i>
      <x v="573"/>
    </i>
    <i>
      <x v="588"/>
    </i>
    <i>
      <x v="60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4" item="26" hier="-1"/>
  </pageFields>
  <dataFields count="1">
    <dataField name="Sum of Amount" fld="3" baseField="4" baseItem="0" numFmtId="41"/>
  </dataFields>
  <formats count="2">
    <format dxfId="8">
      <pivotArea dataOnly="0" labelOnly="1" outline="0" fieldPosition="0">
        <references count="1">
          <reference field="0" count="0"/>
        </references>
      </pivotArea>
    </format>
    <format dxfId="7">
      <pivotArea dataOnly="0" labelOnly="1" grandCol="1" outline="0" fieldPosition="0"/>
    </format>
  </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BF6B25-C826-4B99-8AC9-DA29F4916B4A}" name="PivotTable3" cacheId="1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G4:V31" firstHeaderRow="1" firstDataRow="3" firstDataCol="1" rowPageCount="1" colPageCount="1"/>
  <pivotFields count="9">
    <pivotField compact="0" outline="0" showAll="0"/>
    <pivotField axis="axisCol" compact="0" outline="0" showAll="0">
      <items count="6">
        <item h="1" x="3"/>
        <item h="1" x="2"/>
        <item h="1" sd="0" m="1" x="4"/>
        <item x="1"/>
        <item h="1" x="0"/>
        <item t="default"/>
      </items>
    </pivotField>
    <pivotField axis="axisCol" compact="0" numFmtId="164" outline="0" multipleItemSelectionAllowed="1" showAll="0">
      <items count="58"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"/>
        <item x="28"/>
        <item x="29"/>
        <item x="27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11"/>
        <item x="12"/>
        <item x="13"/>
        <item x="14"/>
        <item x="3"/>
        <item x="0"/>
        <item x="2"/>
        <item x="4"/>
        <item x="5"/>
        <item x="6"/>
        <item x="7"/>
        <item x="8"/>
        <item x="9"/>
        <item x="10"/>
        <item t="default"/>
      </items>
    </pivotField>
    <pivotField axis="axisPage" compact="0" outline="0" multipleItemSelectionAllowed="1" showAll="0">
      <items count="29">
        <item m="1" x="27"/>
        <item h="1" x="13"/>
        <item h="1" x="22"/>
        <item h="1" x="12"/>
        <item h="1" x="14"/>
        <item h="1" x="1"/>
        <item h="1" x="17"/>
        <item h="1" x="3"/>
        <item h="1" x="4"/>
        <item h="1" x="0"/>
        <item x="10"/>
        <item h="1" x="15"/>
        <item h="1" x="2"/>
        <item m="1" x="26"/>
        <item h="1" x="23"/>
        <item h="1" x="24"/>
        <item h="1" x="9"/>
        <item h="1" x="7"/>
        <item h="1" x="25"/>
        <item h="1" x="20"/>
        <item h="1" x="18"/>
        <item h="1" x="11"/>
        <item h="1" x="21"/>
        <item h="1" x="5"/>
        <item h="1" x="6"/>
        <item h="1" x="8"/>
        <item h="1" x="19"/>
        <item h="1" x="16"/>
        <item t="default"/>
      </items>
    </pivotField>
    <pivotField axis="axisRow" compact="0" outline="0" showAll="0">
      <items count="249">
        <item x="242"/>
        <item x="187"/>
        <item x="247"/>
        <item x="85"/>
        <item x="243"/>
        <item x="200"/>
        <item x="229"/>
        <item x="185"/>
        <item x="245"/>
        <item x="244"/>
        <item x="233"/>
        <item x="177"/>
        <item x="221"/>
        <item x="234"/>
        <item x="212"/>
        <item x="213"/>
        <item x="236"/>
        <item x="235"/>
        <item x="196"/>
        <item x="168"/>
        <item x="20"/>
        <item x="208"/>
        <item x="230"/>
        <item x="228"/>
        <item x="222"/>
        <item x="205"/>
        <item x="197"/>
        <item x="178"/>
        <item x="217"/>
        <item x="240"/>
        <item x="183"/>
        <item x="203"/>
        <item x="218"/>
        <item x="182"/>
        <item x="159"/>
        <item x="158"/>
        <item x="152"/>
        <item x="220"/>
        <item x="167"/>
        <item x="161"/>
        <item x="154"/>
        <item x="155"/>
        <item x="186"/>
        <item x="226"/>
        <item x="225"/>
        <item x="188"/>
        <item x="14"/>
        <item x="202"/>
        <item x="16"/>
        <item x="165"/>
        <item x="153"/>
        <item x="166"/>
        <item x="163"/>
        <item x="162"/>
        <item x="157"/>
        <item x="160"/>
        <item x="156"/>
        <item x="151"/>
        <item x="164"/>
        <item x="170"/>
        <item x="241"/>
        <item x="123"/>
        <item x="210"/>
        <item x="199"/>
        <item x="181"/>
        <item x="5"/>
        <item x="144"/>
        <item x="124"/>
        <item x="140"/>
        <item x="172"/>
        <item x="130"/>
        <item x="133"/>
        <item x="148"/>
        <item x="136"/>
        <item x="145"/>
        <item x="128"/>
        <item x="91"/>
        <item x="34"/>
        <item x="132"/>
        <item x="143"/>
        <item x="150"/>
        <item x="149"/>
        <item x="129"/>
        <item x="146"/>
        <item x="126"/>
        <item x="134"/>
        <item x="138"/>
        <item x="174"/>
        <item x="173"/>
        <item x="131"/>
        <item x="141"/>
        <item x="135"/>
        <item x="127"/>
        <item x="90"/>
        <item x="176"/>
        <item x="175"/>
        <item x="142"/>
        <item x="139"/>
        <item x="92"/>
        <item x="137"/>
        <item x="171"/>
        <item x="125"/>
        <item x="105"/>
        <item x="147"/>
        <item x="180"/>
        <item x="216"/>
        <item x="211"/>
        <item x="194"/>
        <item x="227"/>
        <item x="111"/>
        <item x="207"/>
        <item x="204"/>
        <item x="184"/>
        <item x="190"/>
        <item x="239"/>
        <item x="215"/>
        <item x="214"/>
        <item x="223"/>
        <item x="224"/>
        <item x="219"/>
        <item x="209"/>
        <item x="193"/>
        <item x="179"/>
        <item x="232"/>
        <item x="192"/>
        <item x="122"/>
        <item x="238"/>
        <item x="191"/>
        <item x="231"/>
        <item x="206"/>
        <item x="189"/>
        <item x="169"/>
        <item x="198"/>
        <item x="246"/>
        <item x="201"/>
        <item x="195"/>
        <item x="237"/>
        <item x="1"/>
        <item x="117"/>
        <item x="118"/>
        <item x="119"/>
        <item x="120"/>
        <item x="121"/>
        <item x="112"/>
        <item x="113"/>
        <item x="114"/>
        <item x="115"/>
        <item x="116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7"/>
        <item x="88"/>
        <item x="89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6"/>
        <item x="107"/>
        <item x="108"/>
        <item x="35"/>
        <item x="109"/>
        <item x="38"/>
        <item x="110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0"/>
        <item x="2"/>
        <item x="3"/>
        <item x="4"/>
        <item x="6"/>
        <item x="7"/>
        <item x="8"/>
        <item x="9"/>
        <item x="10"/>
        <item x="11"/>
        <item x="12"/>
        <item x="13"/>
        <item x="15"/>
        <item x="17"/>
        <item x="18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6"/>
        <item x="37"/>
        <item x="39"/>
        <item x="40"/>
        <item x="41"/>
        <item x="42"/>
        <item x="43"/>
        <item x="44"/>
        <item t="default"/>
      </items>
    </pivotField>
    <pivotField dataField="1" compact="0" numFmtId="43" outline="0" showAll="0"/>
    <pivotField compact="0" outline="0" showAll="0"/>
    <pivotField compact="0" numFmtId="43" outline="0" showAll="0"/>
    <pivotField compact="0" outline="0" showAll="0"/>
  </pivotFields>
  <rowFields count="1">
    <field x="4"/>
  </rowFields>
  <rowItems count="25">
    <i>
      <x v="46"/>
    </i>
    <i>
      <x v="147"/>
    </i>
    <i>
      <x v="174"/>
    </i>
    <i>
      <x v="182"/>
    </i>
    <i>
      <x v="195"/>
    </i>
    <i>
      <x v="199"/>
    </i>
    <i>
      <x v="200"/>
    </i>
    <i>
      <x v="204"/>
    </i>
    <i>
      <x v="205"/>
    </i>
    <i>
      <x v="207"/>
    </i>
    <i>
      <x v="208"/>
    </i>
    <i>
      <x v="223"/>
    </i>
    <i>
      <x v="225"/>
    </i>
    <i>
      <x v="227"/>
    </i>
    <i>
      <x v="228"/>
    </i>
    <i>
      <x v="230"/>
    </i>
    <i>
      <x v="231"/>
    </i>
    <i>
      <x v="232"/>
    </i>
    <i>
      <x v="233"/>
    </i>
    <i>
      <x v="234"/>
    </i>
    <i>
      <x v="238"/>
    </i>
    <i>
      <x v="240"/>
    </i>
    <i>
      <x v="242"/>
    </i>
    <i>
      <x v="246"/>
    </i>
    <i t="grand">
      <x/>
    </i>
  </rowItems>
  <colFields count="2">
    <field x="1"/>
    <field x="2"/>
  </colFields>
  <colItems count="15">
    <i>
      <x v="3"/>
      <x v="30"/>
    </i>
    <i r="1">
      <x v="31"/>
    </i>
    <i r="1">
      <x v="38"/>
    </i>
    <i r="1">
      <x v="41"/>
    </i>
    <i r="1">
      <x v="43"/>
    </i>
    <i r="1">
      <x v="45"/>
    </i>
    <i r="1">
      <x v="46"/>
    </i>
    <i r="1">
      <x v="50"/>
    </i>
    <i r="1">
      <x v="51"/>
    </i>
    <i r="1">
      <x v="52"/>
    </i>
    <i r="1">
      <x v="53"/>
    </i>
    <i r="1">
      <x v="54"/>
    </i>
    <i r="1">
      <x v="56"/>
    </i>
    <i t="default">
      <x v="3"/>
    </i>
    <i t="grand">
      <x/>
    </i>
  </colItems>
  <pageFields count="1">
    <pageField fld="3" hier="-1"/>
  </pageFields>
  <dataFields count="1">
    <dataField name="Sum of Amount" fld="5" baseField="4" baseItem="41" numFmtId="43"/>
  </dataFields>
  <formats count="4">
    <format dxfId="3">
      <pivotArea dataOnly="0" labelOnly="1" fieldPosition="0">
        <references count="1">
          <reference field="1" count="0"/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dataOnly="0" labelOnly="1" outline="0" fieldPosition="0">
        <references count="1">
          <reference field="1" count="0" defaultSubtotal="1"/>
        </references>
      </pivotArea>
    </format>
    <format dxfId="0">
      <pivotArea dataOnly="0" labelOnly="1" grandCol="1" outline="0" fieldPosition="0"/>
    </format>
  </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68E42-C6E2-4266-917A-868F2406F032}" name="PivotTable1" cacheId="1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A4:E20" firstHeaderRow="1" firstDataRow="2" firstDataCol="1" rowPageCount="1" colPageCount="1"/>
  <pivotFields count="9">
    <pivotField compact="0" outline="0" showAll="0"/>
    <pivotField axis="axisCol" compact="0" outline="0" showAll="0">
      <items count="6">
        <item x="3"/>
        <item x="2"/>
        <item h="1" m="1" x="4"/>
        <item x="1"/>
        <item h="1" x="0"/>
        <item t="default"/>
      </items>
    </pivotField>
    <pivotField axis="axisPage" compact="0" numFmtId="164" outline="0" multipleItemSelectionAllowed="1" showAll="0">
      <items count="58"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1"/>
        <item x="28"/>
        <item x="29"/>
        <item x="27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11"/>
        <item x="12"/>
        <item x="13"/>
        <item x="14"/>
        <item x="3"/>
        <item x="0"/>
        <item x="2"/>
        <item x="4"/>
        <item x="5"/>
        <item x="6"/>
        <item x="7"/>
        <item x="8"/>
        <item x="9"/>
        <item x="10"/>
        <item t="default"/>
      </items>
    </pivotField>
    <pivotField axis="axisRow" compact="0" outline="0" showAll="0">
      <items count="29">
        <item m="1" x="27"/>
        <item x="13"/>
        <item x="22"/>
        <item x="2"/>
        <item x="4"/>
        <item h="1" x="15"/>
        <item m="1" x="26"/>
        <item x="9"/>
        <item x="3"/>
        <item x="0"/>
        <item x="1"/>
        <item x="17"/>
        <item x="12"/>
        <item x="10"/>
        <item x="7"/>
        <item h="1" x="25"/>
        <item h="1" x="20"/>
        <item h="1" x="18"/>
        <item x="24"/>
        <item x="14"/>
        <item x="23"/>
        <item h="1" x="11"/>
        <item h="1" x="21"/>
        <item h="1" x="5"/>
        <item h="1" x="6"/>
        <item h="1" x="8"/>
        <item h="1" x="19"/>
        <item h="1" x="16"/>
        <item t="default"/>
      </items>
    </pivotField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outline="0" showAll="0"/>
  </pivotFields>
  <rowFields count="1">
    <field x="3"/>
  </rowFields>
  <rowItems count="15">
    <i>
      <x v="1"/>
    </i>
    <i>
      <x v="2"/>
    </i>
    <i>
      <x v="3"/>
    </i>
    <i>
      <x v="4"/>
    </i>
    <i>
      <x v="8"/>
    </i>
    <i>
      <x v="9"/>
    </i>
    <i>
      <x v="10"/>
    </i>
    <i>
      <x v="11"/>
    </i>
    <i>
      <x v="12"/>
    </i>
    <i>
      <x v="13"/>
    </i>
    <i>
      <x v="14"/>
    </i>
    <i>
      <x v="18"/>
    </i>
    <i>
      <x v="19"/>
    </i>
    <i>
      <x v="20"/>
    </i>
    <i t="grand">
      <x/>
    </i>
  </rowItems>
  <colFields count="1">
    <field x="1"/>
  </colFields>
  <colItems count="4">
    <i>
      <x/>
    </i>
    <i>
      <x v="1"/>
    </i>
    <i>
      <x v="3"/>
    </i>
    <i t="grand">
      <x/>
    </i>
  </colItems>
  <pageFields count="1">
    <pageField fld="2" hier="-1"/>
  </pageFields>
  <dataFields count="1">
    <dataField name="Sum of Amount" fld="5" baseField="3" baseItem="0" numFmtId="41"/>
  </dataFields>
  <formats count="3">
    <format dxfId="6">
      <pivotArea dataOnly="0" labelOnly="1" fieldPosition="0">
        <references count="1">
          <reference field="1" count="0"/>
        </references>
      </pivotArea>
    </format>
    <format dxfId="5">
      <pivotArea dataOnly="0" labelOnly="1" outline="0" fieldPosition="0">
        <references count="1">
          <reference field="1" count="0"/>
        </references>
      </pivotArea>
    </format>
    <format dxfId="4">
      <pivotArea dataOnly="0" labelOnly="1" grandCol="1" outline="0" fieldPosition="0"/>
    </format>
  </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41" dT="2019-01-07T14:45:21.97" personId="{E3F287D4-FA7E-4D13-B501-3985227161E5}" id="{7E6E21DF-4D68-493A-A10B-5CF5BDFB5EBA}">
    <text>Guitar Lesson for $50</text>
  </threadedComment>
  <threadedComment ref="D1043" dT="2019-01-07T14:50:09.36" personId="{E3F287D4-FA7E-4D13-B501-3985227161E5}" id="{1CD325E5-2436-48EF-928E-10741AB9DA85}">
    <text>Pie, groceries for Gladys, house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767C-6FAF-460F-B5BC-0AE77073974A}">
  <sheetPr>
    <tabColor theme="7" tint="-0.249977111117893"/>
  </sheetPr>
  <dimension ref="B1:W98"/>
  <sheetViews>
    <sheetView showGridLines="0" topLeftCell="A62" zoomScale="90" zoomScaleNormal="90" workbookViewId="0">
      <selection activeCell="D95" sqref="D95"/>
    </sheetView>
  </sheetViews>
  <sheetFormatPr defaultRowHeight="15" x14ac:dyDescent="0.25"/>
  <cols>
    <col min="1" max="1" width="2" customWidth="1"/>
    <col min="2" max="2" width="11.140625" customWidth="1"/>
    <col min="5" max="5" width="11.42578125" customWidth="1"/>
    <col min="6" max="6" width="1.42578125" customWidth="1"/>
    <col min="7" max="7" width="29.28515625" bestFit="1" customWidth="1"/>
    <col min="10" max="10" width="10.42578125" bestFit="1" customWidth="1"/>
    <col min="13" max="13" width="9.28515625" customWidth="1"/>
    <col min="14" max="22" width="8" customWidth="1"/>
    <col min="23" max="23" width="8.42578125" bestFit="1" customWidth="1"/>
  </cols>
  <sheetData>
    <row r="1" spans="3:14" x14ac:dyDescent="0.25">
      <c r="N1" t="s">
        <v>513</v>
      </c>
    </row>
    <row r="2" spans="3:14" x14ac:dyDescent="0.25">
      <c r="D2" s="99">
        <v>674</v>
      </c>
      <c r="E2" s="100" t="s">
        <v>514</v>
      </c>
      <c r="F2" s="100"/>
      <c r="G2" s="74"/>
    </row>
    <row r="3" spans="3:14" x14ac:dyDescent="0.25">
      <c r="D3" s="101">
        <v>3400</v>
      </c>
      <c r="E3" s="102" t="s">
        <v>515</v>
      </c>
      <c r="F3" s="102"/>
      <c r="G3" s="103" t="s">
        <v>196</v>
      </c>
    </row>
    <row r="4" spans="3:14" ht="17.25" x14ac:dyDescent="0.4">
      <c r="C4" s="104" t="s">
        <v>516</v>
      </c>
      <c r="D4" s="105">
        <f>SUM(D2:D3)</f>
        <v>4074</v>
      </c>
      <c r="E4" s="106" t="s">
        <v>515</v>
      </c>
      <c r="F4" s="106"/>
      <c r="G4" s="107" t="s">
        <v>31</v>
      </c>
    </row>
    <row r="5" spans="3:14" x14ac:dyDescent="0.25">
      <c r="C5" s="108">
        <f>D$4+SUM(D$5)</f>
        <v>3644</v>
      </c>
      <c r="D5" s="99">
        <v>-430</v>
      </c>
      <c r="E5" s="109" t="s">
        <v>517</v>
      </c>
      <c r="F5" s="109"/>
      <c r="G5" s="109" t="s">
        <v>518</v>
      </c>
      <c r="H5" t="s">
        <v>519</v>
      </c>
    </row>
    <row r="6" spans="3:14" x14ac:dyDescent="0.25">
      <c r="C6" s="108">
        <f>D$4+SUM(D$5:D9)</f>
        <v>2239</v>
      </c>
      <c r="D6" s="99">
        <v>-750</v>
      </c>
      <c r="E6" s="100" t="s">
        <v>520</v>
      </c>
      <c r="F6" s="100"/>
      <c r="G6" s="74" t="s">
        <v>521</v>
      </c>
      <c r="H6" t="s">
        <v>522</v>
      </c>
    </row>
    <row r="7" spans="3:14" x14ac:dyDescent="0.25">
      <c r="C7" s="108">
        <f>D$4+SUM(D$5:D7)</f>
        <v>3076</v>
      </c>
      <c r="D7" s="99">
        <v>182</v>
      </c>
      <c r="E7" s="100" t="s">
        <v>523</v>
      </c>
      <c r="F7" s="100"/>
      <c r="G7" s="74" t="s">
        <v>524</v>
      </c>
    </row>
    <row r="8" spans="3:14" x14ac:dyDescent="0.25">
      <c r="C8" s="108">
        <f>D$4+SUM(D$5:D8)</f>
        <v>2676</v>
      </c>
      <c r="D8" s="99">
        <v>-400</v>
      </c>
      <c r="E8" s="100" t="s">
        <v>523</v>
      </c>
      <c r="F8" s="100"/>
      <c r="G8" s="74" t="s">
        <v>525</v>
      </c>
    </row>
    <row r="9" spans="3:14" x14ac:dyDescent="0.25">
      <c r="C9" s="108">
        <f>D$4+SUM(D$5:D9)</f>
        <v>2239</v>
      </c>
      <c r="D9" s="99">
        <v>-437</v>
      </c>
      <c r="E9" s="100" t="s">
        <v>526</v>
      </c>
      <c r="F9" s="100"/>
      <c r="G9" s="74" t="s">
        <v>527</v>
      </c>
    </row>
    <row r="10" spans="3:14" x14ac:dyDescent="0.25">
      <c r="C10" s="108">
        <f>D$4+SUM(D$5:D10)</f>
        <v>1544</v>
      </c>
      <c r="D10" s="105">
        <v>-695</v>
      </c>
      <c r="E10" s="106" t="s">
        <v>528</v>
      </c>
      <c r="F10" s="106"/>
      <c r="G10" s="107" t="s">
        <v>31</v>
      </c>
    </row>
    <row r="11" spans="3:14" x14ac:dyDescent="0.25">
      <c r="C11" s="108">
        <f>D$4+SUM(D$5:D11)</f>
        <v>716</v>
      </c>
      <c r="D11" s="99">
        <v>-828</v>
      </c>
      <c r="E11" s="100" t="s">
        <v>529</v>
      </c>
      <c r="F11" s="100"/>
      <c r="G11" s="74" t="s">
        <v>530</v>
      </c>
    </row>
    <row r="12" spans="3:14" x14ac:dyDescent="0.25">
      <c r="C12" s="108">
        <f>D$4+SUM(D$5:D12)</f>
        <v>407</v>
      </c>
      <c r="D12" s="99">
        <v>-309</v>
      </c>
      <c r="E12" s="100" t="s">
        <v>529</v>
      </c>
      <c r="F12" s="100"/>
      <c r="G12" s="74" t="s">
        <v>518</v>
      </c>
    </row>
    <row r="13" spans="3:14" x14ac:dyDescent="0.25">
      <c r="C13" s="108">
        <f>D$4+SUM(D$5:D13)</f>
        <v>657</v>
      </c>
      <c r="D13" s="99">
        <v>250</v>
      </c>
      <c r="E13" s="100" t="s">
        <v>529</v>
      </c>
      <c r="F13" s="100"/>
      <c r="G13" s="74" t="s">
        <v>531</v>
      </c>
    </row>
    <row r="14" spans="3:14" x14ac:dyDescent="0.25">
      <c r="C14" s="108">
        <f>D$4+SUM(D$5:D14)</f>
        <v>358</v>
      </c>
      <c r="D14" s="99">
        <v>-299</v>
      </c>
      <c r="E14" s="100" t="s">
        <v>532</v>
      </c>
      <c r="F14" s="100"/>
      <c r="G14" s="74" t="s">
        <v>8</v>
      </c>
    </row>
    <row r="15" spans="3:14" x14ac:dyDescent="0.25">
      <c r="C15" s="108">
        <f>D$4+SUM(D$5:D15)</f>
        <v>3851.84</v>
      </c>
      <c r="D15" s="101">
        <v>3493.84</v>
      </c>
      <c r="E15" s="102" t="s">
        <v>533</v>
      </c>
      <c r="F15" s="102"/>
      <c r="G15" s="103" t="s">
        <v>196</v>
      </c>
    </row>
    <row r="16" spans="3:14" x14ac:dyDescent="0.25">
      <c r="C16" s="108">
        <f>D$4+SUM(D$5:D16)</f>
        <v>3751.84</v>
      </c>
      <c r="D16" s="110">
        <v>-100</v>
      </c>
      <c r="E16" s="111" t="s">
        <v>533</v>
      </c>
      <c r="F16" s="111"/>
      <c r="G16" s="112" t="s">
        <v>534</v>
      </c>
    </row>
    <row r="17" spans="3:8" x14ac:dyDescent="0.25">
      <c r="C17" s="108">
        <f>D$4+SUM(D$5:D17)</f>
        <v>3583.84</v>
      </c>
      <c r="D17" s="99">
        <v>-168</v>
      </c>
      <c r="E17" s="111" t="s">
        <v>533</v>
      </c>
      <c r="F17" s="111"/>
      <c r="G17" s="74" t="s">
        <v>524</v>
      </c>
    </row>
    <row r="18" spans="3:8" x14ac:dyDescent="0.25">
      <c r="C18" s="108">
        <f>D$4+SUM(D$5:D18)</f>
        <v>2483.84</v>
      </c>
      <c r="D18" s="110">
        <v>-1100</v>
      </c>
      <c r="E18" s="111" t="s">
        <v>533</v>
      </c>
      <c r="F18" s="111"/>
      <c r="G18" s="112" t="s">
        <v>12</v>
      </c>
    </row>
    <row r="19" spans="3:8" x14ac:dyDescent="0.25">
      <c r="C19" s="108">
        <f>D$4+SUM(D$5:D19)</f>
        <v>2103.84</v>
      </c>
      <c r="D19" s="99">
        <v>-380</v>
      </c>
      <c r="E19" s="100" t="s">
        <v>535</v>
      </c>
      <c r="F19" s="100"/>
      <c r="G19" s="74" t="s">
        <v>536</v>
      </c>
    </row>
    <row r="20" spans="3:8" x14ac:dyDescent="0.25">
      <c r="C20" s="108">
        <f>D$4+SUM(D$5:D20)</f>
        <v>2053.84</v>
      </c>
      <c r="D20" s="99">
        <v>-50</v>
      </c>
      <c r="E20" s="100" t="s">
        <v>535</v>
      </c>
      <c r="F20" s="100"/>
      <c r="G20" s="74" t="s">
        <v>537</v>
      </c>
    </row>
    <row r="21" spans="3:8" x14ac:dyDescent="0.25">
      <c r="C21" s="108">
        <f>D$4+SUM(D$5:D21)</f>
        <v>3303.84</v>
      </c>
      <c r="D21" s="99">
        <v>1250</v>
      </c>
      <c r="E21" s="100" t="s">
        <v>538</v>
      </c>
      <c r="F21" s="100"/>
      <c r="G21" s="74" t="s">
        <v>539</v>
      </c>
    </row>
    <row r="22" spans="3:8" x14ac:dyDescent="0.25">
      <c r="C22" s="108">
        <f>D$4+SUM(D$5:D22)</f>
        <v>2053.84</v>
      </c>
      <c r="D22" s="99">
        <v>-1250</v>
      </c>
      <c r="E22" s="100" t="s">
        <v>538</v>
      </c>
      <c r="F22" s="100"/>
      <c r="G22" s="74" t="s">
        <v>539</v>
      </c>
      <c r="H22" t="s">
        <v>540</v>
      </c>
    </row>
    <row r="23" spans="3:8" x14ac:dyDescent="0.25">
      <c r="C23" s="108">
        <f>D$4+SUM(D$5:D23)</f>
        <v>1808.8400000000001</v>
      </c>
      <c r="D23" s="99">
        <v>-245</v>
      </c>
      <c r="E23" s="100" t="s">
        <v>538</v>
      </c>
      <c r="F23" s="100"/>
      <c r="G23" s="74" t="s">
        <v>541</v>
      </c>
    </row>
    <row r="24" spans="3:8" x14ac:dyDescent="0.25">
      <c r="C24" s="108">
        <f>D$4+SUM(D$5:D24)</f>
        <v>1620.8400000000001</v>
      </c>
      <c r="D24" s="99">
        <f>-339+151</f>
        <v>-188</v>
      </c>
      <c r="E24" s="100" t="s">
        <v>538</v>
      </c>
      <c r="F24" s="100"/>
      <c r="G24" s="74" t="s">
        <v>518</v>
      </c>
    </row>
    <row r="25" spans="3:8" x14ac:dyDescent="0.25">
      <c r="C25" s="108">
        <f>D$4+SUM(D$5:D25)</f>
        <v>1469.8400000000001</v>
      </c>
      <c r="D25" s="99">
        <v>-151</v>
      </c>
      <c r="E25" s="100" t="s">
        <v>538</v>
      </c>
      <c r="F25" s="100"/>
      <c r="G25" s="74" t="s">
        <v>518</v>
      </c>
    </row>
    <row r="26" spans="3:8" x14ac:dyDescent="0.25">
      <c r="C26" s="108">
        <f>D$4+SUM(D$5:D26)</f>
        <v>2173.34</v>
      </c>
      <c r="D26" s="101">
        <v>703.5</v>
      </c>
      <c r="E26" s="102" t="s">
        <v>542</v>
      </c>
      <c r="F26" s="102"/>
      <c r="G26" s="103" t="s">
        <v>543</v>
      </c>
    </row>
    <row r="27" spans="3:8" x14ac:dyDescent="0.25">
      <c r="C27" s="108">
        <f>D$4+SUM(D$5:D27)</f>
        <v>1773.3400000000001</v>
      </c>
      <c r="D27" s="99">
        <v>-400</v>
      </c>
      <c r="E27" s="100" t="s">
        <v>542</v>
      </c>
      <c r="F27" s="74"/>
      <c r="G27" s="74" t="s">
        <v>544</v>
      </c>
    </row>
    <row r="28" spans="3:8" x14ac:dyDescent="0.25">
      <c r="C28" s="108">
        <f>D$4+SUM(D$5:D28)</f>
        <v>4401.34</v>
      </c>
      <c r="D28" s="99">
        <v>2628</v>
      </c>
      <c r="E28" s="100" t="s">
        <v>545</v>
      </c>
      <c r="F28" s="74"/>
      <c r="G28" s="74" t="s">
        <v>546</v>
      </c>
    </row>
    <row r="29" spans="3:8" x14ac:dyDescent="0.25">
      <c r="C29" s="108">
        <f>D$4+SUM(D$5:D29)</f>
        <v>2001.3400000000001</v>
      </c>
      <c r="D29" s="99">
        <v>-2400</v>
      </c>
      <c r="E29" s="100" t="s">
        <v>545</v>
      </c>
      <c r="F29" s="74"/>
      <c r="G29" s="74" t="s">
        <v>544</v>
      </c>
    </row>
    <row r="30" spans="3:8" x14ac:dyDescent="0.25">
      <c r="C30" s="108">
        <f>D$4+SUM(D$5:D30)</f>
        <v>2073.34</v>
      </c>
      <c r="D30" s="99">
        <v>72</v>
      </c>
      <c r="E30" s="100" t="s">
        <v>545</v>
      </c>
      <c r="F30" s="74"/>
      <c r="G30" s="74" t="s">
        <v>524</v>
      </c>
    </row>
    <row r="31" spans="3:8" x14ac:dyDescent="0.25">
      <c r="C31" s="108">
        <f>D$4+SUM(D$5:D31)</f>
        <v>1980.3400000000001</v>
      </c>
      <c r="D31" s="99">
        <v>-93</v>
      </c>
      <c r="E31" s="100" t="s">
        <v>545</v>
      </c>
      <c r="F31" s="74"/>
      <c r="G31" s="74" t="s">
        <v>524</v>
      </c>
    </row>
    <row r="32" spans="3:8" x14ac:dyDescent="0.25">
      <c r="C32" s="108">
        <f>D$4+SUM(D$5:D32)</f>
        <v>1680.3400000000001</v>
      </c>
      <c r="D32" s="99">
        <v>-300</v>
      </c>
      <c r="E32" s="100" t="s">
        <v>547</v>
      </c>
      <c r="F32" s="74"/>
      <c r="G32" s="74" t="s">
        <v>548</v>
      </c>
    </row>
    <row r="33" spans="3:7" x14ac:dyDescent="0.25">
      <c r="C33" s="108">
        <f>D$4+SUM(D$5:D33)</f>
        <v>1598.3400000000001</v>
      </c>
      <c r="D33" s="99">
        <v>-82</v>
      </c>
      <c r="E33" s="100" t="s">
        <v>549</v>
      </c>
      <c r="F33" s="74"/>
      <c r="G33" s="74" t="s">
        <v>524</v>
      </c>
    </row>
    <row r="34" spans="3:7" x14ac:dyDescent="0.25">
      <c r="C34" s="108">
        <f>D$4+SUM(D$5:D34)</f>
        <v>1745.6800000000003</v>
      </c>
      <c r="D34" s="113">
        <f>1.06*139</f>
        <v>147.34</v>
      </c>
      <c r="E34" s="114" t="s">
        <v>549</v>
      </c>
      <c r="F34" s="115"/>
      <c r="G34" s="115" t="s">
        <v>550</v>
      </c>
    </row>
    <row r="35" spans="3:7" x14ac:dyDescent="0.25">
      <c r="C35" s="108">
        <f>D$4+SUM(D$5:D35)</f>
        <v>1598.1800000000003</v>
      </c>
      <c r="D35" s="99">
        <f>295/2*-1</f>
        <v>-147.5</v>
      </c>
      <c r="E35" s="100" t="s">
        <v>551</v>
      </c>
      <c r="F35" s="74"/>
      <c r="G35" s="74" t="s">
        <v>552</v>
      </c>
    </row>
    <row r="36" spans="3:7" x14ac:dyDescent="0.25">
      <c r="C36" s="108">
        <f>D$4+SUM(D$5:D36)</f>
        <v>5092.0200000000004</v>
      </c>
      <c r="D36" s="101">
        <v>3493.84</v>
      </c>
      <c r="E36" s="102" t="s">
        <v>551</v>
      </c>
      <c r="F36" s="102"/>
      <c r="G36" s="103" t="s">
        <v>196</v>
      </c>
    </row>
    <row r="37" spans="3:7" x14ac:dyDescent="0.25">
      <c r="C37" s="108">
        <f>D$4+SUM(D$5:D37)</f>
        <v>2552.0200000000004</v>
      </c>
      <c r="D37" s="99">
        <v>-2540</v>
      </c>
      <c r="E37" s="100" t="s">
        <v>551</v>
      </c>
      <c r="F37" s="74"/>
      <c r="G37" s="74" t="s">
        <v>544</v>
      </c>
    </row>
    <row r="38" spans="3:7" x14ac:dyDescent="0.25">
      <c r="C38" s="108">
        <f>D$4+SUM(D$5:D38)</f>
        <v>2115.0200000000004</v>
      </c>
      <c r="D38" s="99">
        <v>-437</v>
      </c>
      <c r="E38" s="100" t="s">
        <v>553</v>
      </c>
      <c r="F38" s="100"/>
      <c r="G38" s="74" t="s">
        <v>527</v>
      </c>
    </row>
    <row r="39" spans="3:7" x14ac:dyDescent="0.25">
      <c r="C39" s="108">
        <f>D$4+SUM(D$5:D39)</f>
        <v>533.02000000000044</v>
      </c>
      <c r="D39" s="99">
        <v>-1582</v>
      </c>
      <c r="E39" s="100" t="s">
        <v>553</v>
      </c>
      <c r="F39" s="100"/>
      <c r="G39" s="74" t="s">
        <v>554</v>
      </c>
    </row>
    <row r="40" spans="3:7" x14ac:dyDescent="0.25">
      <c r="C40" s="108">
        <f>D$4+SUM(D$5:D40)</f>
        <v>1933.0200000000004</v>
      </c>
      <c r="D40" s="99">
        <v>1400</v>
      </c>
      <c r="E40" s="100" t="s">
        <v>553</v>
      </c>
      <c r="F40" s="100"/>
      <c r="G40" s="74" t="s">
        <v>555</v>
      </c>
    </row>
    <row r="41" spans="3:7" x14ac:dyDescent="0.25">
      <c r="C41" s="108">
        <f>D$4+SUM(D$5:D41)</f>
        <v>5426.8600000000006</v>
      </c>
      <c r="D41" s="101">
        <v>3493.84</v>
      </c>
      <c r="E41" s="102" t="s">
        <v>556</v>
      </c>
      <c r="F41" s="102"/>
      <c r="G41" s="103" t="s">
        <v>196</v>
      </c>
    </row>
    <row r="42" spans="3:7" x14ac:dyDescent="0.25">
      <c r="C42" s="108">
        <f>D$4+SUM(D$5:D42)</f>
        <v>4598.8600000000006</v>
      </c>
      <c r="D42" s="99">
        <v>-828</v>
      </c>
      <c r="E42" s="100" t="s">
        <v>556</v>
      </c>
      <c r="F42" s="100"/>
      <c r="G42" s="74" t="s">
        <v>530</v>
      </c>
    </row>
    <row r="43" spans="3:7" x14ac:dyDescent="0.25">
      <c r="C43" s="108">
        <f>D$4+SUM(D$5:D43)</f>
        <v>4222.8600000000006</v>
      </c>
      <c r="D43" s="99">
        <v>-376</v>
      </c>
      <c r="E43" s="100" t="s">
        <v>556</v>
      </c>
      <c r="F43" s="100"/>
      <c r="G43" s="74" t="s">
        <v>554</v>
      </c>
    </row>
    <row r="44" spans="3:7" x14ac:dyDescent="0.25">
      <c r="C44" s="108">
        <f>D$4+SUM(D$5:D44)</f>
        <v>3272.8600000000006</v>
      </c>
      <c r="D44" s="99">
        <v>-950</v>
      </c>
      <c r="E44" s="100" t="s">
        <v>556</v>
      </c>
      <c r="F44" s="100"/>
      <c r="G44" s="74" t="s">
        <v>544</v>
      </c>
    </row>
    <row r="45" spans="3:7" x14ac:dyDescent="0.25">
      <c r="C45" s="108">
        <f>D$4+SUM(D$5:D45)</f>
        <v>3172.8600000000006</v>
      </c>
      <c r="D45" s="99">
        <v>-100</v>
      </c>
      <c r="E45" s="100" t="s">
        <v>556</v>
      </c>
      <c r="F45" s="100"/>
      <c r="G45" s="74" t="s">
        <v>534</v>
      </c>
    </row>
    <row r="46" spans="3:7" x14ac:dyDescent="0.25">
      <c r="C46" s="108">
        <f>D$4+SUM(D$5:D46)</f>
        <v>3121.1100000000006</v>
      </c>
      <c r="D46" s="99">
        <v>-51.75</v>
      </c>
      <c r="E46" s="100" t="s">
        <v>556</v>
      </c>
      <c r="F46" s="100"/>
      <c r="G46" s="74" t="s">
        <v>557</v>
      </c>
    </row>
    <row r="47" spans="3:7" x14ac:dyDescent="0.25">
      <c r="C47" s="108">
        <f>D$4+SUM(D$5:D47)</f>
        <v>1926.1100000000006</v>
      </c>
      <c r="D47" s="99">
        <v>-1195</v>
      </c>
      <c r="E47" s="100" t="s">
        <v>558</v>
      </c>
      <c r="F47" s="100"/>
      <c r="G47" s="74" t="s">
        <v>12</v>
      </c>
    </row>
    <row r="48" spans="3:7" x14ac:dyDescent="0.25">
      <c r="C48" s="108">
        <f>D$4+SUM(D$5:D48)</f>
        <v>1627.1100000000006</v>
      </c>
      <c r="D48" s="99">
        <v>-299</v>
      </c>
      <c r="E48" s="100" t="s">
        <v>559</v>
      </c>
      <c r="F48" s="100"/>
      <c r="G48" s="74" t="s">
        <v>8</v>
      </c>
    </row>
    <row r="49" spans="3:23" x14ac:dyDescent="0.25">
      <c r="C49" s="108">
        <f>D$4+SUM(D$5:D49)</f>
        <v>2877.1100000000006</v>
      </c>
      <c r="D49" s="99">
        <v>1250</v>
      </c>
      <c r="E49" s="100" t="s">
        <v>564</v>
      </c>
      <c r="F49" s="100"/>
      <c r="G49" s="74" t="s">
        <v>539</v>
      </c>
    </row>
    <row r="50" spans="3:23" x14ac:dyDescent="0.25">
      <c r="C50" s="108">
        <f>D$4+SUM(D$5:D50)</f>
        <v>2577.1100000000006</v>
      </c>
      <c r="D50" s="99">
        <v>-300</v>
      </c>
      <c r="E50" s="100" t="s">
        <v>565</v>
      </c>
      <c r="F50" s="100"/>
      <c r="G50" s="74" t="s">
        <v>544</v>
      </c>
    </row>
    <row r="51" spans="3:23" x14ac:dyDescent="0.25">
      <c r="C51" s="108">
        <f>D$4+SUM(D$5:D51)</f>
        <v>5977.1100000000006</v>
      </c>
      <c r="D51" s="101">
        <v>3400</v>
      </c>
      <c r="E51" s="102" t="s">
        <v>566</v>
      </c>
      <c r="F51" s="102"/>
      <c r="G51" s="103" t="s">
        <v>196</v>
      </c>
    </row>
    <row r="52" spans="3:23" x14ac:dyDescent="0.25">
      <c r="C52" s="108">
        <f>D$4+SUM(D$5:D52)</f>
        <v>5677.1100000000006</v>
      </c>
      <c r="D52" s="99">
        <v>-300</v>
      </c>
      <c r="E52" s="100" t="s">
        <v>566</v>
      </c>
      <c r="F52" s="74"/>
      <c r="G52" s="74" t="s">
        <v>568</v>
      </c>
    </row>
    <row r="53" spans="3:23" x14ac:dyDescent="0.25">
      <c r="C53" s="108">
        <f>D$4+SUM(D$5:D53)</f>
        <v>2677.1100000000006</v>
      </c>
      <c r="D53" s="99">
        <v>-3000</v>
      </c>
      <c r="E53" s="100" t="s">
        <v>566</v>
      </c>
      <c r="F53" s="100"/>
      <c r="G53" s="74" t="s">
        <v>544</v>
      </c>
    </row>
    <row r="54" spans="3:23" x14ac:dyDescent="0.25">
      <c r="C54" s="108">
        <f>D$4+SUM(D$5:D54)</f>
        <v>2467.1100000000006</v>
      </c>
      <c r="D54" s="99">
        <v>-210</v>
      </c>
      <c r="E54" s="100" t="s">
        <v>571</v>
      </c>
      <c r="F54" s="74"/>
      <c r="G54" s="74" t="s">
        <v>572</v>
      </c>
    </row>
    <row r="55" spans="3:23" x14ac:dyDescent="0.25">
      <c r="C55" s="108">
        <f>D$4+SUM(D$5:D55)</f>
        <v>1005.1100000000006</v>
      </c>
      <c r="D55" s="99">
        <v>-1462</v>
      </c>
      <c r="E55" s="100" t="s">
        <v>571</v>
      </c>
      <c r="F55" s="74"/>
      <c r="G55" s="74" t="s">
        <v>573</v>
      </c>
    </row>
    <row r="56" spans="3:23" x14ac:dyDescent="0.25">
      <c r="C56" s="108">
        <f>D$4+SUM(D$5:D56)</f>
        <v>1505.1100000000006</v>
      </c>
      <c r="D56" s="99">
        <v>500</v>
      </c>
      <c r="E56" s="100" t="s">
        <v>571</v>
      </c>
      <c r="F56" s="74"/>
      <c r="G56" s="74" t="s">
        <v>575</v>
      </c>
    </row>
    <row r="57" spans="3:23" ht="17.25" x14ac:dyDescent="0.4">
      <c r="C57" s="108">
        <f>D$4+SUM(D$5:D57)</f>
        <v>1430.5100000000007</v>
      </c>
      <c r="D57" s="99">
        <v>-74.599999999999994</v>
      </c>
      <c r="E57" s="100" t="s">
        <v>586</v>
      </c>
      <c r="F57" s="74"/>
      <c r="G57" s="74" t="s">
        <v>587</v>
      </c>
      <c r="L57" s="2" t="s">
        <v>560</v>
      </c>
      <c r="M57" s="2" t="s">
        <v>561</v>
      </c>
      <c r="N57" s="2"/>
      <c r="O57" s="2"/>
      <c r="R57" s="46" t="s">
        <v>604</v>
      </c>
      <c r="S57" s="1" t="s">
        <v>603</v>
      </c>
    </row>
    <row r="58" spans="3:23" x14ac:dyDescent="0.25">
      <c r="C58" s="108">
        <f>D$4+SUM(D$5:D58)</f>
        <v>1392.5100000000007</v>
      </c>
      <c r="D58" s="99">
        <v>-38</v>
      </c>
      <c r="E58" s="100" t="s">
        <v>592</v>
      </c>
      <c r="F58" s="74"/>
      <c r="G58" s="74" t="s">
        <v>573</v>
      </c>
      <c r="J58" t="s">
        <v>562</v>
      </c>
      <c r="K58" s="125">
        <v>12460</v>
      </c>
      <c r="L58" s="125">
        <v>2940</v>
      </c>
      <c r="M58" s="125">
        <v>-1350</v>
      </c>
      <c r="N58" s="125">
        <f>D44*-1</f>
        <v>950</v>
      </c>
      <c r="O58" s="125">
        <v>2500</v>
      </c>
      <c r="P58" s="125">
        <v>-500</v>
      </c>
      <c r="Q58" s="125">
        <v>59</v>
      </c>
      <c r="R58" s="125">
        <v>-445</v>
      </c>
      <c r="S58" s="125">
        <v>-600</v>
      </c>
      <c r="T58" s="125">
        <v>-400</v>
      </c>
      <c r="U58" s="125">
        <f>D79*-1</f>
        <v>3000</v>
      </c>
      <c r="V58" s="124">
        <v>-600</v>
      </c>
      <c r="W58" s="116">
        <f>SUM(K58:V58)</f>
        <v>18014</v>
      </c>
    </row>
    <row r="59" spans="3:23" x14ac:dyDescent="0.25">
      <c r="C59" s="108">
        <f>D$4+SUM(D$5:D59)</f>
        <v>1264.5100000000007</v>
      </c>
      <c r="D59" s="99">
        <v>-128</v>
      </c>
      <c r="E59" s="100" t="s">
        <v>593</v>
      </c>
      <c r="F59" s="74"/>
      <c r="G59" s="74" t="s">
        <v>573</v>
      </c>
      <c r="J59" t="s">
        <v>563</v>
      </c>
    </row>
    <row r="60" spans="3:23" x14ac:dyDescent="0.25">
      <c r="C60" s="108">
        <f>D$4+SUM(D$5:D60)</f>
        <v>950.51000000000067</v>
      </c>
      <c r="D60" s="99">
        <v>-314</v>
      </c>
      <c r="E60" s="100" t="s">
        <v>576</v>
      </c>
      <c r="F60" s="74"/>
      <c r="G60" s="74" t="s">
        <v>573</v>
      </c>
    </row>
    <row r="61" spans="3:23" x14ac:dyDescent="0.25">
      <c r="C61" s="108">
        <f>D$4+SUM(D$5:D61)</f>
        <v>513.51000000000067</v>
      </c>
      <c r="D61" s="99">
        <v>-437</v>
      </c>
      <c r="E61" s="100" t="s">
        <v>576</v>
      </c>
      <c r="F61" s="100"/>
      <c r="G61" s="74" t="s">
        <v>527</v>
      </c>
      <c r="J61" t="s">
        <v>567</v>
      </c>
    </row>
    <row r="62" spans="3:23" x14ac:dyDescent="0.25">
      <c r="C62" s="108">
        <f>D$4+SUM(D$5:D62)</f>
        <v>395.51000000000067</v>
      </c>
      <c r="D62" s="99">
        <v>-118</v>
      </c>
      <c r="E62" s="100" t="s">
        <v>594</v>
      </c>
      <c r="F62" s="74"/>
      <c r="G62" s="74" t="s">
        <v>573</v>
      </c>
      <c r="J62" t="s">
        <v>567</v>
      </c>
    </row>
    <row r="63" spans="3:23" x14ac:dyDescent="0.25">
      <c r="C63" s="108">
        <f>D$4+SUM(D$5:D63)</f>
        <v>3889.3500000000008</v>
      </c>
      <c r="D63" s="101">
        <v>3493.84</v>
      </c>
      <c r="E63" s="102" t="s">
        <v>577</v>
      </c>
      <c r="F63" s="102"/>
      <c r="G63" s="103" t="s">
        <v>196</v>
      </c>
      <c r="J63" s="115" t="s">
        <v>569</v>
      </c>
      <c r="K63" s="115"/>
    </row>
    <row r="64" spans="3:23" x14ac:dyDescent="0.25">
      <c r="C64" s="108">
        <f>D$4+SUM(D$5:D64)</f>
        <v>3693.3500000000008</v>
      </c>
      <c r="D64" s="99">
        <v>-196</v>
      </c>
      <c r="E64" s="100" t="s">
        <v>577</v>
      </c>
      <c r="F64" s="74"/>
      <c r="G64" s="74" t="s">
        <v>573</v>
      </c>
      <c r="J64" s="115" t="s">
        <v>570</v>
      </c>
      <c r="K64" s="115"/>
    </row>
    <row r="65" spans="3:11" x14ac:dyDescent="0.25">
      <c r="C65" s="108">
        <f>D$4+SUM(D$5:D65)</f>
        <v>2983.130000000001</v>
      </c>
      <c r="D65" s="99">
        <f>-105.65-99-45-26.46-14-163.53-45.81-63.53-21.45-103.6-3.91-19.06-7+3.89+3.89</f>
        <v>-710.22</v>
      </c>
      <c r="E65" s="100" t="s">
        <v>597</v>
      </c>
      <c r="F65" s="100"/>
      <c r="G65" s="74" t="s">
        <v>598</v>
      </c>
      <c r="J65" s="115" t="s">
        <v>333</v>
      </c>
      <c r="K65" s="115"/>
    </row>
    <row r="66" spans="3:11" x14ac:dyDescent="0.25">
      <c r="C66" s="108">
        <f>D$4+SUM(D$5:D66)</f>
        <v>2155.130000000001</v>
      </c>
      <c r="D66" s="99">
        <v>-828</v>
      </c>
      <c r="E66" s="100" t="s">
        <v>578</v>
      </c>
      <c r="F66" s="100"/>
      <c r="G66" s="74" t="s">
        <v>530</v>
      </c>
      <c r="J66" t="s">
        <v>574</v>
      </c>
    </row>
    <row r="67" spans="3:11" x14ac:dyDescent="0.25">
      <c r="C67" s="108">
        <f>D$4+SUM(D$5:D67)</f>
        <v>2090.130000000001</v>
      </c>
      <c r="D67" s="99">
        <v>-65</v>
      </c>
      <c r="E67" s="100" t="s">
        <v>595</v>
      </c>
      <c r="F67" s="100"/>
      <c r="G67" s="74" t="s">
        <v>506</v>
      </c>
    </row>
    <row r="68" spans="3:11" x14ac:dyDescent="0.25">
      <c r="C68" s="108">
        <f>D$4+SUM(D$5:D68)</f>
        <v>2018.2500000000009</v>
      </c>
      <c r="D68" s="99">
        <v>-71.88</v>
      </c>
      <c r="E68" s="100" t="s">
        <v>595</v>
      </c>
      <c r="F68" s="100"/>
      <c r="G68" s="74" t="s">
        <v>507</v>
      </c>
    </row>
    <row r="69" spans="3:11" x14ac:dyDescent="0.25">
      <c r="C69" s="108">
        <f>D$4+SUM(D$5:D69)</f>
        <v>1709.2500000000009</v>
      </c>
      <c r="D69" s="99">
        <v>-309</v>
      </c>
      <c r="E69" s="100" t="s">
        <v>595</v>
      </c>
      <c r="F69" s="100"/>
      <c r="G69" s="74" t="s">
        <v>573</v>
      </c>
    </row>
    <row r="70" spans="3:11" x14ac:dyDescent="0.25">
      <c r="C70" s="108">
        <f>D$4+SUM(D$5:D70)</f>
        <v>1609.2500000000009</v>
      </c>
      <c r="D70" s="99">
        <v>-100</v>
      </c>
      <c r="E70" s="100" t="s">
        <v>579</v>
      </c>
      <c r="F70" s="100"/>
      <c r="G70" s="74" t="s">
        <v>596</v>
      </c>
    </row>
    <row r="71" spans="3:11" x14ac:dyDescent="0.25">
      <c r="C71" s="108">
        <f>D$4+SUM(D$5:D71)</f>
        <v>2209.2500000000009</v>
      </c>
      <c r="D71" s="99">
        <v>600</v>
      </c>
      <c r="E71" s="100" t="s">
        <v>579</v>
      </c>
      <c r="F71" s="100"/>
      <c r="G71" s="74" t="s">
        <v>601</v>
      </c>
    </row>
    <row r="72" spans="3:11" x14ac:dyDescent="0.25">
      <c r="C72" s="108">
        <f>D$4+SUM(D$5:D72)</f>
        <v>1910.2500000000009</v>
      </c>
      <c r="D72" s="99">
        <v>-299</v>
      </c>
      <c r="E72" s="100" t="s">
        <v>579</v>
      </c>
      <c r="F72" s="100"/>
      <c r="G72" s="74" t="s">
        <v>8</v>
      </c>
    </row>
    <row r="73" spans="3:11" x14ac:dyDescent="0.25">
      <c r="C73" s="108">
        <f>D$4+SUM(D$5:D73)</f>
        <v>1865.940000000001</v>
      </c>
      <c r="D73" s="99">
        <f>-15.42-19.98-13.91+5</f>
        <v>-44.31</v>
      </c>
      <c r="E73" s="100"/>
      <c r="F73" s="100"/>
      <c r="G73" s="74"/>
    </row>
    <row r="74" spans="3:11" x14ac:dyDescent="0.25">
      <c r="C74" s="108">
        <f>D$4+SUM(D$5:D74)</f>
        <v>640.94000000000096</v>
      </c>
      <c r="D74" s="99">
        <v>-1225</v>
      </c>
      <c r="E74" s="100" t="s">
        <v>600</v>
      </c>
      <c r="F74" s="100"/>
      <c r="G74" s="74" t="s">
        <v>12</v>
      </c>
    </row>
    <row r="75" spans="3:11" x14ac:dyDescent="0.25">
      <c r="C75" s="108">
        <f>D$4+SUM(D$5:D75)</f>
        <v>658.27000000000089</v>
      </c>
      <c r="D75" s="99">
        <f>-19.98-9.99-17.49-14.98-29.96-59.99-0.28+170</f>
        <v>17.329999999999984</v>
      </c>
      <c r="E75" s="74"/>
      <c r="F75" s="74"/>
      <c r="G75" s="74"/>
    </row>
    <row r="76" spans="3:11" x14ac:dyDescent="0.25">
      <c r="C76" s="108">
        <f>D$4+SUM(D$5:D76)</f>
        <v>1908.2700000000009</v>
      </c>
      <c r="D76" s="99">
        <v>1250</v>
      </c>
      <c r="E76" s="100" t="s">
        <v>590</v>
      </c>
      <c r="F76" s="100"/>
      <c r="G76" s="74" t="s">
        <v>539</v>
      </c>
    </row>
    <row r="77" spans="3:11" x14ac:dyDescent="0.25">
      <c r="C77" s="108">
        <f>D$4+SUM(D$5:D77)</f>
        <v>1408.2700000000009</v>
      </c>
      <c r="D77" s="99">
        <v>-500</v>
      </c>
      <c r="E77" s="100" t="s">
        <v>580</v>
      </c>
      <c r="F77" s="100"/>
      <c r="G77" s="74" t="s">
        <v>544</v>
      </c>
      <c r="J77" s="120"/>
    </row>
    <row r="78" spans="3:11" x14ac:dyDescent="0.25">
      <c r="C78" s="108">
        <f>D$4+SUM(D$5:D78)</f>
        <v>4902.1100000000006</v>
      </c>
      <c r="D78" s="101">
        <v>3493.84</v>
      </c>
      <c r="E78" s="102" t="s">
        <v>580</v>
      </c>
      <c r="F78" s="102"/>
      <c r="G78" s="103" t="s">
        <v>196</v>
      </c>
    </row>
    <row r="79" spans="3:11" x14ac:dyDescent="0.25">
      <c r="C79" s="108">
        <f>D$4+SUM(D$5:D79)</f>
        <v>1902.110000000001</v>
      </c>
      <c r="D79" s="99">
        <v>-3000</v>
      </c>
      <c r="E79" s="100" t="s">
        <v>580</v>
      </c>
      <c r="F79" s="100"/>
      <c r="G79" s="74" t="s">
        <v>544</v>
      </c>
      <c r="J79" s="120"/>
    </row>
    <row r="80" spans="3:11" x14ac:dyDescent="0.25">
      <c r="C80" s="108">
        <f>D$4+SUM(D$5:D80)</f>
        <v>1090.110000000001</v>
      </c>
      <c r="D80" s="125">
        <f>-179-12-19-179+N("AT&amp;T")-168+N("WIX")-242+N("Delay pedal")-13</f>
        <v>-812</v>
      </c>
      <c r="E80" s="74"/>
      <c r="F80" s="74"/>
      <c r="G80" s="74"/>
    </row>
    <row r="81" spans="2:13" x14ac:dyDescent="0.25">
      <c r="C81" s="108">
        <f>D$4+SUM(D$5:D81)</f>
        <v>790.11000000000104</v>
      </c>
      <c r="D81" s="99">
        <v>-300</v>
      </c>
      <c r="E81" s="100" t="s">
        <v>581</v>
      </c>
      <c r="F81" s="74"/>
      <c r="G81" s="74" t="s">
        <v>568</v>
      </c>
      <c r="M81">
        <v>3058.72</v>
      </c>
    </row>
    <row r="82" spans="2:13" x14ac:dyDescent="0.25">
      <c r="C82" s="108">
        <f>D$4+SUM(D$5:D82)</f>
        <v>622.02000000000089</v>
      </c>
      <c r="D82" s="99">
        <f>15.6-45.49-20-14.59-40.63-27.62-12.83-5.53-17</f>
        <v>-168.09000000000003</v>
      </c>
      <c r="E82" s="74"/>
      <c r="F82" s="74"/>
      <c r="G82" s="74"/>
    </row>
    <row r="83" spans="2:13" x14ac:dyDescent="0.25">
      <c r="C83" s="108">
        <f>D$4+SUM(D$5:D83)</f>
        <v>422.02000000000089</v>
      </c>
      <c r="D83" s="99">
        <v>-200</v>
      </c>
      <c r="E83" s="100" t="s">
        <v>605</v>
      </c>
      <c r="F83" s="100"/>
      <c r="G83" s="74" t="s">
        <v>591</v>
      </c>
    </row>
    <row r="84" spans="2:13" x14ac:dyDescent="0.25">
      <c r="C84" s="108">
        <f>D$4+SUM(D$5:D84)</f>
        <v>646.02000000000089</v>
      </c>
      <c r="D84" s="99">
        <f>-176+400+N("Transferred $400 into for car pmt")</f>
        <v>224</v>
      </c>
      <c r="E84" s="100" t="s">
        <v>606</v>
      </c>
      <c r="F84" s="74"/>
      <c r="G84" s="74" t="s">
        <v>573</v>
      </c>
    </row>
    <row r="85" spans="2:13" x14ac:dyDescent="0.25">
      <c r="C85" s="108">
        <f>D$4+SUM(D$5:D85)</f>
        <v>4139.8600000000006</v>
      </c>
      <c r="D85" s="101">
        <v>3493.84</v>
      </c>
      <c r="E85" s="102" t="s">
        <v>583</v>
      </c>
      <c r="F85" s="102"/>
      <c r="G85" s="103" t="s">
        <v>196</v>
      </c>
    </row>
    <row r="86" spans="2:13" x14ac:dyDescent="0.25">
      <c r="C86" s="108">
        <f>D$4+SUM(D$5:D86)</f>
        <v>4008.6800000000012</v>
      </c>
      <c r="D86" s="99">
        <f>-41.79+N("Comcast")-21.39+N("Ufit")-68</f>
        <v>-131.18</v>
      </c>
      <c r="E86" s="100" t="s">
        <v>582</v>
      </c>
      <c r="F86" s="100"/>
      <c r="G86" s="74" t="s">
        <v>573</v>
      </c>
    </row>
    <row r="87" spans="2:13" x14ac:dyDescent="0.25">
      <c r="C87" s="108">
        <f>D$4+SUM(D$5:D87)</f>
        <v>3571.6800000000012</v>
      </c>
      <c r="D87" s="99">
        <v>-437</v>
      </c>
      <c r="E87" s="100" t="s">
        <v>583</v>
      </c>
      <c r="F87" s="100"/>
      <c r="G87" s="74" t="s">
        <v>527</v>
      </c>
    </row>
    <row r="88" spans="2:13" x14ac:dyDescent="0.25">
      <c r="C88" s="108">
        <f>D$4+SUM(D$5:D88)</f>
        <v>3559.7300000000009</v>
      </c>
      <c r="D88" s="99">
        <v>-11.95</v>
      </c>
      <c r="E88" s="100" t="s">
        <v>599</v>
      </c>
      <c r="F88" s="100"/>
      <c r="G88" s="74" t="s">
        <v>334</v>
      </c>
    </row>
    <row r="89" spans="2:13" x14ac:dyDescent="0.25">
      <c r="C89" s="108">
        <f>D$4+SUM(D$5:D89)</f>
        <v>3494.7300000000009</v>
      </c>
      <c r="D89" s="99">
        <v>-65</v>
      </c>
      <c r="E89" s="100" t="s">
        <v>599</v>
      </c>
      <c r="F89" s="100"/>
      <c r="G89" s="74" t="s">
        <v>506</v>
      </c>
    </row>
    <row r="90" spans="2:13" x14ac:dyDescent="0.25">
      <c r="C90" s="108">
        <f>D$4+SUM(D$5:D90)</f>
        <v>3057.7300000000009</v>
      </c>
      <c r="D90" s="99">
        <v>-437</v>
      </c>
      <c r="E90" s="100"/>
      <c r="F90" s="100"/>
      <c r="G90" s="74"/>
    </row>
    <row r="91" spans="2:13" ht="15.75" thickBot="1" x14ac:dyDescent="0.3">
      <c r="C91" s="108">
        <f>D$4+SUM(D$5:D91)</f>
        <v>2229.7300000000009</v>
      </c>
      <c r="D91" s="99">
        <v>-828</v>
      </c>
      <c r="E91" s="100" t="s">
        <v>584</v>
      </c>
      <c r="F91" s="100"/>
      <c r="G91" s="74" t="s">
        <v>530</v>
      </c>
    </row>
    <row r="92" spans="2:13" ht="15.75" thickBot="1" x14ac:dyDescent="0.3">
      <c r="B92" s="121" t="s">
        <v>602</v>
      </c>
      <c r="C92" s="122">
        <f>D$4+SUM(D$5:D92)</f>
        <v>1004.7300000000009</v>
      </c>
      <c r="D92" s="99">
        <v>-1225</v>
      </c>
      <c r="E92" s="100" t="s">
        <v>584</v>
      </c>
      <c r="F92" s="100"/>
      <c r="G92" s="74" t="s">
        <v>12</v>
      </c>
    </row>
    <row r="93" spans="2:13" x14ac:dyDescent="0.25">
      <c r="C93" s="108">
        <f>D$4+SUM(D$5:D93)</f>
        <v>932.85000000000082</v>
      </c>
      <c r="D93" s="99">
        <v>-71.88</v>
      </c>
      <c r="E93" s="100" t="s">
        <v>599</v>
      </c>
      <c r="F93" s="100"/>
      <c r="G93" s="74" t="s">
        <v>507</v>
      </c>
    </row>
    <row r="94" spans="2:13" x14ac:dyDescent="0.25">
      <c r="C94" s="108">
        <f>D$4+SUM(D$5:D94)</f>
        <v>633.85000000000082</v>
      </c>
      <c r="D94" s="99">
        <v>-299</v>
      </c>
      <c r="E94" s="100" t="s">
        <v>585</v>
      </c>
      <c r="F94" s="100"/>
      <c r="G94" s="74" t="s">
        <v>8</v>
      </c>
    </row>
    <row r="95" spans="2:13" x14ac:dyDescent="0.25">
      <c r="C95" s="108">
        <f>D$4+SUM(D$5:D95)</f>
        <v>633.85000000000082</v>
      </c>
      <c r="D95" s="99"/>
      <c r="E95" s="100"/>
      <c r="F95" s="100"/>
      <c r="G95" s="74"/>
    </row>
    <row r="96" spans="2:13" x14ac:dyDescent="0.25">
      <c r="C96" s="108">
        <f>D$4+SUM(D$5:D96)</f>
        <v>633.85000000000082</v>
      </c>
      <c r="D96" s="99"/>
      <c r="E96" s="100"/>
      <c r="F96" s="100"/>
      <c r="G96" s="74"/>
    </row>
    <row r="97" spans="3:10" x14ac:dyDescent="0.25">
      <c r="C97" s="108">
        <f>D$4+SUM(D$5:D97)</f>
        <v>633.85000000000082</v>
      </c>
      <c r="D97" s="117">
        <v>0</v>
      </c>
      <c r="E97" s="118" t="s">
        <v>585</v>
      </c>
      <c r="F97" s="118"/>
      <c r="G97" s="119" t="s">
        <v>544</v>
      </c>
      <c r="J97" s="93">
        <v>43476</v>
      </c>
    </row>
    <row r="98" spans="3:10" x14ac:dyDescent="0.25">
      <c r="J98" s="93">
        <f>J97+14</f>
        <v>43490</v>
      </c>
    </row>
  </sheetData>
  <pageMargins left="0.7" right="0.7" top="0.75" bottom="0.75" header="0.3" footer="0.3"/>
  <pageSetup orientation="portrait" r:id="rId1"/>
  <ignoredErrors>
    <ignoredError sqref="E6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A8A8-243F-46F4-9734-257C26BC9816}">
  <sheetPr codeName="Sheet1">
    <tabColor theme="7" tint="0.39997558519241921"/>
    <pageSetUpPr fitToPage="1"/>
  </sheetPr>
  <dimension ref="A1:CL67"/>
  <sheetViews>
    <sheetView showGridLines="0" zoomScale="85" zoomScaleNormal="85" workbookViewId="0">
      <pane xSplit="2" ySplit="6" topLeftCell="AE7" activePane="bottomRight" state="frozen"/>
      <selection pane="topRight" activeCell="C1" sqref="C1"/>
      <selection pane="bottomLeft" activeCell="A7" sqref="A7"/>
      <selection pane="bottomRight" activeCell="BY1" sqref="BY1"/>
    </sheetView>
  </sheetViews>
  <sheetFormatPr defaultRowHeight="15" outlineLevelCol="1" x14ac:dyDescent="0.25"/>
  <cols>
    <col min="1" max="1" width="3.28515625" customWidth="1"/>
    <col min="2" max="2" width="18.7109375" customWidth="1"/>
    <col min="3" max="3" width="8.28515625" customWidth="1"/>
    <col min="4" max="4" width="1.5703125" customWidth="1"/>
    <col min="5" max="5" width="8.28515625" customWidth="1"/>
    <col min="6" max="6" width="1.5703125" customWidth="1"/>
    <col min="7" max="7" width="8.28515625" customWidth="1"/>
    <col min="8" max="8" width="3.7109375" customWidth="1"/>
    <col min="9" max="9" width="8.28515625" customWidth="1"/>
    <col min="10" max="10" width="1.5703125" customWidth="1"/>
    <col min="11" max="11" width="8.28515625" customWidth="1"/>
    <col min="12" max="12" width="1.5703125" customWidth="1"/>
    <col min="13" max="13" width="8.28515625" customWidth="1"/>
    <col min="14" max="14" width="3.7109375" customWidth="1"/>
    <col min="15" max="15" width="8.28515625" customWidth="1"/>
    <col min="16" max="16" width="1.5703125" customWidth="1"/>
    <col min="17" max="17" width="8.28515625" customWidth="1"/>
    <col min="18" max="18" width="1.5703125" customWidth="1"/>
    <col min="19" max="19" width="8.28515625" customWidth="1"/>
    <col min="20" max="20" width="3.7109375" customWidth="1"/>
    <col min="21" max="21" width="8.28515625" customWidth="1"/>
    <col min="22" max="22" width="1.5703125" customWidth="1"/>
    <col min="23" max="23" width="8.28515625" customWidth="1"/>
    <col min="24" max="24" width="1.5703125" customWidth="1"/>
    <col min="25" max="25" width="8.28515625" customWidth="1"/>
    <col min="26" max="26" width="3.7109375" customWidth="1"/>
    <col min="27" max="27" width="8.28515625" customWidth="1"/>
    <col min="28" max="28" width="1.5703125" customWidth="1"/>
    <col min="29" max="29" width="8.28515625" customWidth="1"/>
    <col min="30" max="30" width="1.5703125" customWidth="1"/>
    <col min="31" max="31" width="8.28515625" customWidth="1"/>
    <col min="32" max="32" width="3.7109375" customWidth="1"/>
    <col min="33" max="33" width="8.28515625" customWidth="1"/>
    <col min="34" max="34" width="1.5703125" customWidth="1"/>
    <col min="35" max="35" width="8.28515625" customWidth="1"/>
    <col min="36" max="36" width="1.5703125" customWidth="1"/>
    <col min="37" max="37" width="8.28515625" customWidth="1"/>
    <col min="38" max="38" width="3.7109375" customWidth="1"/>
    <col min="39" max="39" width="8.28515625" customWidth="1"/>
    <col min="40" max="40" width="1.5703125" customWidth="1"/>
    <col min="41" max="41" width="8.28515625" customWidth="1"/>
    <col min="42" max="42" width="1.5703125" customWidth="1"/>
    <col min="43" max="43" width="8.28515625" customWidth="1"/>
    <col min="44" max="44" width="3.7109375" customWidth="1"/>
    <col min="45" max="45" width="8.28515625" customWidth="1"/>
    <col min="46" max="46" width="1.5703125" customWidth="1"/>
    <col min="47" max="47" width="8.28515625" customWidth="1"/>
    <col min="48" max="48" width="1.5703125" customWidth="1"/>
    <col min="49" max="49" width="8.28515625" customWidth="1"/>
    <col min="50" max="50" width="3.7109375" customWidth="1"/>
    <col min="51" max="51" width="8.28515625" customWidth="1"/>
    <col min="52" max="52" width="1.5703125" customWidth="1"/>
    <col min="53" max="53" width="8.28515625" customWidth="1"/>
    <col min="54" max="54" width="1.5703125" customWidth="1"/>
    <col min="55" max="55" width="8.28515625" customWidth="1"/>
    <col min="56" max="56" width="3.7109375" customWidth="1"/>
    <col min="57" max="57" width="8.28515625" customWidth="1"/>
    <col min="58" max="58" width="1.5703125" customWidth="1"/>
    <col min="59" max="59" width="8.28515625" customWidth="1"/>
    <col min="60" max="60" width="1.5703125" customWidth="1"/>
    <col min="61" max="61" width="8.28515625" customWidth="1"/>
    <col min="62" max="62" width="3.7109375" customWidth="1"/>
    <col min="63" max="63" width="8.28515625" customWidth="1"/>
    <col min="64" max="64" width="1.5703125" customWidth="1"/>
    <col min="65" max="65" width="8.28515625" customWidth="1"/>
    <col min="66" max="66" width="1.5703125" customWidth="1"/>
    <col min="67" max="67" width="8.28515625" customWidth="1"/>
    <col min="68" max="68" width="3.7109375" customWidth="1"/>
    <col min="69" max="69" width="8.28515625" customWidth="1"/>
    <col min="70" max="70" width="1.5703125" customWidth="1"/>
    <col min="71" max="71" width="8.28515625" customWidth="1"/>
    <col min="72" max="72" width="1.5703125" customWidth="1"/>
    <col min="73" max="73" width="8.28515625" customWidth="1"/>
    <col min="74" max="74" width="3.7109375" customWidth="1"/>
    <col min="75" max="75" width="8.7109375" customWidth="1"/>
    <col min="76" max="76" width="1.7109375" customWidth="1"/>
    <col min="77" max="77" width="8.7109375" customWidth="1"/>
    <col min="78" max="78" width="1.7109375" customWidth="1"/>
    <col min="79" max="79" width="8.7109375" customWidth="1"/>
    <col min="80" max="80" width="3.7109375" customWidth="1"/>
    <col min="81" max="81" width="8.7109375" customWidth="1"/>
    <col min="82" max="82" width="1.7109375" customWidth="1"/>
    <col min="83" max="83" width="8.7109375" customWidth="1"/>
    <col min="84" max="84" width="1.7109375" customWidth="1"/>
    <col min="85" max="85" width="8.7109375" customWidth="1"/>
    <col min="88" max="89" width="9.140625" hidden="1" customWidth="1" outlineLevel="1"/>
    <col min="90" max="90" width="9.140625" collapsed="1"/>
  </cols>
  <sheetData>
    <row r="1" spans="1:89" ht="21" x14ac:dyDescent="0.35">
      <c r="A1" s="98" t="s">
        <v>588</v>
      </c>
      <c r="B1" s="98"/>
    </row>
    <row r="3" spans="1:89" ht="21" x14ac:dyDescent="0.45">
      <c r="C3" s="153" t="s">
        <v>508</v>
      </c>
      <c r="D3" s="153"/>
      <c r="E3" s="153"/>
      <c r="F3" s="153"/>
      <c r="G3" s="153"/>
      <c r="I3" s="153" t="s">
        <v>509</v>
      </c>
      <c r="J3" s="153"/>
      <c r="K3" s="153"/>
      <c r="L3" s="153"/>
      <c r="M3" s="153"/>
      <c r="O3" s="153" t="s">
        <v>510</v>
      </c>
      <c r="P3" s="153"/>
      <c r="Q3" s="153"/>
      <c r="R3" s="153"/>
      <c r="S3" s="153"/>
      <c r="U3" s="153" t="s">
        <v>201</v>
      </c>
      <c r="V3" s="153"/>
      <c r="W3" s="153"/>
      <c r="X3" s="153"/>
      <c r="Y3" s="153"/>
      <c r="AA3" s="153" t="s">
        <v>200</v>
      </c>
      <c r="AB3" s="153"/>
      <c r="AC3" s="153"/>
      <c r="AD3" s="153"/>
      <c r="AE3" s="153"/>
      <c r="AG3" s="153" t="s">
        <v>232</v>
      </c>
      <c r="AH3" s="153"/>
      <c r="AI3" s="153"/>
      <c r="AJ3" s="153"/>
      <c r="AK3" s="153"/>
      <c r="AM3" s="153" t="s">
        <v>233</v>
      </c>
      <c r="AN3" s="153"/>
      <c r="AO3" s="153"/>
      <c r="AP3" s="153"/>
      <c r="AQ3" s="153"/>
      <c r="AS3" s="153" t="s">
        <v>234</v>
      </c>
      <c r="AT3" s="153"/>
      <c r="AU3" s="153"/>
      <c r="AV3" s="153"/>
      <c r="AW3" s="153"/>
      <c r="AY3" s="153" t="s">
        <v>235</v>
      </c>
      <c r="AZ3" s="153"/>
      <c r="BA3" s="153"/>
      <c r="BB3" s="153"/>
      <c r="BC3" s="153"/>
      <c r="BE3" s="153" t="s">
        <v>236</v>
      </c>
      <c r="BF3" s="153"/>
      <c r="BG3" s="153"/>
      <c r="BH3" s="153"/>
      <c r="BI3" s="153"/>
      <c r="BK3" s="153" t="s">
        <v>237</v>
      </c>
      <c r="BL3" s="153"/>
      <c r="BM3" s="153"/>
      <c r="BN3" s="153"/>
      <c r="BO3" s="153"/>
      <c r="BQ3" s="153" t="s">
        <v>238</v>
      </c>
      <c r="BR3" s="153"/>
      <c r="BS3" s="153"/>
      <c r="BT3" s="153"/>
      <c r="BU3" s="153"/>
      <c r="BW3" s="153" t="str">
        <f>CHOOSE($CK$7,"YTD:  Jan","YTD:  Feb","YTD:  Mar","YTD:  Apr","YTD:  May","YTD:  Jun","YTD:  Jul","YTD:  Aug","YTD:  Sep","YTD:  Oct","YTD:  Nov","YTD:  Dec")</f>
        <v>YTD:  Nov</v>
      </c>
      <c r="BX3" s="153"/>
      <c r="BY3" s="153"/>
      <c r="BZ3" s="153"/>
      <c r="CA3" s="153"/>
      <c r="CC3" s="153" t="s">
        <v>511</v>
      </c>
      <c r="CD3" s="153"/>
      <c r="CE3" s="153"/>
      <c r="CF3" s="153"/>
      <c r="CG3" s="153"/>
    </row>
    <row r="4" spans="1:89" ht="6.75" customHeight="1" x14ac:dyDescent="0.25"/>
    <row r="5" spans="1:89" x14ac:dyDescent="0.25">
      <c r="C5" s="1"/>
      <c r="D5" s="1"/>
      <c r="E5" s="1" t="s">
        <v>2</v>
      </c>
      <c r="F5" s="1"/>
      <c r="G5" s="1"/>
      <c r="H5" s="1"/>
      <c r="I5" s="1"/>
      <c r="J5" s="1"/>
      <c r="K5" s="1" t="s">
        <v>2</v>
      </c>
      <c r="L5" s="1"/>
      <c r="M5" s="1"/>
      <c r="N5" s="1"/>
      <c r="O5" s="1"/>
      <c r="P5" s="1"/>
      <c r="Q5" s="1" t="s">
        <v>2</v>
      </c>
      <c r="R5" s="1"/>
      <c r="S5" s="1"/>
      <c r="T5" s="1"/>
      <c r="U5" s="1"/>
      <c r="V5" s="1"/>
      <c r="W5" s="1" t="s">
        <v>2</v>
      </c>
      <c r="X5" s="1"/>
      <c r="Y5" s="1"/>
      <c r="Z5" s="1"/>
      <c r="AA5" s="1"/>
      <c r="AB5" s="1"/>
      <c r="AC5" s="1" t="s">
        <v>2</v>
      </c>
      <c r="AD5" s="1"/>
      <c r="AE5" s="1"/>
      <c r="AF5" s="1"/>
      <c r="AG5" s="1"/>
      <c r="AH5" s="1"/>
      <c r="AI5" s="1" t="s">
        <v>2</v>
      </c>
      <c r="AJ5" s="1"/>
      <c r="AK5" s="1"/>
      <c r="AL5" s="1"/>
      <c r="AM5" s="1"/>
      <c r="AN5" s="1"/>
      <c r="AO5" s="1" t="s">
        <v>2</v>
      </c>
      <c r="AP5" s="1"/>
      <c r="AQ5" s="1"/>
      <c r="AR5" s="1"/>
      <c r="AS5" s="1"/>
      <c r="AT5" s="1"/>
      <c r="AU5" s="1" t="s">
        <v>2</v>
      </c>
      <c r="AV5" s="1"/>
      <c r="AW5" s="1"/>
      <c r="AX5" s="1"/>
      <c r="AY5" s="1"/>
      <c r="AZ5" s="1"/>
      <c r="BA5" s="1" t="s">
        <v>2</v>
      </c>
      <c r="BB5" s="1"/>
      <c r="BC5" s="1"/>
      <c r="BD5" s="1"/>
      <c r="BE5" s="1"/>
      <c r="BF5" s="1"/>
      <c r="BG5" s="1" t="s">
        <v>2</v>
      </c>
      <c r="BH5" s="1"/>
      <c r="BI5" s="1"/>
      <c r="BJ5" s="1"/>
      <c r="BK5" s="1"/>
      <c r="BL5" s="1"/>
      <c r="BM5" s="1" t="s">
        <v>2</v>
      </c>
      <c r="BN5" s="1"/>
      <c r="BO5" s="1"/>
      <c r="BP5" s="1"/>
      <c r="BQ5" s="1"/>
      <c r="BR5" s="1"/>
      <c r="BS5" s="1" t="s">
        <v>2</v>
      </c>
      <c r="BT5" s="1"/>
      <c r="BU5" s="1"/>
      <c r="BV5" s="1"/>
      <c r="BW5" s="1"/>
      <c r="BX5" s="1"/>
      <c r="BY5" s="1" t="s">
        <v>2</v>
      </c>
      <c r="BZ5" s="1"/>
      <c r="CA5" s="1"/>
      <c r="CB5" s="1"/>
      <c r="CC5" s="1"/>
      <c r="CD5" s="1"/>
      <c r="CE5" s="1" t="s">
        <v>2</v>
      </c>
      <c r="CF5" s="1"/>
      <c r="CG5" s="1"/>
    </row>
    <row r="6" spans="1:89" ht="17.25" x14ac:dyDescent="0.4">
      <c r="C6" s="2" t="s">
        <v>3</v>
      </c>
      <c r="D6" s="1"/>
      <c r="E6" s="2" t="s">
        <v>4</v>
      </c>
      <c r="F6" s="1"/>
      <c r="G6" s="2" t="s">
        <v>132</v>
      </c>
      <c r="H6" s="1"/>
      <c r="I6" s="2" t="s">
        <v>3</v>
      </c>
      <c r="J6" s="1"/>
      <c r="K6" s="2" t="s">
        <v>4</v>
      </c>
      <c r="L6" s="1"/>
      <c r="M6" s="2" t="s">
        <v>132</v>
      </c>
      <c r="N6" s="1"/>
      <c r="O6" s="2" t="s">
        <v>3</v>
      </c>
      <c r="P6" s="1"/>
      <c r="Q6" s="2" t="s">
        <v>4</v>
      </c>
      <c r="R6" s="1"/>
      <c r="S6" s="2" t="s">
        <v>132</v>
      </c>
      <c r="T6" s="1"/>
      <c r="U6" s="2" t="s">
        <v>3</v>
      </c>
      <c r="V6" s="1"/>
      <c r="W6" s="2" t="s">
        <v>4</v>
      </c>
      <c r="X6" s="1"/>
      <c r="Y6" s="2" t="s">
        <v>132</v>
      </c>
      <c r="Z6" s="1"/>
      <c r="AA6" s="2" t="s">
        <v>3</v>
      </c>
      <c r="AB6" s="1"/>
      <c r="AC6" s="2" t="s">
        <v>4</v>
      </c>
      <c r="AD6" s="1"/>
      <c r="AE6" s="2" t="s">
        <v>132</v>
      </c>
      <c r="AF6" s="1"/>
      <c r="AG6" s="2" t="s">
        <v>3</v>
      </c>
      <c r="AH6" s="1"/>
      <c r="AI6" s="2" t="s">
        <v>4</v>
      </c>
      <c r="AJ6" s="1"/>
      <c r="AK6" s="2" t="s">
        <v>132</v>
      </c>
      <c r="AL6" s="1"/>
      <c r="AM6" s="2" t="s">
        <v>3</v>
      </c>
      <c r="AN6" s="1"/>
      <c r="AO6" s="2" t="s">
        <v>4</v>
      </c>
      <c r="AP6" s="1"/>
      <c r="AQ6" s="2" t="s">
        <v>132</v>
      </c>
      <c r="AR6" s="1"/>
      <c r="AS6" s="2" t="s">
        <v>3</v>
      </c>
      <c r="AT6" s="1"/>
      <c r="AU6" s="2" t="s">
        <v>4</v>
      </c>
      <c r="AV6" s="1"/>
      <c r="AW6" s="2" t="s">
        <v>132</v>
      </c>
      <c r="AX6" s="1"/>
      <c r="AY6" s="2" t="s">
        <v>3</v>
      </c>
      <c r="AZ6" s="1"/>
      <c r="BA6" s="2" t="s">
        <v>4</v>
      </c>
      <c r="BB6" s="1"/>
      <c r="BC6" s="2" t="s">
        <v>132</v>
      </c>
      <c r="BD6" s="1"/>
      <c r="BE6" s="2" t="s">
        <v>3</v>
      </c>
      <c r="BF6" s="1"/>
      <c r="BG6" s="2" t="s">
        <v>4</v>
      </c>
      <c r="BH6" s="1"/>
      <c r="BI6" s="2" t="s">
        <v>132</v>
      </c>
      <c r="BJ6" s="1"/>
      <c r="BK6" s="2" t="s">
        <v>3</v>
      </c>
      <c r="BL6" s="1"/>
      <c r="BM6" s="2" t="s">
        <v>4</v>
      </c>
      <c r="BN6" s="1"/>
      <c r="BO6" s="2" t="s">
        <v>132</v>
      </c>
      <c r="BP6" s="1"/>
      <c r="BQ6" s="2" t="s">
        <v>3</v>
      </c>
      <c r="BR6" s="1"/>
      <c r="BS6" s="2" t="s">
        <v>4</v>
      </c>
      <c r="BT6" s="1"/>
      <c r="BU6" s="2" t="s">
        <v>132</v>
      </c>
      <c r="BV6" s="1"/>
      <c r="BW6" s="2" t="s">
        <v>3</v>
      </c>
      <c r="BX6" s="1"/>
      <c r="BY6" s="2" t="s">
        <v>4</v>
      </c>
      <c r="BZ6" s="1"/>
      <c r="CA6" s="2" t="s">
        <v>132</v>
      </c>
      <c r="CB6" s="1"/>
      <c r="CC6" s="2" t="s">
        <v>3</v>
      </c>
      <c r="CD6" s="1"/>
      <c r="CE6" s="2" t="s">
        <v>4</v>
      </c>
      <c r="CF6" s="1"/>
      <c r="CG6" s="2" t="s">
        <v>132</v>
      </c>
    </row>
    <row r="7" spans="1:89" ht="15.75" x14ac:dyDescent="0.25">
      <c r="A7" s="59" t="s">
        <v>5</v>
      </c>
      <c r="CJ7" t="s">
        <v>607</v>
      </c>
      <c r="CK7">
        <v>11</v>
      </c>
    </row>
    <row r="8" spans="1:89" x14ac:dyDescent="0.25">
      <c r="B8" t="s">
        <v>6</v>
      </c>
      <c r="C8" s="47">
        <f>3485.05+3485.06</f>
        <v>6970.1100000000006</v>
      </c>
      <c r="D8" s="47"/>
      <c r="E8" s="47">
        <f>C8</f>
        <v>6970.1100000000006</v>
      </c>
      <c r="F8" s="47"/>
      <c r="G8" s="47">
        <f>E8-C8</f>
        <v>0</v>
      </c>
      <c r="H8" s="47"/>
      <c r="I8" s="47">
        <f>3485.05+3485.06</f>
        <v>6970.1100000000006</v>
      </c>
      <c r="J8" s="47"/>
      <c r="K8" s="47">
        <f>I8</f>
        <v>6970.1100000000006</v>
      </c>
      <c r="L8" s="47"/>
      <c r="M8" s="47">
        <f>K8-I8</f>
        <v>0</v>
      </c>
      <c r="N8" s="47"/>
      <c r="O8" s="47">
        <f>3485.05+3485.06</f>
        <v>6970.1100000000006</v>
      </c>
      <c r="P8" s="47"/>
      <c r="Q8" s="47">
        <f>O8</f>
        <v>6970.1100000000006</v>
      </c>
      <c r="R8" s="47"/>
      <c r="S8" s="47">
        <f>Q8-O8</f>
        <v>0</v>
      </c>
      <c r="T8" s="47"/>
      <c r="U8" s="47">
        <f>3485.05+3485.06</f>
        <v>6970.1100000000006</v>
      </c>
      <c r="V8" s="47"/>
      <c r="W8" s="47">
        <f>U8</f>
        <v>6970.1100000000006</v>
      </c>
      <c r="X8" s="47"/>
      <c r="Y8" s="47">
        <f>W8-U8</f>
        <v>0</v>
      </c>
      <c r="Z8" s="47"/>
      <c r="AA8" s="47">
        <f>3485.06*3</f>
        <v>10455.18</v>
      </c>
      <c r="AB8" s="47"/>
      <c r="AC8" s="47">
        <f>AA8</f>
        <v>10455.18</v>
      </c>
      <c r="AD8" s="47"/>
      <c r="AE8" s="47">
        <f>AC8-AA8</f>
        <v>0</v>
      </c>
      <c r="AF8" s="47"/>
      <c r="AG8" s="47">
        <f>3493.85*2</f>
        <v>6987.7</v>
      </c>
      <c r="AH8" s="47"/>
      <c r="AI8" s="47">
        <f>3493.85*2</f>
        <v>6987.7</v>
      </c>
      <c r="AJ8" s="47"/>
      <c r="AK8" s="47">
        <f>AI8-AG8</f>
        <v>0</v>
      </c>
      <c r="AL8" s="47"/>
      <c r="AM8" s="47">
        <f>3493.85*2</f>
        <v>6987.7</v>
      </c>
      <c r="AN8" s="47"/>
      <c r="AO8" s="47">
        <f>3493.85*2</f>
        <v>6987.7</v>
      </c>
      <c r="AP8" s="47"/>
      <c r="AQ8" s="47">
        <f>AO8-AM8</f>
        <v>0</v>
      </c>
      <c r="AR8" s="47"/>
      <c r="AS8" s="47">
        <f>3493.85*2</f>
        <v>6987.7</v>
      </c>
      <c r="AT8" s="47"/>
      <c r="AU8" s="47">
        <f>3493.85*2</f>
        <v>6987.7</v>
      </c>
      <c r="AV8" s="47"/>
      <c r="AW8" s="47">
        <f>AU8-AS8</f>
        <v>0</v>
      </c>
      <c r="AX8" s="47"/>
      <c r="AY8" s="47">
        <f>3493.85*2</f>
        <v>6987.7</v>
      </c>
      <c r="AZ8" s="47"/>
      <c r="BA8" s="47">
        <f>3493.85*2</f>
        <v>6987.7</v>
      </c>
      <c r="BB8" s="47"/>
      <c r="BC8" s="47">
        <f>BA8-AY8</f>
        <v>0</v>
      </c>
      <c r="BD8" s="47"/>
      <c r="BE8" s="47">
        <f>3493.85*2</f>
        <v>6987.7</v>
      </c>
      <c r="BF8" s="47"/>
      <c r="BG8" s="47">
        <f>3493.85*2</f>
        <v>6987.7</v>
      </c>
      <c r="BH8" s="47"/>
      <c r="BI8" s="47">
        <f>BG8-BE8</f>
        <v>0</v>
      </c>
      <c r="BJ8" s="47"/>
      <c r="BK8" s="50">
        <f>3493.85*3</f>
        <v>10481.549999999999</v>
      </c>
      <c r="BL8" s="47"/>
      <c r="BM8" s="47">
        <f>3493.85*3</f>
        <v>10481.549999999999</v>
      </c>
      <c r="BN8" s="47"/>
      <c r="BO8" s="47">
        <f>BM8-BK8</f>
        <v>0</v>
      </c>
      <c r="BP8" s="47"/>
      <c r="BQ8" s="47">
        <f>3493.85*2</f>
        <v>6987.7</v>
      </c>
      <c r="BR8" s="47"/>
      <c r="BS8" s="47">
        <f>3493.85*2</f>
        <v>6987.7</v>
      </c>
      <c r="BT8" s="47"/>
      <c r="BU8" s="47">
        <f>BS8-BQ8</f>
        <v>0</v>
      </c>
      <c r="BV8" s="47"/>
      <c r="BW8" s="47">
        <f>CHOOSE($CK$7,C8,(C8+I8),(C8+I8+O8),(C8+I8+O8+U8),(C8+I8+O8+U8+AA8),(C8+I8+O8+U8++AG8),(C8+I8+O8+U8+AA8+AG8+AM8),(C8+I8+O8+U8+AA8+AG8+AM8+AS8),(C8+I8+O8+U8+AA8+AG8+AM8+AS8+AY8),(C8+I8+O8+U8+AA8+AG8+AM8+AS8+AY8+BE8),(C8+I8+O8+U8+AA8+AG8+AM8+AS8+AY8+BE8+BK8),(C8+I8+O8+U8+AA8+AG8+AM8+AS8+AY8+BE8+BK8+BQ8))</f>
        <v>83755.67</v>
      </c>
      <c r="BX8" s="47"/>
      <c r="BY8" s="47">
        <f>CHOOSE($CK$7,E8,(E8+K8),(E8+K8+Q8),(E8+K8+Q8+W8),(E8+K8+Q8+W8+AC8),(E8+K8+Q8+W8++AI8),(E8+K8+Q8+W8+AC8+AI8+AO8),(E8+K8+Q8+W8+AC8+AI8+AO8+AU8),(E8+K8+Q8+W8+AC8+AI8+AO8+AU8+BA8),(E8+K8+Q8+W8+AC8+AI8+AO8+AU8+BA8+BG8),(E8+K8+Q8+W8+AC8+AI8+AO8+AU8+BA8+BG8+BM8),(E8+K8+Q8+W8+AC8+AI8+AO8+AU8+BA8+BG8+BM8+BS8))</f>
        <v>83755.67</v>
      </c>
      <c r="BZ8" s="47"/>
      <c r="CA8" s="47">
        <f>BY8-BW8</f>
        <v>0</v>
      </c>
      <c r="CB8" s="47"/>
      <c r="CC8" s="47">
        <f>C8+I8+O8+U8+AA8+AG8+AM8+AS8+AY8+BE8+BK8+BQ8</f>
        <v>90743.37</v>
      </c>
      <c r="CD8" s="47"/>
      <c r="CE8" s="47">
        <f>E8+K8+Q8+W8+AC8+AI8+AO8+AU8+BA8+BG8+BM8+BS8</f>
        <v>90743.37</v>
      </c>
      <c r="CF8" s="47"/>
      <c r="CG8" s="47">
        <f>CE8-CC8</f>
        <v>0</v>
      </c>
      <c r="CJ8" t="s">
        <v>509</v>
      </c>
    </row>
    <row r="9" spans="1:89" x14ac:dyDescent="0.25">
      <c r="B9" t="s">
        <v>7</v>
      </c>
      <c r="C9" s="47">
        <v>1250</v>
      </c>
      <c r="D9" s="47"/>
      <c r="E9" s="47">
        <v>1250</v>
      </c>
      <c r="F9" s="47"/>
      <c r="G9" s="47">
        <f t="shared" ref="G9:G10" si="0">E9-C9</f>
        <v>0</v>
      </c>
      <c r="H9" s="47"/>
      <c r="I9" s="47">
        <v>1250</v>
      </c>
      <c r="J9" s="47"/>
      <c r="K9" s="47">
        <v>1250</v>
      </c>
      <c r="L9" s="47"/>
      <c r="M9" s="47">
        <f t="shared" ref="M9:M10" si="1">K9-I9</f>
        <v>0</v>
      </c>
      <c r="N9" s="47"/>
      <c r="O9" s="47">
        <v>1250</v>
      </c>
      <c r="P9" s="47"/>
      <c r="Q9" s="47">
        <v>1250</v>
      </c>
      <c r="R9" s="47"/>
      <c r="S9" s="47">
        <f t="shared" ref="S9:S10" si="2">Q9-O9</f>
        <v>0</v>
      </c>
      <c r="T9" s="47"/>
      <c r="U9" s="47">
        <v>1250</v>
      </c>
      <c r="V9" s="47"/>
      <c r="W9" s="146">
        <v>1250</v>
      </c>
      <c r="X9" s="47"/>
      <c r="Y9" s="47">
        <f t="shared" ref="Y9:Y10" si="3">W9-U9</f>
        <v>0</v>
      </c>
      <c r="Z9" s="47"/>
      <c r="AA9" s="47">
        <v>1250</v>
      </c>
      <c r="AB9" s="47"/>
      <c r="AC9" s="146">
        <v>1250</v>
      </c>
      <c r="AD9" s="47"/>
      <c r="AE9" s="47">
        <f t="shared" ref="AE9:AE10" si="4">AC9-AA9</f>
        <v>0</v>
      </c>
      <c r="AF9" s="47"/>
      <c r="AG9" s="47">
        <v>1250</v>
      </c>
      <c r="AH9" s="47"/>
      <c r="AI9" s="146">
        <v>1250</v>
      </c>
      <c r="AJ9" s="47"/>
      <c r="AK9" s="47">
        <f t="shared" ref="AK9:AK10" si="5">AI9-AG9</f>
        <v>0</v>
      </c>
      <c r="AL9" s="47"/>
      <c r="AM9" s="47">
        <v>1250</v>
      </c>
      <c r="AN9" s="47"/>
      <c r="AO9" s="146">
        <v>0</v>
      </c>
      <c r="AP9" s="47"/>
      <c r="AQ9" s="47">
        <f t="shared" ref="AQ9:AQ10" si="6">AO9-AM9</f>
        <v>-1250</v>
      </c>
      <c r="AR9" s="47"/>
      <c r="AS9" s="47">
        <v>1250</v>
      </c>
      <c r="AT9" s="47"/>
      <c r="AU9" s="146">
        <v>1250</v>
      </c>
      <c r="AV9" s="47"/>
      <c r="AW9" s="47">
        <f t="shared" ref="AW9:AW10" si="7">AU9-AS9</f>
        <v>0</v>
      </c>
      <c r="AX9" s="47"/>
      <c r="AY9" s="47">
        <v>1250</v>
      </c>
      <c r="AZ9" s="47"/>
      <c r="BA9" s="50">
        <v>1250</v>
      </c>
      <c r="BB9" s="47"/>
      <c r="BC9" s="47">
        <f t="shared" ref="BC9:BC10" si="8">BA9-AY9</f>
        <v>0</v>
      </c>
      <c r="BD9" s="47"/>
      <c r="BE9" s="47">
        <v>1250</v>
      </c>
      <c r="BF9" s="47"/>
      <c r="BG9" s="50">
        <v>1250</v>
      </c>
      <c r="BH9" s="47"/>
      <c r="BI9" s="47">
        <f t="shared" ref="BI9:BI10" si="9">BG9-BE9</f>
        <v>0</v>
      </c>
      <c r="BJ9" s="47"/>
      <c r="BK9" s="47">
        <v>1250</v>
      </c>
      <c r="BL9" s="47"/>
      <c r="BM9" s="50">
        <v>1250</v>
      </c>
      <c r="BN9" s="47"/>
      <c r="BO9" s="47">
        <f t="shared" ref="BO9:BO10" si="10">BM9-BK9</f>
        <v>0</v>
      </c>
      <c r="BP9" s="47"/>
      <c r="BQ9" s="47">
        <v>1250</v>
      </c>
      <c r="BR9" s="47"/>
      <c r="BS9" s="50">
        <v>1250</v>
      </c>
      <c r="BT9" s="47"/>
      <c r="BU9" s="47">
        <f t="shared" ref="BU9:BU10" si="11">BS9-BQ9</f>
        <v>0</v>
      </c>
      <c r="BV9" s="47"/>
      <c r="BW9" s="47">
        <f>CHOOSE($CK$7,C9,(C9+I9),(C9+I9+O9),(C9+I9+O9+U9),(C9+I9+O9+U9+AA9),(C9+I9+O9+U9++AG9),(C9+I9+O9+U9+AA9+AG9+AM9),(C9+I9+O9+U9+AA9+AG9+AM9+AS9),(C9+I9+O9+U9+AA9+AG9+AM9+AS9+AY9),(C9+I9+O9+U9+AA9+AG9+AM9+AS9+AY9+BE9),(C9+I9+O9+U9+AA9+AG9+AM9+AS9+AY9+BE9+BK9),(C9+I9+O9+U9+AA9+AG9+AM9+AS9+AY9+BE9+BK9+BQ9))</f>
        <v>13750</v>
      </c>
      <c r="BX9" s="47"/>
      <c r="BY9" s="47">
        <f>CHOOSE($CK$7,E9,(E9+K9),(E9+K9+Q9),(E9+K9+Q9+W9),(E9+K9+Q9+W9+AC9),(E9+K9+Q9+W9++AI9),(E9+K9+Q9+W9+AC9+AI9+AO9),(E9+K9+Q9+W9+AC9+AI9+AO9+AU9),(E9+K9+Q9+W9+AC9+AI9+AO9+AU9+BA9),(E9+K9+Q9+W9+AC9+AI9+AO9+AU9+BA9+BG9),(E9+K9+Q9+W9+AC9+AI9+AO9+AU9+BA9+BG9+BM9),(E9+K9+Q9+W9+AC9+AI9+AO9+AU9+BA9+BG9+BM9+BS9))</f>
        <v>12500</v>
      </c>
      <c r="BZ9" s="47"/>
      <c r="CA9" s="47">
        <f t="shared" ref="CA9:CA10" si="12">BY9-BW9</f>
        <v>-1250</v>
      </c>
      <c r="CB9" s="47"/>
      <c r="CC9" s="47">
        <f>C9+I9+O9+U9+AA9+AG9+AM9+AS9+AY9+BE9+BK9+BQ9</f>
        <v>15000</v>
      </c>
      <c r="CD9" s="47"/>
      <c r="CE9" s="47">
        <f>E9+K9+Q9+W9+AC9+AI9+AO9+AU9+BA9+BG9+BM9+BS9</f>
        <v>13750</v>
      </c>
      <c r="CF9" s="47"/>
      <c r="CG9" s="47">
        <f t="shared" ref="CG9:CG10" si="13">CE9-CC9</f>
        <v>-1250</v>
      </c>
      <c r="CJ9" t="s">
        <v>510</v>
      </c>
    </row>
    <row r="10" spans="1:89" ht="17.25" x14ac:dyDescent="0.4">
      <c r="B10" t="s">
        <v>8</v>
      </c>
      <c r="C10" s="48">
        <v>299</v>
      </c>
      <c r="D10" s="47"/>
      <c r="E10" s="48">
        <f>299</f>
        <v>299</v>
      </c>
      <c r="F10" s="47"/>
      <c r="G10" s="48">
        <f t="shared" si="0"/>
        <v>0</v>
      </c>
      <c r="H10" s="47"/>
      <c r="I10" s="48">
        <v>299</v>
      </c>
      <c r="J10" s="47"/>
      <c r="K10" s="48">
        <v>299</v>
      </c>
      <c r="L10" s="47"/>
      <c r="M10" s="48">
        <f t="shared" si="1"/>
        <v>0</v>
      </c>
      <c r="N10" s="47"/>
      <c r="O10" s="48">
        <v>299</v>
      </c>
      <c r="P10" s="47"/>
      <c r="Q10" s="48">
        <v>299</v>
      </c>
      <c r="R10" s="47"/>
      <c r="S10" s="48">
        <f t="shared" si="2"/>
        <v>0</v>
      </c>
      <c r="T10" s="47"/>
      <c r="U10" s="48">
        <v>299</v>
      </c>
      <c r="V10" s="47"/>
      <c r="W10" s="48">
        <v>299</v>
      </c>
      <c r="X10" s="47"/>
      <c r="Y10" s="48">
        <f t="shared" si="3"/>
        <v>0</v>
      </c>
      <c r="Z10" s="47"/>
      <c r="AA10" s="48">
        <v>299</v>
      </c>
      <c r="AB10" s="47"/>
      <c r="AC10" s="151">
        <v>299</v>
      </c>
      <c r="AD10" s="47"/>
      <c r="AE10" s="48">
        <f t="shared" si="4"/>
        <v>0</v>
      </c>
      <c r="AF10" s="47"/>
      <c r="AG10" s="48">
        <v>299</v>
      </c>
      <c r="AH10" s="47"/>
      <c r="AI10" s="151">
        <v>299</v>
      </c>
      <c r="AJ10" s="47"/>
      <c r="AK10" s="48">
        <f t="shared" si="5"/>
        <v>0</v>
      </c>
      <c r="AL10" s="47"/>
      <c r="AM10" s="48">
        <v>299</v>
      </c>
      <c r="AN10" s="47"/>
      <c r="AO10" s="151">
        <f>299+175+201.68+57.42+8.11</f>
        <v>741.21</v>
      </c>
      <c r="AP10" s="47"/>
      <c r="AQ10" s="48">
        <f t="shared" si="6"/>
        <v>442.21000000000004</v>
      </c>
      <c r="AR10" s="47"/>
      <c r="AS10" s="48">
        <v>299</v>
      </c>
      <c r="AT10" s="47"/>
      <c r="AU10" s="151">
        <v>299</v>
      </c>
      <c r="AV10" s="47"/>
      <c r="AW10" s="48">
        <f t="shared" si="7"/>
        <v>0</v>
      </c>
      <c r="AX10" s="47"/>
      <c r="AY10" s="48">
        <v>299</v>
      </c>
      <c r="AZ10" s="47"/>
      <c r="BA10" s="54">
        <v>299</v>
      </c>
      <c r="BB10" s="47"/>
      <c r="BC10" s="48">
        <f t="shared" si="8"/>
        <v>0</v>
      </c>
      <c r="BD10" s="47"/>
      <c r="BE10" s="48">
        <v>299</v>
      </c>
      <c r="BF10" s="47"/>
      <c r="BG10" s="54">
        <v>299</v>
      </c>
      <c r="BH10" s="47"/>
      <c r="BI10" s="48">
        <f t="shared" si="9"/>
        <v>0</v>
      </c>
      <c r="BJ10" s="47"/>
      <c r="BK10" s="48">
        <v>299</v>
      </c>
      <c r="BL10" s="47"/>
      <c r="BM10" s="54">
        <v>299</v>
      </c>
      <c r="BN10" s="47"/>
      <c r="BO10" s="48">
        <f t="shared" si="10"/>
        <v>0</v>
      </c>
      <c r="BP10" s="47"/>
      <c r="BQ10" s="48">
        <v>299</v>
      </c>
      <c r="BR10" s="47"/>
      <c r="BS10" s="54">
        <v>299</v>
      </c>
      <c r="BT10" s="47"/>
      <c r="BU10" s="48">
        <f t="shared" si="11"/>
        <v>0</v>
      </c>
      <c r="BV10" s="47"/>
      <c r="BW10" s="48">
        <f>CHOOSE($CK$7,C10,(C10+I10),(C10+I10+O10),(C10+I10+O10+U10),(C10+I10+O10+U10+AA10),(C10+I10+O10+U10++AG10),(C10+I10+O10+U10+AA10+AG10+AM10),(C10+I10+O10+U10+AA10+AG10+AM10+AS10),(C10+I10+O10+U10+AA10+AG10+AM10+AS10+AY10),(C10+I10+O10+U10+AA10+AG10+AM10+AS10+AY10+BE10),(C10+I10+O10+U10+AA10+AG10+AM10+AS10+AY10+BE10+BK10),(C10+I10+O10+U10+AA10+AG10+AM10+AS10+AY10+BE10+BK10+BQ10))</f>
        <v>3289</v>
      </c>
      <c r="BX10" s="47"/>
      <c r="BY10" s="48">
        <f>CHOOSE($CK$7,E10,(E10+K10),(E10+K10+Q10),(E10+K10+Q10+W10),(E10+K10+Q10+W10+AC10),(E10+K10+Q10+W10++AI10),(E10+K10+Q10+W10+AC10+AI10+AO10),(E10+K10+Q10+W10+AC10+AI10+AO10+AU10),(E10+K10+Q10+W10+AC10+AI10+AO10+AU10+BA10),(E10+K10+Q10+W10+AC10+AI10+AO10+AU10+BA10+BG10),(E10+K10+Q10+W10+AC10+AI10+AO10+AU10+BA10+BG10+BM10),(E10+K10+Q10+W10+AC10+AI10+AO10+AU10+BA10+BG10+BM10+BS10))</f>
        <v>3731.21</v>
      </c>
      <c r="BZ10" s="47"/>
      <c r="CA10" s="48">
        <f t="shared" si="12"/>
        <v>442.21000000000004</v>
      </c>
      <c r="CB10" s="47"/>
      <c r="CC10" s="48">
        <f>C10+I10+O10+U10+AA10+AG10+AM10+AS10+AY10+BE10+BK10+BQ10</f>
        <v>3588</v>
      </c>
      <c r="CD10" s="47"/>
      <c r="CE10" s="48">
        <f>E10+K10+Q10+W10+AC10+AI10+AO10+AU10+BA10+BG10+BM10+BS10</f>
        <v>4030.21</v>
      </c>
      <c r="CF10" s="47"/>
      <c r="CG10" s="48">
        <f t="shared" si="13"/>
        <v>442.21000000000004</v>
      </c>
      <c r="CJ10" t="s">
        <v>201</v>
      </c>
    </row>
    <row r="11" spans="1:89" x14ac:dyDescent="0.25">
      <c r="B11" s="4" t="s">
        <v>9</v>
      </c>
      <c r="C11" s="49">
        <f>C8+C9-C10</f>
        <v>7921.1100000000006</v>
      </c>
      <c r="D11" s="49"/>
      <c r="E11" s="49">
        <f>E8+E9-E10</f>
        <v>7921.1100000000006</v>
      </c>
      <c r="F11" s="49"/>
      <c r="G11" s="49">
        <f>SUM(G8:G10)</f>
        <v>0</v>
      </c>
      <c r="H11" s="49"/>
      <c r="I11" s="49">
        <f>I8+I9-I10</f>
        <v>7921.1100000000006</v>
      </c>
      <c r="J11" s="49"/>
      <c r="K11" s="49">
        <f>K8+K9-K10</f>
        <v>7921.1100000000006</v>
      </c>
      <c r="L11" s="49"/>
      <c r="M11" s="49">
        <f>SUM(M8:M10)</f>
        <v>0</v>
      </c>
      <c r="N11" s="49"/>
      <c r="O11" s="49">
        <f>O8+O9-O10</f>
        <v>7921.1100000000006</v>
      </c>
      <c r="P11" s="49"/>
      <c r="Q11" s="49">
        <f>Q8+Q9-Q10</f>
        <v>7921.1100000000006</v>
      </c>
      <c r="R11" s="49"/>
      <c r="S11" s="49">
        <f>SUM(S8:S10)</f>
        <v>0</v>
      </c>
      <c r="T11" s="49"/>
      <c r="U11" s="49">
        <f>U8+U9-U10</f>
        <v>7921.1100000000006</v>
      </c>
      <c r="V11" s="49"/>
      <c r="W11" s="49">
        <f>W8+W9-W10</f>
        <v>7921.1100000000006</v>
      </c>
      <c r="X11" s="49"/>
      <c r="Y11" s="49">
        <f>SUM(Y8:Y10)</f>
        <v>0</v>
      </c>
      <c r="Z11" s="49"/>
      <c r="AA11" s="49">
        <f>AA8+AA9-AA10</f>
        <v>11406.18</v>
      </c>
      <c r="AB11" s="49"/>
      <c r="AC11" s="49">
        <f>AC8+AC9-AC10</f>
        <v>11406.18</v>
      </c>
      <c r="AD11" s="49"/>
      <c r="AE11" s="49">
        <f>SUM(AE8:AE10)</f>
        <v>0</v>
      </c>
      <c r="AF11" s="49"/>
      <c r="AG11" s="49">
        <f>AG8+AG9-AG10</f>
        <v>7938.7000000000007</v>
      </c>
      <c r="AH11" s="49"/>
      <c r="AI11" s="49">
        <f>AI8+AI9-AI10</f>
        <v>7938.7000000000007</v>
      </c>
      <c r="AJ11" s="49"/>
      <c r="AK11" s="49">
        <f>SUM(AK8:AK10)</f>
        <v>0</v>
      </c>
      <c r="AL11" s="49"/>
      <c r="AM11" s="49">
        <f>AM8+AM9-AM10</f>
        <v>7938.7000000000007</v>
      </c>
      <c r="AN11" s="49"/>
      <c r="AO11" s="49">
        <f>AO8+AO9-AO10</f>
        <v>6246.49</v>
      </c>
      <c r="AP11" s="49"/>
      <c r="AQ11" s="49">
        <f>SUM(AQ8:AQ10)</f>
        <v>-807.79</v>
      </c>
      <c r="AR11" s="49"/>
      <c r="AS11" s="49">
        <f>AS8+AS9-AS10</f>
        <v>7938.7000000000007</v>
      </c>
      <c r="AT11" s="49"/>
      <c r="AU11" s="49">
        <f>AU8+AU9-AU10</f>
        <v>7938.7000000000007</v>
      </c>
      <c r="AV11" s="49"/>
      <c r="AW11" s="49">
        <f>SUM(AW8:AW10)</f>
        <v>0</v>
      </c>
      <c r="AX11" s="49"/>
      <c r="AY11" s="49">
        <f>AY8+AY9-AY10</f>
        <v>7938.7000000000007</v>
      </c>
      <c r="AZ11" s="49"/>
      <c r="BA11" s="49">
        <f>BA8+BA9-BA10</f>
        <v>7938.7000000000007</v>
      </c>
      <c r="BB11" s="49"/>
      <c r="BC11" s="49">
        <f>SUM(BC8:BC10)</f>
        <v>0</v>
      </c>
      <c r="BD11" s="49"/>
      <c r="BE11" s="49">
        <f>BE8+BE9-BE10</f>
        <v>7938.7000000000007</v>
      </c>
      <c r="BF11" s="49"/>
      <c r="BG11" s="49">
        <f>BG8+BG9-BG10</f>
        <v>7938.7000000000007</v>
      </c>
      <c r="BH11" s="49"/>
      <c r="BI11" s="49">
        <f>SUM(BI8:BI10)</f>
        <v>0</v>
      </c>
      <c r="BJ11" s="49"/>
      <c r="BK11" s="49">
        <f>BK8+BK9-BK10</f>
        <v>11432.55</v>
      </c>
      <c r="BL11" s="49"/>
      <c r="BM11" s="49">
        <f>BM8+BM9-BM10</f>
        <v>11432.55</v>
      </c>
      <c r="BN11" s="49"/>
      <c r="BO11" s="49">
        <f>SUM(BO8:BO10)</f>
        <v>0</v>
      </c>
      <c r="BP11" s="49"/>
      <c r="BQ11" s="49">
        <f>BQ8+BQ9-BQ10</f>
        <v>7938.7000000000007</v>
      </c>
      <c r="BR11" s="49"/>
      <c r="BS11" s="49">
        <f>BS8+BS9-BS10</f>
        <v>7938.7000000000007</v>
      </c>
      <c r="BT11" s="49"/>
      <c r="BU11" s="49">
        <f>SUM(BU8:BU10)</f>
        <v>0</v>
      </c>
      <c r="BV11" s="49"/>
      <c r="BW11" s="49">
        <f>BW8+BW9-BW10</f>
        <v>94216.67</v>
      </c>
      <c r="BX11" s="49"/>
      <c r="BY11" s="49">
        <f>BY8+BY9-BY10</f>
        <v>92524.459999999992</v>
      </c>
      <c r="BZ11" s="49"/>
      <c r="CA11" s="49">
        <f>SUM(CA8:CA10)</f>
        <v>-807.79</v>
      </c>
      <c r="CB11" s="49"/>
      <c r="CC11" s="49">
        <f>CC8+CC9-CC10</f>
        <v>102155.37</v>
      </c>
      <c r="CD11" s="49"/>
      <c r="CE11" s="49">
        <f>CE8+CE9-CE10</f>
        <v>100463.15999999999</v>
      </c>
      <c r="CF11" s="49"/>
      <c r="CG11" s="49">
        <f>SUM(CG8:CG10)</f>
        <v>-807.79</v>
      </c>
      <c r="CJ11" t="s">
        <v>200</v>
      </c>
    </row>
    <row r="12" spans="1:89" x14ac:dyDescent="0.25"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J12" t="s">
        <v>232</v>
      </c>
    </row>
    <row r="13" spans="1:89" ht="15.75" x14ac:dyDescent="0.25">
      <c r="A13" s="59" t="s">
        <v>10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J13" t="s">
        <v>233</v>
      </c>
    </row>
    <row r="14" spans="1:89" x14ac:dyDescent="0.25">
      <c r="B14" s="55" t="s">
        <v>11</v>
      </c>
      <c r="C14" s="56">
        <v>828.15</v>
      </c>
      <c r="D14" s="56"/>
      <c r="E14" s="56">
        <v>828.15</v>
      </c>
      <c r="F14" s="56"/>
      <c r="G14" s="56">
        <f t="shared" ref="G14:G40" si="14">E14-C14</f>
        <v>0</v>
      </c>
      <c r="H14" s="47"/>
      <c r="I14" s="56">
        <v>828.15</v>
      </c>
      <c r="J14" s="56"/>
      <c r="K14" s="56">
        <v>828.15</v>
      </c>
      <c r="L14" s="56"/>
      <c r="M14" s="56">
        <f t="shared" ref="M14:M40" si="15">K14-I14</f>
        <v>0</v>
      </c>
      <c r="N14" s="47"/>
      <c r="O14" s="56">
        <v>832.24</v>
      </c>
      <c r="P14" s="56"/>
      <c r="Q14" s="56">
        <f t="array" ref="Q14">SUM(IF(data_2019!$B$5:$B$943="Mar",IF(data_2019!$F$5:$F$943=$B14,data_2019!$E$5:$E$943)))</f>
        <v>832.24</v>
      </c>
      <c r="R14" s="56"/>
      <c r="S14" s="56">
        <f t="shared" ref="S14:S40" si="16">Q14-O14</f>
        <v>0</v>
      </c>
      <c r="T14" s="47"/>
      <c r="U14" s="56">
        <v>832.24</v>
      </c>
      <c r="V14" s="56"/>
      <c r="W14" s="56">
        <f t="array" ref="W14">SUM(IF(data_2019!$B$5:$B$943="Apr",IF(data_2019!$F$5:$F$943=$B14,data_2019!$E$5:$E$943)))</f>
        <v>832.24</v>
      </c>
      <c r="X14" s="56"/>
      <c r="Y14" s="56">
        <f t="shared" ref="Y14:Y40" si="17">W14-U14</f>
        <v>0</v>
      </c>
      <c r="Z14" s="47"/>
      <c r="AA14" s="56">
        <v>832.24</v>
      </c>
      <c r="AB14" s="56"/>
      <c r="AC14" s="56">
        <f t="array" ref="AC14">SUM(IF(data_2019!$B$5:$B$943="May",IF(data_2019!$F$5:$F$943=$B14,data_2019!$E$5:$E$943)))</f>
        <v>832.24</v>
      </c>
      <c r="AD14" s="56"/>
      <c r="AE14" s="56">
        <f t="shared" ref="AE14:AE40" si="18">AC14-AA14</f>
        <v>0</v>
      </c>
      <c r="AF14" s="47"/>
      <c r="AG14" s="56">
        <v>832.24</v>
      </c>
      <c r="AH14" s="56"/>
      <c r="AI14" s="147">
        <v>832.24</v>
      </c>
      <c r="AJ14" s="56"/>
      <c r="AK14" s="56">
        <f t="shared" ref="AK14:AK40" si="19">AI14-AG14</f>
        <v>0</v>
      </c>
      <c r="AL14" s="47"/>
      <c r="AM14" s="56">
        <v>832.24</v>
      </c>
      <c r="AN14" s="56"/>
      <c r="AO14" s="147">
        <v>832.24</v>
      </c>
      <c r="AP14" s="56"/>
      <c r="AQ14" s="56">
        <f t="shared" ref="AQ14:AQ40" si="20">AO14-AM14</f>
        <v>0</v>
      </c>
      <c r="AR14" s="47"/>
      <c r="AS14" s="56">
        <v>832.24</v>
      </c>
      <c r="AT14" s="56"/>
      <c r="AU14" s="147">
        <v>832.24</v>
      </c>
      <c r="AV14" s="56"/>
      <c r="AW14" s="56">
        <f t="shared" ref="AW14:AW40" si="21">AU14-AS14</f>
        <v>0</v>
      </c>
      <c r="AX14" s="47"/>
      <c r="AY14" s="56">
        <v>832.24</v>
      </c>
      <c r="AZ14" s="56"/>
      <c r="BA14" s="57">
        <v>832.24</v>
      </c>
      <c r="BB14" s="56"/>
      <c r="BC14" s="56">
        <f t="shared" ref="BC14:BC40" si="22">BA14-AY14</f>
        <v>0</v>
      </c>
      <c r="BD14" s="47"/>
      <c r="BE14" s="56">
        <v>832.24</v>
      </c>
      <c r="BF14" s="56"/>
      <c r="BG14" s="57">
        <v>832.24</v>
      </c>
      <c r="BH14" s="56"/>
      <c r="BI14" s="56">
        <f t="shared" ref="BI14:BI40" si="23">BG14-BE14</f>
        <v>0</v>
      </c>
      <c r="BJ14" s="47"/>
      <c r="BK14" s="56">
        <v>832.24</v>
      </c>
      <c r="BL14" s="56"/>
      <c r="BM14" s="57">
        <v>832.24</v>
      </c>
      <c r="BN14" s="56"/>
      <c r="BO14" s="56">
        <f t="shared" ref="BO14:BO40" si="24">BM14-BK14</f>
        <v>0</v>
      </c>
      <c r="BP14" s="47"/>
      <c r="BQ14" s="56">
        <v>832.24</v>
      </c>
      <c r="BR14" s="56"/>
      <c r="BS14" s="57">
        <v>832.24</v>
      </c>
      <c r="BT14" s="56"/>
      <c r="BU14" s="56">
        <f t="shared" ref="BU14:BU40" si="25">BS14-BQ14</f>
        <v>0</v>
      </c>
      <c r="BV14" s="47"/>
      <c r="BW14" s="56">
        <f t="shared" ref="BW14:BW40" si="26">CHOOSE($CK$7,C14,(C14+I14),(C14+I14+O14),(C14+I14+O14+U14),(C14+I14+O14+U14+AA14),(C14+I14+O14+U14++AG14),(C14+I14+O14+U14+AA14+AG14+AM14),(C14+I14+O14+U14+AA14+AG14+AM14+AS14),(C14+I14+O14+U14+AA14+AG14+AM14+AS14+AY14),(C14+I14+O14+U14+AA14+AG14+AM14+AS14+AY14+BE14),(C14+I14+O14+U14+AA14+AG14+AM14+AS14+AY14+BE14+BK14),(C14+I14+O14+U14+AA14+AG14+AM14+AS14+AY14+BE14+BK14+BQ14))</f>
        <v>9146.4599999999991</v>
      </c>
      <c r="BX14" s="56"/>
      <c r="BY14" s="56">
        <f t="shared" ref="BY14:BY40" si="27">CHOOSE($CK$7,E14,(E14+K14),(E14+K14+Q14),(E14+K14+Q14+W14),(E14+K14+Q14+W14+AC14),(E14+K14+Q14+W14++AI14),(E14+K14+Q14+W14+AC14+AI14+AO14),(E14+K14+Q14+W14+AC14+AI14+AO14+AU14),(E14+K14+Q14+W14+AC14+AI14+AO14+AU14+BA14),(E14+K14+Q14+W14+AC14+AI14+AO14+AU14+BA14+BG14),(E14+K14+Q14+W14+AC14+AI14+AO14+AU14+BA14+BG14+BM14),(E14+K14+Q14+W14+AC14+AI14+AO14+AU14+BA14+BG14+BM14+BS14))</f>
        <v>9146.4599999999991</v>
      </c>
      <c r="BZ14" s="56"/>
      <c r="CA14" s="56">
        <f t="shared" ref="CA14:CA40" si="28">BY14-BW14</f>
        <v>0</v>
      </c>
      <c r="CB14" s="47"/>
      <c r="CC14" s="56">
        <f t="shared" ref="CC14:CC40" si="29">C14+I14+O14+U14+AA14+AG14+AM14+AS14+AY14+BE14+BK14+BQ14</f>
        <v>9978.6999999999989</v>
      </c>
      <c r="CD14" s="56"/>
      <c r="CE14" s="56">
        <f t="shared" ref="CE14:CE40" si="30">E14+K14+Q14+W14+AC14+AI14+AO14+AU14+BA14+BG14+BM14+BS14</f>
        <v>9978.6999999999989</v>
      </c>
      <c r="CF14" s="56"/>
      <c r="CG14" s="56">
        <f t="shared" ref="CG14:CG40" si="31">CE14-CC14</f>
        <v>0</v>
      </c>
      <c r="CJ14" t="s">
        <v>234</v>
      </c>
    </row>
    <row r="15" spans="1:89" x14ac:dyDescent="0.25">
      <c r="B15" s="55" t="s">
        <v>192</v>
      </c>
      <c r="C15" s="56">
        <v>437.54</v>
      </c>
      <c r="D15" s="56"/>
      <c r="E15" s="56">
        <v>437.54</v>
      </c>
      <c r="F15" s="56"/>
      <c r="G15" s="56">
        <f t="shared" si="14"/>
        <v>0</v>
      </c>
      <c r="H15" s="47"/>
      <c r="I15" s="56">
        <v>437.54</v>
      </c>
      <c r="J15" s="56"/>
      <c r="K15" s="56">
        <v>437.54</v>
      </c>
      <c r="L15" s="56"/>
      <c r="M15" s="56">
        <f t="shared" si="15"/>
        <v>0</v>
      </c>
      <c r="N15" s="47"/>
      <c r="O15" s="56">
        <v>437.54</v>
      </c>
      <c r="P15" s="56"/>
      <c r="Q15" s="56">
        <f t="array" ref="Q15">SUM(IF(data_2019!$B$5:$B$943="Mar",IF(data_2019!$F$5:$F$943=$B15,data_2019!$E$5:$E$943)))</f>
        <v>437.54</v>
      </c>
      <c r="R15" s="56"/>
      <c r="S15" s="56">
        <f t="shared" si="16"/>
        <v>0</v>
      </c>
      <c r="T15" s="47"/>
      <c r="U15" s="56">
        <v>437.54</v>
      </c>
      <c r="V15" s="56"/>
      <c r="W15" s="147">
        <f t="array" ref="W15">SUM(IF(data_2019!$B$5:$B$943="Apr",IF(data_2019!$F$5:$F$943=$B15,data_2019!$E$5:$E$943)))</f>
        <v>437.54</v>
      </c>
      <c r="X15" s="56"/>
      <c r="Y15" s="56">
        <f t="shared" si="17"/>
        <v>0</v>
      </c>
      <c r="Z15" s="47"/>
      <c r="AA15" s="56">
        <v>437.54</v>
      </c>
      <c r="AB15" s="56"/>
      <c r="AC15" s="56">
        <f t="array" ref="AC15">SUM(IF(data_2019!$B$5:$B$943="May",IF(data_2019!$F$5:$F$943=$B15,data_2019!$E$5:$E$943)))</f>
        <v>437.54</v>
      </c>
      <c r="AD15" s="56"/>
      <c r="AE15" s="56">
        <f t="shared" si="18"/>
        <v>0</v>
      </c>
      <c r="AF15" s="47"/>
      <c r="AG15" s="56">
        <v>437.54</v>
      </c>
      <c r="AH15" s="56"/>
      <c r="AI15" s="147">
        <v>437.54</v>
      </c>
      <c r="AJ15" s="56"/>
      <c r="AK15" s="56">
        <f t="shared" si="19"/>
        <v>0</v>
      </c>
      <c r="AL15" s="47"/>
      <c r="AM15" s="56">
        <v>437.54</v>
      </c>
      <c r="AN15" s="56"/>
      <c r="AO15" s="147">
        <v>437.54</v>
      </c>
      <c r="AP15" s="56"/>
      <c r="AQ15" s="56">
        <f t="shared" si="20"/>
        <v>0</v>
      </c>
      <c r="AR15" s="47"/>
      <c r="AS15" s="56">
        <v>437.54</v>
      </c>
      <c r="AT15" s="56"/>
      <c r="AU15" s="57">
        <v>437.54</v>
      </c>
      <c r="AV15" s="56"/>
      <c r="AW15" s="56">
        <f t="shared" si="21"/>
        <v>0</v>
      </c>
      <c r="AX15" s="47"/>
      <c r="AY15" s="56">
        <v>437.54</v>
      </c>
      <c r="AZ15" s="56"/>
      <c r="BA15" s="57">
        <v>437.54</v>
      </c>
      <c r="BB15" s="56"/>
      <c r="BC15" s="56">
        <f t="shared" si="22"/>
        <v>0</v>
      </c>
      <c r="BD15" s="47"/>
      <c r="BE15" s="56">
        <v>437.54</v>
      </c>
      <c r="BF15" s="56"/>
      <c r="BG15" s="57">
        <v>437.54</v>
      </c>
      <c r="BH15" s="56"/>
      <c r="BI15" s="56">
        <f t="shared" si="23"/>
        <v>0</v>
      </c>
      <c r="BJ15" s="47"/>
      <c r="BK15" s="56">
        <v>437.54</v>
      </c>
      <c r="BL15" s="56"/>
      <c r="BM15" s="57">
        <v>437.54</v>
      </c>
      <c r="BN15" s="56"/>
      <c r="BO15" s="56">
        <f t="shared" si="24"/>
        <v>0</v>
      </c>
      <c r="BP15" s="47"/>
      <c r="BQ15" s="56">
        <v>437.54</v>
      </c>
      <c r="BR15" s="56"/>
      <c r="BS15" s="57">
        <v>437.54</v>
      </c>
      <c r="BT15" s="56"/>
      <c r="BU15" s="56">
        <f t="shared" si="25"/>
        <v>0</v>
      </c>
      <c r="BV15" s="47"/>
      <c r="BW15" s="56">
        <f t="shared" si="26"/>
        <v>4812.9400000000005</v>
      </c>
      <c r="BX15" s="56"/>
      <c r="BY15" s="56">
        <f t="shared" si="27"/>
        <v>4812.9400000000005</v>
      </c>
      <c r="BZ15" s="56"/>
      <c r="CA15" s="56">
        <f t="shared" si="28"/>
        <v>0</v>
      </c>
      <c r="CB15" s="47"/>
      <c r="CC15" s="56">
        <f t="shared" si="29"/>
        <v>5250.4800000000005</v>
      </c>
      <c r="CD15" s="56"/>
      <c r="CE15" s="56">
        <f t="shared" si="30"/>
        <v>5250.4800000000005</v>
      </c>
      <c r="CF15" s="56"/>
      <c r="CG15" s="56">
        <f t="shared" si="31"/>
        <v>0</v>
      </c>
      <c r="CJ15" t="s">
        <v>235</v>
      </c>
    </row>
    <row r="16" spans="1:89" x14ac:dyDescent="0.25">
      <c r="B16" s="55" t="s">
        <v>12</v>
      </c>
      <c r="C16" s="56">
        <v>1225</v>
      </c>
      <c r="D16" s="56"/>
      <c r="E16" s="56">
        <v>1225</v>
      </c>
      <c r="F16" s="56"/>
      <c r="G16" s="56">
        <f t="shared" si="14"/>
        <v>0</v>
      </c>
      <c r="H16" s="47"/>
      <c r="I16" s="56">
        <v>1225</v>
      </c>
      <c r="J16" s="56"/>
      <c r="K16" s="56">
        <v>1225</v>
      </c>
      <c r="L16" s="56"/>
      <c r="M16" s="56">
        <f t="shared" si="15"/>
        <v>0</v>
      </c>
      <c r="N16" s="47"/>
      <c r="O16" s="56">
        <v>1225</v>
      </c>
      <c r="P16" s="56"/>
      <c r="Q16" s="56">
        <v>1225</v>
      </c>
      <c r="R16" s="56"/>
      <c r="S16" s="56">
        <f t="shared" si="16"/>
        <v>0</v>
      </c>
      <c r="T16" s="47"/>
      <c r="U16" s="56">
        <v>1225</v>
      </c>
      <c r="V16" s="56"/>
      <c r="W16" s="56">
        <v>1225</v>
      </c>
      <c r="X16" s="56"/>
      <c r="Y16" s="56">
        <f t="shared" si="17"/>
        <v>0</v>
      </c>
      <c r="Z16" s="47"/>
      <c r="AA16" s="56">
        <v>1225</v>
      </c>
      <c r="AB16" s="56"/>
      <c r="AC16" s="147">
        <v>1225</v>
      </c>
      <c r="AD16" s="56"/>
      <c r="AE16" s="56">
        <f t="shared" si="18"/>
        <v>0</v>
      </c>
      <c r="AF16" s="47"/>
      <c r="AG16" s="56">
        <v>1225</v>
      </c>
      <c r="AH16" s="56"/>
      <c r="AI16" s="147">
        <v>1225</v>
      </c>
      <c r="AJ16" s="56"/>
      <c r="AK16" s="56">
        <f t="shared" si="19"/>
        <v>0</v>
      </c>
      <c r="AL16" s="47"/>
      <c r="AM16" s="56">
        <v>1225</v>
      </c>
      <c r="AN16" s="56"/>
      <c r="AO16" s="147">
        <v>1225</v>
      </c>
      <c r="AP16" s="56"/>
      <c r="AQ16" s="56">
        <f t="shared" si="20"/>
        <v>0</v>
      </c>
      <c r="AR16" s="47"/>
      <c r="AS16" s="56">
        <v>1225</v>
      </c>
      <c r="AT16" s="56"/>
      <c r="AU16" s="147">
        <v>1225</v>
      </c>
      <c r="AV16" s="56"/>
      <c r="AW16" s="56">
        <f t="shared" si="21"/>
        <v>0</v>
      </c>
      <c r="AX16" s="47"/>
      <c r="AY16" s="56">
        <v>1225</v>
      </c>
      <c r="AZ16" s="56"/>
      <c r="BA16" s="57">
        <v>1225</v>
      </c>
      <c r="BB16" s="56"/>
      <c r="BC16" s="56">
        <f t="shared" si="22"/>
        <v>0</v>
      </c>
      <c r="BD16" s="47"/>
      <c r="BE16" s="56">
        <v>1225</v>
      </c>
      <c r="BF16" s="56"/>
      <c r="BG16" s="57">
        <v>1225</v>
      </c>
      <c r="BH16" s="56"/>
      <c r="BI16" s="56">
        <f t="shared" si="23"/>
        <v>0</v>
      </c>
      <c r="BJ16" s="47"/>
      <c r="BK16" s="56">
        <v>1225</v>
      </c>
      <c r="BL16" s="56"/>
      <c r="BM16" s="57">
        <v>1225</v>
      </c>
      <c r="BN16" s="56"/>
      <c r="BO16" s="56">
        <f t="shared" si="24"/>
        <v>0</v>
      </c>
      <c r="BP16" s="47"/>
      <c r="BQ16" s="56">
        <v>1225</v>
      </c>
      <c r="BR16" s="56"/>
      <c r="BS16" s="57">
        <v>1225</v>
      </c>
      <c r="BT16" s="56"/>
      <c r="BU16" s="56">
        <f t="shared" si="25"/>
        <v>0</v>
      </c>
      <c r="BV16" s="47"/>
      <c r="BW16" s="56">
        <f t="shared" si="26"/>
        <v>13475</v>
      </c>
      <c r="BX16" s="56"/>
      <c r="BY16" s="56">
        <f t="shared" si="27"/>
        <v>13475</v>
      </c>
      <c r="BZ16" s="56"/>
      <c r="CA16" s="56">
        <f t="shared" si="28"/>
        <v>0</v>
      </c>
      <c r="CB16" s="47"/>
      <c r="CC16" s="56">
        <f t="shared" si="29"/>
        <v>14700</v>
      </c>
      <c r="CD16" s="56"/>
      <c r="CE16" s="56">
        <f t="shared" si="30"/>
        <v>14700</v>
      </c>
      <c r="CF16" s="56"/>
      <c r="CG16" s="56">
        <f t="shared" si="31"/>
        <v>0</v>
      </c>
      <c r="CJ16" t="s">
        <v>236</v>
      </c>
    </row>
    <row r="17" spans="2:88" x14ac:dyDescent="0.25">
      <c r="B17" s="55" t="s">
        <v>13</v>
      </c>
      <c r="C17" s="56">
        <v>0</v>
      </c>
      <c r="D17" s="56"/>
      <c r="E17" s="56">
        <v>0</v>
      </c>
      <c r="F17" s="56"/>
      <c r="G17" s="56">
        <f t="shared" si="14"/>
        <v>0</v>
      </c>
      <c r="H17" s="47"/>
      <c r="I17" s="56">
        <v>0</v>
      </c>
      <c r="J17" s="56"/>
      <c r="K17" s="56">
        <v>0</v>
      </c>
      <c r="L17" s="56"/>
      <c r="M17" s="56">
        <f t="shared" si="15"/>
        <v>0</v>
      </c>
      <c r="N17" s="47"/>
      <c r="O17" s="56">
        <v>0</v>
      </c>
      <c r="P17" s="56"/>
      <c r="Q17" s="56">
        <v>0</v>
      </c>
      <c r="R17" s="56"/>
      <c r="S17" s="56">
        <f t="shared" si="16"/>
        <v>0</v>
      </c>
      <c r="T17" s="47"/>
      <c r="U17" s="56">
        <v>0</v>
      </c>
      <c r="V17" s="56"/>
      <c r="W17" s="56">
        <v>0</v>
      </c>
      <c r="X17" s="56"/>
      <c r="Y17" s="56">
        <f t="shared" si="17"/>
        <v>0</v>
      </c>
      <c r="Z17" s="47"/>
      <c r="AA17" s="56">
        <v>550</v>
      </c>
      <c r="AB17" s="56"/>
      <c r="AC17" s="56">
        <f t="array" ref="AC17">SUM(IF(data_2019!$B$5:$B$943="May",IF(data_2019!$F$5:$F$943=$B17,data_2019!$E$5:$E$943)))</f>
        <v>545</v>
      </c>
      <c r="AD17" s="56"/>
      <c r="AE17" s="56">
        <f t="shared" si="18"/>
        <v>-5</v>
      </c>
      <c r="AF17" s="47"/>
      <c r="AG17" s="56">
        <v>0</v>
      </c>
      <c r="AH17" s="56"/>
      <c r="AI17" s="147">
        <v>0</v>
      </c>
      <c r="AJ17" s="56"/>
      <c r="AK17" s="56">
        <f t="shared" si="19"/>
        <v>0</v>
      </c>
      <c r="AL17" s="47"/>
      <c r="AM17" s="56">
        <v>0</v>
      </c>
      <c r="AN17" s="56"/>
      <c r="AO17" s="147">
        <v>0</v>
      </c>
      <c r="AP17" s="56"/>
      <c r="AQ17" s="56">
        <f t="shared" si="20"/>
        <v>0</v>
      </c>
      <c r="AR17" s="47"/>
      <c r="AS17" s="56">
        <v>0</v>
      </c>
      <c r="AT17" s="56"/>
      <c r="AU17" s="56">
        <v>0</v>
      </c>
      <c r="AV17" s="56"/>
      <c r="AW17" s="56">
        <f t="shared" si="21"/>
        <v>0</v>
      </c>
      <c r="AX17" s="47"/>
      <c r="AY17" s="56">
        <v>0</v>
      </c>
      <c r="AZ17" s="56"/>
      <c r="BA17" s="56">
        <v>0</v>
      </c>
      <c r="BB17" s="56"/>
      <c r="BC17" s="56">
        <f t="shared" si="22"/>
        <v>0</v>
      </c>
      <c r="BD17" s="47"/>
      <c r="BE17" s="56">
        <v>0</v>
      </c>
      <c r="BF17" s="56"/>
      <c r="BG17" s="56">
        <v>0</v>
      </c>
      <c r="BH17" s="56"/>
      <c r="BI17" s="56">
        <f t="shared" si="23"/>
        <v>0</v>
      </c>
      <c r="BJ17" s="47"/>
      <c r="BK17" s="56">
        <v>550</v>
      </c>
      <c r="BL17" s="56"/>
      <c r="BM17" s="56">
        <v>550</v>
      </c>
      <c r="BN17" s="56"/>
      <c r="BO17" s="56">
        <f t="shared" si="24"/>
        <v>0</v>
      </c>
      <c r="BP17" s="47"/>
      <c r="BQ17" s="56">
        <v>0</v>
      </c>
      <c r="BR17" s="56"/>
      <c r="BS17" s="56">
        <v>0</v>
      </c>
      <c r="BT17" s="56"/>
      <c r="BU17" s="56">
        <f t="shared" si="25"/>
        <v>0</v>
      </c>
      <c r="BV17" s="47"/>
      <c r="BW17" s="56">
        <f t="shared" si="26"/>
        <v>1100</v>
      </c>
      <c r="BX17" s="56"/>
      <c r="BY17" s="56">
        <f t="shared" si="27"/>
        <v>1095</v>
      </c>
      <c r="BZ17" s="56"/>
      <c r="CA17" s="56">
        <f t="shared" si="28"/>
        <v>-5</v>
      </c>
      <c r="CB17" s="47"/>
      <c r="CC17" s="56">
        <f t="shared" si="29"/>
        <v>1100</v>
      </c>
      <c r="CD17" s="56"/>
      <c r="CE17" s="56">
        <f t="shared" si="30"/>
        <v>1095</v>
      </c>
      <c r="CF17" s="56"/>
      <c r="CG17" s="56">
        <f t="shared" si="31"/>
        <v>-5</v>
      </c>
      <c r="CJ17" t="s">
        <v>237</v>
      </c>
    </row>
    <row r="18" spans="2:88" x14ac:dyDescent="0.25">
      <c r="B18" s="55" t="s">
        <v>14</v>
      </c>
      <c r="C18" s="56">
        <v>151</v>
      </c>
      <c r="D18" s="56"/>
      <c r="E18" s="56">
        <v>151</v>
      </c>
      <c r="F18" s="56"/>
      <c r="G18" s="56">
        <f t="shared" si="14"/>
        <v>0</v>
      </c>
      <c r="H18" s="47"/>
      <c r="I18" s="56">
        <v>151</v>
      </c>
      <c r="J18" s="56"/>
      <c r="K18" s="56">
        <v>151</v>
      </c>
      <c r="L18" s="56"/>
      <c r="M18" s="56">
        <f t="shared" si="15"/>
        <v>0</v>
      </c>
      <c r="N18" s="47"/>
      <c r="O18" s="56">
        <v>151</v>
      </c>
      <c r="P18" s="56"/>
      <c r="Q18" s="56">
        <v>151</v>
      </c>
      <c r="R18" s="56"/>
      <c r="S18" s="56">
        <f t="shared" si="16"/>
        <v>0</v>
      </c>
      <c r="T18" s="47"/>
      <c r="U18" s="56">
        <v>151</v>
      </c>
      <c r="V18" s="56"/>
      <c r="W18" s="147">
        <v>151</v>
      </c>
      <c r="X18" s="56"/>
      <c r="Y18" s="56">
        <f t="shared" si="17"/>
        <v>0</v>
      </c>
      <c r="Z18" s="47"/>
      <c r="AA18" s="56">
        <v>151</v>
      </c>
      <c r="AB18" s="56"/>
      <c r="AC18" s="147">
        <f>151-110</f>
        <v>41</v>
      </c>
      <c r="AD18" s="56"/>
      <c r="AE18" s="56">
        <f t="shared" si="18"/>
        <v>-110</v>
      </c>
      <c r="AF18" s="47"/>
      <c r="AG18" s="56">
        <v>151</v>
      </c>
      <c r="AH18" s="56"/>
      <c r="AI18" s="147">
        <v>151</v>
      </c>
      <c r="AJ18" s="56"/>
      <c r="AK18" s="56">
        <f t="shared" si="19"/>
        <v>0</v>
      </c>
      <c r="AL18" s="47"/>
      <c r="AM18" s="56">
        <v>151</v>
      </c>
      <c r="AN18" s="56"/>
      <c r="AO18" s="147">
        <v>151</v>
      </c>
      <c r="AP18" s="56"/>
      <c r="AQ18" s="56">
        <f t="shared" si="20"/>
        <v>0</v>
      </c>
      <c r="AR18" s="47"/>
      <c r="AS18" s="56">
        <v>151</v>
      </c>
      <c r="AT18" s="56"/>
      <c r="AU18" s="57">
        <v>151</v>
      </c>
      <c r="AV18" s="56"/>
      <c r="AW18" s="56">
        <f t="shared" si="21"/>
        <v>0</v>
      </c>
      <c r="AX18" s="47"/>
      <c r="AY18" s="56">
        <v>151</v>
      </c>
      <c r="AZ18" s="56"/>
      <c r="BA18" s="57">
        <v>151</v>
      </c>
      <c r="BB18" s="56"/>
      <c r="BC18" s="56">
        <f t="shared" si="22"/>
        <v>0</v>
      </c>
      <c r="BD18" s="47"/>
      <c r="BE18" s="56">
        <v>151</v>
      </c>
      <c r="BF18" s="56"/>
      <c r="BG18" s="57">
        <v>151</v>
      </c>
      <c r="BH18" s="56"/>
      <c r="BI18" s="56">
        <f t="shared" si="23"/>
        <v>0</v>
      </c>
      <c r="BJ18" s="47"/>
      <c r="BK18" s="56">
        <v>151</v>
      </c>
      <c r="BL18" s="56"/>
      <c r="BM18" s="57">
        <v>151</v>
      </c>
      <c r="BN18" s="56"/>
      <c r="BO18" s="56">
        <f t="shared" si="24"/>
        <v>0</v>
      </c>
      <c r="BP18" s="47"/>
      <c r="BQ18" s="56">
        <v>151</v>
      </c>
      <c r="BR18" s="56"/>
      <c r="BS18" s="57">
        <v>151</v>
      </c>
      <c r="BT18" s="56"/>
      <c r="BU18" s="56">
        <f t="shared" si="25"/>
        <v>0</v>
      </c>
      <c r="BV18" s="47"/>
      <c r="BW18" s="56">
        <f t="shared" si="26"/>
        <v>1661</v>
      </c>
      <c r="BX18" s="56"/>
      <c r="BY18" s="56">
        <f t="shared" si="27"/>
        <v>1551</v>
      </c>
      <c r="BZ18" s="56"/>
      <c r="CA18" s="56">
        <f t="shared" si="28"/>
        <v>-110</v>
      </c>
      <c r="CB18" s="47"/>
      <c r="CC18" s="56">
        <f t="shared" si="29"/>
        <v>1812</v>
      </c>
      <c r="CD18" s="56"/>
      <c r="CE18" s="56">
        <f t="shared" si="30"/>
        <v>1702</v>
      </c>
      <c r="CF18" s="56"/>
      <c r="CG18" s="56">
        <f t="shared" si="31"/>
        <v>-110</v>
      </c>
      <c r="CJ18" t="s">
        <v>238</v>
      </c>
    </row>
    <row r="19" spans="2:88" x14ac:dyDescent="0.25">
      <c r="B19" s="55" t="s">
        <v>15</v>
      </c>
      <c r="C19" s="56">
        <v>250</v>
      </c>
      <c r="D19" s="56"/>
      <c r="E19" s="56">
        <f t="array" ref="E19">SUM(IF(data_2019!$B$5:$B$1056="Jan",IF(data_2019!$F$5:$F$1056=$B19,data_2019!$E$5:$E$1056)))</f>
        <v>278.56</v>
      </c>
      <c r="F19" s="56"/>
      <c r="G19" s="56">
        <f t="shared" si="14"/>
        <v>28.560000000000002</v>
      </c>
      <c r="H19" s="47"/>
      <c r="I19" s="56">
        <v>250</v>
      </c>
      <c r="J19" s="56"/>
      <c r="K19" s="79">
        <f t="array" ref="K19">SUM(IF(data_2019!$B$5:$B$943="Feb",IF(data_2019!$F$5:$F$943=$B19,data_2019!$E$5:$E$943)))</f>
        <v>399.66</v>
      </c>
      <c r="L19" s="56"/>
      <c r="M19" s="56">
        <f t="shared" si="15"/>
        <v>149.66000000000003</v>
      </c>
      <c r="N19" s="47"/>
      <c r="O19" s="56">
        <v>300</v>
      </c>
      <c r="P19" s="56"/>
      <c r="Q19" s="56">
        <f t="array" ref="Q19">SUM(IF(data_2019!$B$5:$B$943="Mar",IF(data_2019!$F$5:$F$943=$B19,data_2019!$E$5:$E$943)))</f>
        <v>452.08</v>
      </c>
      <c r="R19" s="56"/>
      <c r="S19" s="56">
        <f t="shared" si="16"/>
        <v>152.07999999999998</v>
      </c>
      <c r="T19" s="47"/>
      <c r="U19" s="56">
        <v>350</v>
      </c>
      <c r="V19" s="56"/>
      <c r="W19" s="56">
        <f t="array" ref="W19">SUM(IF(data_2019!$B$5:$B$943="Apr",IF(data_2019!$F$5:$F$943=$B19,data_2019!$E$5:$E$943)))</f>
        <v>365.05999999999995</v>
      </c>
      <c r="X19" s="56"/>
      <c r="Y19" s="56">
        <f t="shared" si="17"/>
        <v>15.059999999999945</v>
      </c>
      <c r="Z19" s="47"/>
      <c r="AA19" s="56">
        <v>350</v>
      </c>
      <c r="AB19" s="56"/>
      <c r="AC19" s="56">
        <f t="array" ref="AC19">SUM(IF(data_2019!$B$5:$B$943="May",IF(data_2019!$F$5:$F$943=$B19,data_2019!$E$5:$E$943)))</f>
        <v>313.23</v>
      </c>
      <c r="AD19" s="56"/>
      <c r="AE19" s="56">
        <f t="shared" si="18"/>
        <v>-36.769999999999982</v>
      </c>
      <c r="AF19" s="47"/>
      <c r="AG19" s="56">
        <v>350</v>
      </c>
      <c r="AH19" s="56"/>
      <c r="AI19" s="56">
        <f t="array" ref="AI19">SUM(IF(data_2019!$B$5:$B$943="Jun",IF(data_2019!$F$5:$F$943=$B19,data_2019!$E$5:$E$943)))</f>
        <v>306.46999999999997</v>
      </c>
      <c r="AJ19" s="56"/>
      <c r="AK19" s="56">
        <f t="shared" si="19"/>
        <v>-43.53000000000003</v>
      </c>
      <c r="AL19" s="47"/>
      <c r="AM19" s="56">
        <v>350</v>
      </c>
      <c r="AN19" s="56"/>
      <c r="AO19" s="56">
        <f t="array" ref="AO19">SUM(IF(data_2019!$B$5:$B$943="Jul",IF(data_2019!$F$5:$F$943=$B19,data_2019!$E$5:$E$943)))</f>
        <v>458.93</v>
      </c>
      <c r="AP19" s="56"/>
      <c r="AQ19" s="56">
        <f t="shared" si="20"/>
        <v>108.93</v>
      </c>
      <c r="AR19" s="47"/>
      <c r="AS19" s="56">
        <v>350</v>
      </c>
      <c r="AT19" s="56"/>
      <c r="AU19" s="56">
        <v>0</v>
      </c>
      <c r="AV19" s="56"/>
      <c r="AW19" s="56">
        <f t="shared" si="21"/>
        <v>-350</v>
      </c>
      <c r="AX19" s="47"/>
      <c r="AY19" s="56">
        <v>350</v>
      </c>
      <c r="AZ19" s="56"/>
      <c r="BA19" s="56">
        <v>0</v>
      </c>
      <c r="BB19" s="56"/>
      <c r="BC19" s="56">
        <f t="shared" si="22"/>
        <v>-350</v>
      </c>
      <c r="BD19" s="47"/>
      <c r="BE19" s="56">
        <v>350</v>
      </c>
      <c r="BF19" s="56"/>
      <c r="BG19" s="56">
        <v>0</v>
      </c>
      <c r="BH19" s="56"/>
      <c r="BI19" s="56">
        <f t="shared" si="23"/>
        <v>-350</v>
      </c>
      <c r="BJ19" s="47"/>
      <c r="BK19" s="56">
        <v>350</v>
      </c>
      <c r="BL19" s="56"/>
      <c r="BM19" s="56">
        <v>0</v>
      </c>
      <c r="BN19" s="56"/>
      <c r="BO19" s="56">
        <f t="shared" si="24"/>
        <v>-350</v>
      </c>
      <c r="BP19" s="47"/>
      <c r="BQ19" s="56">
        <v>350</v>
      </c>
      <c r="BR19" s="56"/>
      <c r="BS19" s="56">
        <v>0</v>
      </c>
      <c r="BT19" s="56"/>
      <c r="BU19" s="56">
        <f t="shared" si="25"/>
        <v>-350</v>
      </c>
      <c r="BV19" s="47"/>
      <c r="BW19" s="56">
        <f t="shared" si="26"/>
        <v>3600</v>
      </c>
      <c r="BX19" s="56"/>
      <c r="BY19" s="56">
        <f t="shared" si="27"/>
        <v>2573.9899999999998</v>
      </c>
      <c r="BZ19" s="56"/>
      <c r="CA19" s="56">
        <f t="shared" si="28"/>
        <v>-1026.0100000000002</v>
      </c>
      <c r="CB19" s="47"/>
      <c r="CC19" s="56">
        <f t="shared" si="29"/>
        <v>3950</v>
      </c>
      <c r="CD19" s="56"/>
      <c r="CE19" s="56">
        <f t="shared" si="30"/>
        <v>2573.9899999999998</v>
      </c>
      <c r="CF19" s="56"/>
      <c r="CG19" s="56">
        <f t="shared" si="31"/>
        <v>-1376.0100000000002</v>
      </c>
    </row>
    <row r="20" spans="2:88" x14ac:dyDescent="0.25">
      <c r="B20" s="55" t="s">
        <v>16</v>
      </c>
      <c r="C20" s="56">
        <f>30*4</f>
        <v>120</v>
      </c>
      <c r="D20" s="56"/>
      <c r="E20" s="56">
        <f t="array" ref="E20">SUM(IF(data_2019!$B$5:$B$1056="Jan",IF(data_2019!$F$5:$F$1056=$B20,data_2019!$E$5:$E$1056)))</f>
        <v>186.18</v>
      </c>
      <c r="F20" s="56"/>
      <c r="G20" s="56">
        <f t="shared" si="14"/>
        <v>66.180000000000007</v>
      </c>
      <c r="H20" s="47"/>
      <c r="I20" s="56">
        <v>120</v>
      </c>
      <c r="J20" s="56"/>
      <c r="K20" s="56">
        <f t="array" ref="K20">SUM(IF(data_2019!$B$5:$B$943="Feb",IF(data_2019!$F$5:$F$943=$B20,data_2019!$E$5:$E$943)))</f>
        <v>149.06</v>
      </c>
      <c r="L20" s="56"/>
      <c r="M20" s="56">
        <f t="shared" si="15"/>
        <v>29.060000000000002</v>
      </c>
      <c r="N20" s="47"/>
      <c r="O20" s="56">
        <v>120</v>
      </c>
      <c r="P20" s="56"/>
      <c r="Q20" s="56">
        <f t="array" ref="Q20">SUM(IF(data_2019!$B$5:$B$943="Mar",IF(data_2019!$F$5:$F$943=$B20,data_2019!$E$5:$E$943)))</f>
        <v>216.86000000000004</v>
      </c>
      <c r="R20" s="56"/>
      <c r="S20" s="56">
        <f t="shared" si="16"/>
        <v>96.860000000000042</v>
      </c>
      <c r="T20" s="47"/>
      <c r="U20" s="56">
        <v>180</v>
      </c>
      <c r="V20" s="56"/>
      <c r="W20" s="56">
        <f t="array" ref="W20">SUM(IF(data_2019!$B$5:$B$943="Apr",IF(data_2019!$F$5:$F$943=$B20,data_2019!$E$5:$E$943)))</f>
        <v>211.03</v>
      </c>
      <c r="X20" s="56"/>
      <c r="Y20" s="56">
        <f t="shared" si="17"/>
        <v>31.03</v>
      </c>
      <c r="Z20" s="47"/>
      <c r="AA20" s="56">
        <v>180</v>
      </c>
      <c r="AB20" s="56"/>
      <c r="AC20" s="56">
        <f t="array" ref="AC20">SUM(IF(data_2019!$B$5:$B$943="May",IF(data_2019!$F$5:$F$943=$B20,data_2019!$E$5:$E$943)))</f>
        <v>184.46999999999997</v>
      </c>
      <c r="AD20" s="56"/>
      <c r="AE20" s="56">
        <f t="shared" si="18"/>
        <v>4.4699999999999704</v>
      </c>
      <c r="AF20" s="47"/>
      <c r="AG20" s="56">
        <v>180</v>
      </c>
      <c r="AH20" s="56"/>
      <c r="AI20" s="56">
        <f t="array" ref="AI20">SUM(IF(data_2019!$B$5:$B$943="Jun",IF(data_2019!$F$5:$F$943=$B20,data_2019!$E$5:$E$943)))</f>
        <v>147.57</v>
      </c>
      <c r="AJ20" s="56"/>
      <c r="AK20" s="56">
        <f t="shared" si="19"/>
        <v>-32.430000000000007</v>
      </c>
      <c r="AL20" s="47"/>
      <c r="AM20" s="56">
        <v>120</v>
      </c>
      <c r="AN20" s="56"/>
      <c r="AO20" s="56">
        <f t="array" ref="AO20">SUM(IF(data_2019!$B$5:$B$943="Jul",IF(data_2019!$F$5:$F$943=$B20,data_2019!$E$5:$E$943)))</f>
        <v>216.28</v>
      </c>
      <c r="AP20" s="56"/>
      <c r="AQ20" s="56">
        <f t="shared" si="20"/>
        <v>96.28</v>
      </c>
      <c r="AR20" s="47"/>
      <c r="AS20" s="56">
        <v>120</v>
      </c>
      <c r="AT20" s="56"/>
      <c r="AU20" s="56">
        <v>0</v>
      </c>
      <c r="AV20" s="56"/>
      <c r="AW20" s="56">
        <f t="shared" si="21"/>
        <v>-120</v>
      </c>
      <c r="AX20" s="47"/>
      <c r="AY20" s="56">
        <v>120</v>
      </c>
      <c r="AZ20" s="56"/>
      <c r="BA20" s="56">
        <v>0</v>
      </c>
      <c r="BB20" s="56"/>
      <c r="BC20" s="56">
        <f t="shared" si="22"/>
        <v>-120</v>
      </c>
      <c r="BD20" s="47"/>
      <c r="BE20" s="56">
        <v>120</v>
      </c>
      <c r="BF20" s="56"/>
      <c r="BG20" s="56">
        <v>0</v>
      </c>
      <c r="BH20" s="56"/>
      <c r="BI20" s="56">
        <f t="shared" si="23"/>
        <v>-120</v>
      </c>
      <c r="BJ20" s="47"/>
      <c r="BK20" s="56">
        <v>120</v>
      </c>
      <c r="BL20" s="56"/>
      <c r="BM20" s="56">
        <v>0</v>
      </c>
      <c r="BN20" s="56"/>
      <c r="BO20" s="56">
        <f t="shared" si="24"/>
        <v>-120</v>
      </c>
      <c r="BP20" s="47"/>
      <c r="BQ20" s="56">
        <v>120</v>
      </c>
      <c r="BR20" s="56"/>
      <c r="BS20" s="56">
        <v>0</v>
      </c>
      <c r="BT20" s="56"/>
      <c r="BU20" s="56">
        <f t="shared" si="25"/>
        <v>-120</v>
      </c>
      <c r="BV20" s="47"/>
      <c r="BW20" s="56">
        <f t="shared" si="26"/>
        <v>1500</v>
      </c>
      <c r="BX20" s="56"/>
      <c r="BY20" s="56">
        <f t="shared" si="27"/>
        <v>1311.4499999999998</v>
      </c>
      <c r="BZ20" s="56"/>
      <c r="CA20" s="56">
        <f t="shared" si="28"/>
        <v>-188.55000000000018</v>
      </c>
      <c r="CB20" s="47"/>
      <c r="CC20" s="56">
        <f t="shared" si="29"/>
        <v>1620</v>
      </c>
      <c r="CD20" s="56"/>
      <c r="CE20" s="56">
        <f t="shared" si="30"/>
        <v>1311.4499999999998</v>
      </c>
      <c r="CF20" s="56"/>
      <c r="CG20" s="56">
        <f t="shared" si="31"/>
        <v>-308.55000000000018</v>
      </c>
    </row>
    <row r="21" spans="2:88" x14ac:dyDescent="0.25">
      <c r="B21" s="55" t="s">
        <v>198</v>
      </c>
      <c r="C21" s="56">
        <f>24*2</f>
        <v>48</v>
      </c>
      <c r="D21" s="56"/>
      <c r="E21" s="56">
        <f t="array" ref="E21">SUM(IF(data_2019!$B$5:$B$1056="Jan",IF(data_2019!$F$5:$F$1056=$B21,data_2019!$E$5:$E$1056)))</f>
        <v>51.989999999999995</v>
      </c>
      <c r="F21" s="56"/>
      <c r="G21" s="56">
        <f t="shared" si="14"/>
        <v>3.9899999999999949</v>
      </c>
      <c r="H21" s="47"/>
      <c r="I21" s="56">
        <v>48</v>
      </c>
      <c r="J21" s="56"/>
      <c r="K21" s="56">
        <f t="array" ref="K21">SUM(IF(data_2019!$B$5:$B$943="Feb",IF(data_2019!$F$5:$F$943=$B21,data_2019!$E$5:$E$943)))</f>
        <v>71</v>
      </c>
      <c r="L21" s="56"/>
      <c r="M21" s="56">
        <f t="shared" si="15"/>
        <v>23</v>
      </c>
      <c r="N21" s="47"/>
      <c r="O21" s="56">
        <v>48</v>
      </c>
      <c r="P21" s="56"/>
      <c r="Q21" s="56">
        <f t="array" ref="Q21">SUM(IF(data_2019!$B$5:$B$943="Mar",IF(data_2019!$F$5:$F$943=$B21,data_2019!$E$5:$E$943)))</f>
        <v>46</v>
      </c>
      <c r="R21" s="56"/>
      <c r="S21" s="56">
        <f t="shared" si="16"/>
        <v>-2</v>
      </c>
      <c r="T21" s="47"/>
      <c r="U21" s="56">
        <v>48</v>
      </c>
      <c r="V21" s="56"/>
      <c r="W21" s="56">
        <f t="array" ref="W21">SUM(IF(data_2019!$B$5:$B$943="Apr",IF(data_2019!$F$5:$F$943=$B21,data_2019!$E$5:$E$943)))</f>
        <v>46</v>
      </c>
      <c r="X21" s="56"/>
      <c r="Y21" s="56">
        <f t="shared" si="17"/>
        <v>-2</v>
      </c>
      <c r="Z21" s="47"/>
      <c r="AA21" s="56">
        <v>48</v>
      </c>
      <c r="AB21" s="56"/>
      <c r="AC21" s="56">
        <f t="array" ref="AC21">SUM(IF(data_2019!$B$5:$B$943="May",IF(data_2019!$F$5:$F$943=$B21,data_2019!$E$5:$E$943)))</f>
        <v>64.11</v>
      </c>
      <c r="AD21" s="56"/>
      <c r="AE21" s="56">
        <f t="shared" si="18"/>
        <v>16.11</v>
      </c>
      <c r="AF21" s="47"/>
      <c r="AG21" s="56">
        <v>48</v>
      </c>
      <c r="AH21" s="56"/>
      <c r="AI21" s="56">
        <f t="array" ref="AI21">SUM(IF(data_2019!$B$5:$B$943="Jun",IF(data_2019!$F$5:$F$943=$B21,data_2019!$E$5:$E$943)))</f>
        <v>23</v>
      </c>
      <c r="AJ21" s="56"/>
      <c r="AK21" s="56">
        <f t="shared" si="19"/>
        <v>-25</v>
      </c>
      <c r="AL21" s="47"/>
      <c r="AM21" s="56">
        <v>48</v>
      </c>
      <c r="AN21" s="56"/>
      <c r="AO21" s="56">
        <f t="array" ref="AO21">SUM(IF(data_2019!$B$5:$B$943="Jul",IF(data_2019!$F$5:$F$943=$B21,data_2019!$E$5:$E$943)))</f>
        <v>72</v>
      </c>
      <c r="AP21" s="56"/>
      <c r="AQ21" s="56">
        <f t="shared" si="20"/>
        <v>24</v>
      </c>
      <c r="AR21" s="47"/>
      <c r="AS21" s="56">
        <v>48</v>
      </c>
      <c r="AT21" s="56"/>
      <c r="AU21" s="56">
        <v>0</v>
      </c>
      <c r="AV21" s="56"/>
      <c r="AW21" s="56">
        <f t="shared" si="21"/>
        <v>-48</v>
      </c>
      <c r="AX21" s="47"/>
      <c r="AY21" s="56">
        <v>48</v>
      </c>
      <c r="AZ21" s="56"/>
      <c r="BA21" s="56">
        <v>0</v>
      </c>
      <c r="BB21" s="56"/>
      <c r="BC21" s="56">
        <f t="shared" si="22"/>
        <v>-48</v>
      </c>
      <c r="BD21" s="47"/>
      <c r="BE21" s="56">
        <v>48</v>
      </c>
      <c r="BF21" s="56"/>
      <c r="BG21" s="56">
        <v>0</v>
      </c>
      <c r="BH21" s="56"/>
      <c r="BI21" s="56">
        <f t="shared" si="23"/>
        <v>-48</v>
      </c>
      <c r="BJ21" s="47"/>
      <c r="BK21" s="56">
        <v>48</v>
      </c>
      <c r="BL21" s="56"/>
      <c r="BM21" s="56">
        <v>0</v>
      </c>
      <c r="BN21" s="56"/>
      <c r="BO21" s="56">
        <f t="shared" si="24"/>
        <v>-48</v>
      </c>
      <c r="BP21" s="47"/>
      <c r="BQ21" s="56">
        <v>48</v>
      </c>
      <c r="BR21" s="56"/>
      <c r="BS21" s="56">
        <v>0</v>
      </c>
      <c r="BT21" s="56"/>
      <c r="BU21" s="56">
        <f t="shared" si="25"/>
        <v>-48</v>
      </c>
      <c r="BV21" s="47"/>
      <c r="BW21" s="56">
        <f t="shared" si="26"/>
        <v>528</v>
      </c>
      <c r="BX21" s="56"/>
      <c r="BY21" s="56">
        <f t="shared" si="27"/>
        <v>374.1</v>
      </c>
      <c r="BZ21" s="56"/>
      <c r="CA21" s="56">
        <f t="shared" si="28"/>
        <v>-153.89999999999998</v>
      </c>
      <c r="CB21" s="47"/>
      <c r="CC21" s="56">
        <f t="shared" si="29"/>
        <v>576</v>
      </c>
      <c r="CD21" s="56"/>
      <c r="CE21" s="56">
        <f t="shared" si="30"/>
        <v>374.1</v>
      </c>
      <c r="CF21" s="56"/>
      <c r="CG21" s="56">
        <f t="shared" si="31"/>
        <v>-201.89999999999998</v>
      </c>
    </row>
    <row r="22" spans="2:88" x14ac:dyDescent="0.25">
      <c r="B22" s="55" t="s">
        <v>17</v>
      </c>
      <c r="C22" s="56">
        <v>250</v>
      </c>
      <c r="D22" s="56"/>
      <c r="E22" s="79">
        <f t="array" ref="E22">SUM(IF(data_2019!$B$5:$B$1056="Jan",IF(data_2019!$F$5:$F$1056=$B22,data_2019!$E$5:$E$1056)))</f>
        <v>351.24</v>
      </c>
      <c r="F22" s="56"/>
      <c r="G22" s="56">
        <f t="shared" si="14"/>
        <v>101.24000000000001</v>
      </c>
      <c r="H22" s="47"/>
      <c r="I22" s="56">
        <v>250</v>
      </c>
      <c r="J22" s="56"/>
      <c r="K22" s="79">
        <f t="array" ref="K22">SUM(IF(data_2019!$B$5:$B$943="Feb",IF(data_2019!$F$5:$F$943=$B22,data_2019!$E$5:$E$943)))</f>
        <v>567.81000000000006</v>
      </c>
      <c r="L22" s="56"/>
      <c r="M22" s="56">
        <f t="shared" si="15"/>
        <v>317.81000000000006</v>
      </c>
      <c r="N22" s="47"/>
      <c r="O22" s="56">
        <v>250</v>
      </c>
      <c r="P22" s="56"/>
      <c r="Q22" s="79">
        <f t="array" ref="Q22">SUM(IF(data_2019!$B$5:$B$943="Mar",IF(data_2019!$F$5:$F$943=$B22,data_2019!$E$5:$E$943)))</f>
        <v>537.6</v>
      </c>
      <c r="R22" s="56"/>
      <c r="S22" s="56">
        <f t="shared" si="16"/>
        <v>287.60000000000002</v>
      </c>
      <c r="T22" s="47"/>
      <c r="U22" s="56">
        <v>250</v>
      </c>
      <c r="V22" s="56"/>
      <c r="W22" s="79">
        <f t="array" ref="W22">SUM(IF(data_2019!$B$5:$B$943="Apr",IF(data_2019!$F$5:$F$943=$B22,data_2019!$E$5:$E$943)))</f>
        <v>547.62999999999988</v>
      </c>
      <c r="X22" s="56"/>
      <c r="Y22" s="56">
        <f t="shared" si="17"/>
        <v>297.62999999999988</v>
      </c>
      <c r="Z22" s="47"/>
      <c r="AA22" s="56">
        <v>250</v>
      </c>
      <c r="AB22" s="56"/>
      <c r="AC22" s="56">
        <f t="array" ref="AC22">SUM(IF(data_2019!$B$5:$B$943="May",IF(data_2019!$F$5:$F$943=$B22,data_2019!$E$5:$E$943)))</f>
        <v>353.69999999999993</v>
      </c>
      <c r="AD22" s="56"/>
      <c r="AE22" s="56">
        <f t="shared" si="18"/>
        <v>103.69999999999993</v>
      </c>
      <c r="AF22" s="47"/>
      <c r="AG22" s="56">
        <v>250</v>
      </c>
      <c r="AH22" s="56"/>
      <c r="AI22" s="56">
        <f t="array" ref="AI22">SUM(IF(data_2019!$B$5:$B$943="Jun",IF(data_2019!$F$5:$F$943=$B22,data_2019!$E$5:$E$943)))</f>
        <v>506.26999999999992</v>
      </c>
      <c r="AJ22" s="56"/>
      <c r="AK22" s="56">
        <f t="shared" si="19"/>
        <v>256.26999999999992</v>
      </c>
      <c r="AL22" s="47"/>
      <c r="AM22" s="56">
        <v>250</v>
      </c>
      <c r="AN22" s="56"/>
      <c r="AO22" s="56">
        <f t="array" ref="AO22">SUM(IF(data_2019!$B$5:$B$943="Jul",IF(data_2019!$F$5:$F$943=$B22,data_2019!$E$5:$E$943)))</f>
        <v>656.78</v>
      </c>
      <c r="AP22" s="56"/>
      <c r="AQ22" s="56">
        <f t="shared" si="20"/>
        <v>406.78</v>
      </c>
      <c r="AR22" s="47"/>
      <c r="AS22" s="56">
        <v>250</v>
      </c>
      <c r="AT22" s="56"/>
      <c r="AU22" s="56">
        <v>0</v>
      </c>
      <c r="AV22" s="56"/>
      <c r="AW22" s="56">
        <f t="shared" si="21"/>
        <v>-250</v>
      </c>
      <c r="AX22" s="47"/>
      <c r="AY22" s="56">
        <v>250</v>
      </c>
      <c r="AZ22" s="56"/>
      <c r="BA22" s="56">
        <v>0</v>
      </c>
      <c r="BB22" s="56"/>
      <c r="BC22" s="56">
        <f t="shared" si="22"/>
        <v>-250</v>
      </c>
      <c r="BD22" s="47"/>
      <c r="BE22" s="56">
        <v>250</v>
      </c>
      <c r="BF22" s="56"/>
      <c r="BG22" s="56">
        <v>0</v>
      </c>
      <c r="BH22" s="56"/>
      <c r="BI22" s="56">
        <f t="shared" si="23"/>
        <v>-250</v>
      </c>
      <c r="BJ22" s="47"/>
      <c r="BK22" s="56">
        <v>250</v>
      </c>
      <c r="BL22" s="56"/>
      <c r="BM22" s="56">
        <v>0</v>
      </c>
      <c r="BN22" s="56"/>
      <c r="BO22" s="56">
        <f t="shared" si="24"/>
        <v>-250</v>
      </c>
      <c r="BP22" s="47"/>
      <c r="BQ22" s="56">
        <v>250</v>
      </c>
      <c r="BR22" s="56"/>
      <c r="BS22" s="56">
        <v>0</v>
      </c>
      <c r="BT22" s="56"/>
      <c r="BU22" s="56">
        <f t="shared" si="25"/>
        <v>-250</v>
      </c>
      <c r="BV22" s="47"/>
      <c r="BW22" s="56">
        <f t="shared" si="26"/>
        <v>2750</v>
      </c>
      <c r="BX22" s="56"/>
      <c r="BY22" s="56">
        <f t="shared" si="27"/>
        <v>3521.0299999999997</v>
      </c>
      <c r="BZ22" s="56"/>
      <c r="CA22" s="56">
        <f t="shared" si="28"/>
        <v>771.02999999999975</v>
      </c>
      <c r="CB22" s="47"/>
      <c r="CC22" s="56">
        <f t="shared" si="29"/>
        <v>3000</v>
      </c>
      <c r="CD22" s="56"/>
      <c r="CE22" s="56">
        <f t="shared" si="30"/>
        <v>3521.0299999999997</v>
      </c>
      <c r="CF22" s="56"/>
      <c r="CG22" s="56">
        <f t="shared" si="31"/>
        <v>521.02999999999975</v>
      </c>
    </row>
    <row r="23" spans="2:88" x14ac:dyDescent="0.25">
      <c r="B23" s="55" t="s">
        <v>18</v>
      </c>
      <c r="C23" s="56">
        <v>50</v>
      </c>
      <c r="D23" s="56"/>
      <c r="E23" s="56">
        <f t="array" ref="E23">SUM(IF(data_2019!$B$5:$B$1056="Jan",IF(data_2019!$F$5:$F$1056=$B23,data_2019!$E$5:$E$1056)))</f>
        <v>73.14</v>
      </c>
      <c r="F23" s="56"/>
      <c r="G23" s="56">
        <f t="shared" si="14"/>
        <v>23.14</v>
      </c>
      <c r="H23" s="47"/>
      <c r="I23" s="56">
        <v>50</v>
      </c>
      <c r="J23" s="56"/>
      <c r="K23" s="56">
        <f t="array" ref="K23">SUM(IF(data_2019!$B$5:$B$943="Feb",IF(data_2019!$F$5:$F$943=$B23,data_2019!$E$5:$E$943)))</f>
        <v>68.92</v>
      </c>
      <c r="L23" s="56"/>
      <c r="M23" s="56">
        <f t="shared" si="15"/>
        <v>18.920000000000002</v>
      </c>
      <c r="N23" s="47"/>
      <c r="O23" s="56">
        <v>50</v>
      </c>
      <c r="P23" s="56"/>
      <c r="Q23" s="56">
        <f t="array" ref="Q23">SUM(IF(data_2019!$B$5:$B$943="Mar",IF(data_2019!$F$5:$F$943=$B23,data_2019!$E$5:$E$943)))</f>
        <v>106.81</v>
      </c>
      <c r="R23" s="56"/>
      <c r="S23" s="56">
        <f t="shared" si="16"/>
        <v>56.81</v>
      </c>
      <c r="T23" s="47"/>
      <c r="U23" s="56">
        <v>50</v>
      </c>
      <c r="V23" s="56"/>
      <c r="W23" s="56">
        <f t="array" ref="W23">SUM(IF(data_2019!$B$5:$B$943="Apr",IF(data_2019!$F$5:$F$943=$B23,data_2019!$E$5:$E$943)))</f>
        <v>0</v>
      </c>
      <c r="X23" s="56"/>
      <c r="Y23" s="56">
        <f t="shared" si="17"/>
        <v>-50</v>
      </c>
      <c r="Z23" s="47"/>
      <c r="AA23" s="56">
        <v>50</v>
      </c>
      <c r="AB23" s="56"/>
      <c r="AC23" s="56">
        <f t="array" ref="AC23">SUM(IF(data_2019!$B$5:$B$943="May",IF(data_2019!$F$5:$F$943=$B23,data_2019!$E$5:$E$943)))</f>
        <v>42.71</v>
      </c>
      <c r="AD23" s="56"/>
      <c r="AE23" s="56">
        <f t="shared" si="18"/>
        <v>-7.2899999999999991</v>
      </c>
      <c r="AF23" s="47"/>
      <c r="AG23" s="56">
        <v>50</v>
      </c>
      <c r="AH23" s="56"/>
      <c r="AI23" s="56">
        <f t="array" ref="AI23">SUM(IF(data_2019!$B$5:$B$943="Jun",IF(data_2019!$F$5:$F$943=$B23,data_2019!$E$5:$E$943)))</f>
        <v>0</v>
      </c>
      <c r="AJ23" s="56"/>
      <c r="AK23" s="56">
        <f t="shared" si="19"/>
        <v>-50</v>
      </c>
      <c r="AL23" s="47"/>
      <c r="AM23" s="56">
        <v>50</v>
      </c>
      <c r="AN23" s="56"/>
      <c r="AO23" s="56">
        <f t="array" ref="AO23">SUM(IF(data_2019!$B$5:$B$943="Jul",IF(data_2019!$F$5:$F$943=$B23,data_2019!$E$5:$E$943)))</f>
        <v>2.25</v>
      </c>
      <c r="AP23" s="56"/>
      <c r="AQ23" s="56">
        <f t="shared" si="20"/>
        <v>-47.75</v>
      </c>
      <c r="AR23" s="47"/>
      <c r="AS23" s="56">
        <v>50</v>
      </c>
      <c r="AT23" s="56"/>
      <c r="AU23" s="56">
        <v>0</v>
      </c>
      <c r="AV23" s="56"/>
      <c r="AW23" s="56">
        <f t="shared" si="21"/>
        <v>-50</v>
      </c>
      <c r="AX23" s="47"/>
      <c r="AY23" s="56">
        <v>50</v>
      </c>
      <c r="AZ23" s="56"/>
      <c r="BA23" s="56">
        <v>0</v>
      </c>
      <c r="BB23" s="56"/>
      <c r="BC23" s="56">
        <f t="shared" si="22"/>
        <v>-50</v>
      </c>
      <c r="BD23" s="47"/>
      <c r="BE23" s="56">
        <v>50</v>
      </c>
      <c r="BF23" s="56"/>
      <c r="BG23" s="56">
        <v>0</v>
      </c>
      <c r="BH23" s="56"/>
      <c r="BI23" s="56">
        <f t="shared" si="23"/>
        <v>-50</v>
      </c>
      <c r="BJ23" s="47"/>
      <c r="BK23" s="56">
        <v>50</v>
      </c>
      <c r="BL23" s="56"/>
      <c r="BM23" s="56">
        <v>0</v>
      </c>
      <c r="BN23" s="56"/>
      <c r="BO23" s="56">
        <f t="shared" si="24"/>
        <v>-50</v>
      </c>
      <c r="BP23" s="47"/>
      <c r="BQ23" s="56">
        <v>50</v>
      </c>
      <c r="BR23" s="56"/>
      <c r="BS23" s="56">
        <v>0</v>
      </c>
      <c r="BT23" s="56"/>
      <c r="BU23" s="56">
        <f t="shared" si="25"/>
        <v>-50</v>
      </c>
      <c r="BV23" s="47"/>
      <c r="BW23" s="56">
        <f t="shared" si="26"/>
        <v>550</v>
      </c>
      <c r="BX23" s="56"/>
      <c r="BY23" s="56">
        <f t="shared" si="27"/>
        <v>293.83</v>
      </c>
      <c r="BZ23" s="56"/>
      <c r="CA23" s="56">
        <f t="shared" si="28"/>
        <v>-256.17</v>
      </c>
      <c r="CB23" s="47"/>
      <c r="CC23" s="56">
        <f t="shared" si="29"/>
        <v>600</v>
      </c>
      <c r="CD23" s="56"/>
      <c r="CE23" s="56">
        <f t="shared" si="30"/>
        <v>293.83</v>
      </c>
      <c r="CF23" s="56"/>
      <c r="CG23" s="56">
        <f t="shared" si="31"/>
        <v>-306.17</v>
      </c>
    </row>
    <row r="24" spans="2:88" x14ac:dyDescent="0.25">
      <c r="B24" s="55" t="s">
        <v>19</v>
      </c>
      <c r="C24" s="56">
        <v>40</v>
      </c>
      <c r="D24" s="56"/>
      <c r="E24" s="56">
        <f t="array" ref="E24">SUM(IF(data_2019!$B$5:$B$1056="Jan",IF(data_2019!$F$5:$F$1056=$B24,data_2019!$E$5:$E$1056)))</f>
        <v>70.12</v>
      </c>
      <c r="F24" s="56"/>
      <c r="G24" s="56">
        <f t="shared" si="14"/>
        <v>30.120000000000005</v>
      </c>
      <c r="H24" s="47"/>
      <c r="I24" s="56">
        <v>40</v>
      </c>
      <c r="J24" s="56"/>
      <c r="K24" s="56">
        <f t="array" ref="K24">SUM(IF(data_2019!$B$5:$B$943="Feb",IF(data_2019!$F$5:$F$943=$B24,data_2019!$E$5:$E$943)))</f>
        <v>66.54000000000002</v>
      </c>
      <c r="L24" s="56"/>
      <c r="M24" s="56">
        <f t="shared" si="15"/>
        <v>26.54000000000002</v>
      </c>
      <c r="N24" s="47"/>
      <c r="O24" s="56">
        <v>40</v>
      </c>
      <c r="P24" s="56"/>
      <c r="Q24" s="56">
        <f t="array" ref="Q24">SUM(IF(data_2019!$B$5:$B$943="Mar",IF(data_2019!$F$5:$F$943=$B24,data_2019!$E$5:$E$943)))</f>
        <v>106.77000000000001</v>
      </c>
      <c r="R24" s="56"/>
      <c r="S24" s="56">
        <f t="shared" si="16"/>
        <v>66.77000000000001</v>
      </c>
      <c r="T24" s="47"/>
      <c r="U24" s="56">
        <v>40</v>
      </c>
      <c r="V24" s="56"/>
      <c r="W24" s="79">
        <f t="array" ref="W24">SUM(IF(data_2019!$B$5:$B$943="Apr",IF(data_2019!$F$5:$F$943=$B24,data_2019!$E$5:$E$943)))</f>
        <v>137.46000000000006</v>
      </c>
      <c r="X24" s="56"/>
      <c r="Y24" s="56">
        <f t="shared" si="17"/>
        <v>97.460000000000065</v>
      </c>
      <c r="Z24" s="47"/>
      <c r="AA24" s="56">
        <v>40</v>
      </c>
      <c r="AB24" s="56"/>
      <c r="AC24" s="56">
        <f t="array" ref="AC24">SUM(IF(data_2019!$B$5:$B$943="May",IF(data_2019!$F$5:$F$943=$B24,data_2019!$E$5:$E$943)))</f>
        <v>70.950000000000031</v>
      </c>
      <c r="AD24" s="56"/>
      <c r="AE24" s="56">
        <f t="shared" si="18"/>
        <v>30.950000000000031</v>
      </c>
      <c r="AF24" s="47"/>
      <c r="AG24" s="56">
        <v>40</v>
      </c>
      <c r="AH24" s="56"/>
      <c r="AI24" s="56">
        <f t="array" ref="AI24">SUM(IF(data_2019!$B$5:$B$943="Jun",IF(data_2019!$F$5:$F$943=$B24,data_2019!$E$5:$E$943)))</f>
        <v>35.340000000000003</v>
      </c>
      <c r="AJ24" s="56"/>
      <c r="AK24" s="56">
        <f t="shared" si="19"/>
        <v>-4.6599999999999966</v>
      </c>
      <c r="AL24" s="47"/>
      <c r="AM24" s="56">
        <v>40</v>
      </c>
      <c r="AN24" s="56"/>
      <c r="AO24" s="56">
        <f t="array" ref="AO24">SUM(IF(data_2019!$B$5:$B$943="Jul",IF(data_2019!$F$5:$F$943=$B24,data_2019!$E$5:$E$943)))</f>
        <v>77.060000000000016</v>
      </c>
      <c r="AP24" s="56"/>
      <c r="AQ24" s="56">
        <f t="shared" si="20"/>
        <v>37.060000000000016</v>
      </c>
      <c r="AR24" s="47"/>
      <c r="AS24" s="56">
        <v>40</v>
      </c>
      <c r="AT24" s="56"/>
      <c r="AU24" s="56">
        <v>0</v>
      </c>
      <c r="AV24" s="56"/>
      <c r="AW24" s="56">
        <f t="shared" si="21"/>
        <v>-40</v>
      </c>
      <c r="AX24" s="47"/>
      <c r="AY24" s="56">
        <v>40</v>
      </c>
      <c r="AZ24" s="56"/>
      <c r="BA24" s="56">
        <v>0</v>
      </c>
      <c r="BB24" s="56"/>
      <c r="BC24" s="56">
        <f t="shared" si="22"/>
        <v>-40</v>
      </c>
      <c r="BD24" s="47"/>
      <c r="BE24" s="56">
        <v>40</v>
      </c>
      <c r="BF24" s="56"/>
      <c r="BG24" s="56">
        <v>0</v>
      </c>
      <c r="BH24" s="56"/>
      <c r="BI24" s="56">
        <f t="shared" si="23"/>
        <v>-40</v>
      </c>
      <c r="BJ24" s="47"/>
      <c r="BK24" s="56">
        <v>40</v>
      </c>
      <c r="BL24" s="56"/>
      <c r="BM24" s="56">
        <v>0</v>
      </c>
      <c r="BN24" s="56"/>
      <c r="BO24" s="56">
        <f t="shared" si="24"/>
        <v>-40</v>
      </c>
      <c r="BP24" s="47"/>
      <c r="BQ24" s="56">
        <v>40</v>
      </c>
      <c r="BR24" s="56"/>
      <c r="BS24" s="56">
        <v>0</v>
      </c>
      <c r="BT24" s="56"/>
      <c r="BU24" s="56">
        <f t="shared" si="25"/>
        <v>-40</v>
      </c>
      <c r="BV24" s="47"/>
      <c r="BW24" s="56">
        <f t="shared" si="26"/>
        <v>440</v>
      </c>
      <c r="BX24" s="56"/>
      <c r="BY24" s="56">
        <f t="shared" si="27"/>
        <v>564.24000000000024</v>
      </c>
      <c r="BZ24" s="56"/>
      <c r="CA24" s="56">
        <f t="shared" si="28"/>
        <v>124.24000000000024</v>
      </c>
      <c r="CB24" s="47"/>
      <c r="CC24" s="56">
        <f t="shared" si="29"/>
        <v>480</v>
      </c>
      <c r="CD24" s="56"/>
      <c r="CE24" s="56">
        <f t="shared" si="30"/>
        <v>564.24000000000024</v>
      </c>
      <c r="CF24" s="56"/>
      <c r="CG24" s="56">
        <f t="shared" si="31"/>
        <v>84.240000000000236</v>
      </c>
    </row>
    <row r="25" spans="2:88" x14ac:dyDescent="0.25">
      <c r="B25" s="55" t="s">
        <v>20</v>
      </c>
      <c r="C25" s="56">
        <v>300</v>
      </c>
      <c r="D25" s="56"/>
      <c r="E25" s="56">
        <f t="array" ref="E25">SUM(IF(data_2019!$B$5:$B$1056="Jan",IF(data_2019!$F$5:$F$1056=$B25,data_2019!$E$5:$E$1056)))</f>
        <v>568.33000000000004</v>
      </c>
      <c r="F25" s="56"/>
      <c r="G25" s="56">
        <f t="shared" si="14"/>
        <v>268.33000000000004</v>
      </c>
      <c r="H25" s="47"/>
      <c r="I25" s="56">
        <f>100+150</f>
        <v>250</v>
      </c>
      <c r="J25" s="56"/>
      <c r="K25" s="79">
        <f t="array" ref="K25">SUM(IF(data_2019!$B$5:$B$943="Feb",IF(data_2019!$F$5:$F$943=$B25,data_2019!$E$5:$E$943)))</f>
        <v>493.27</v>
      </c>
      <c r="L25" s="56"/>
      <c r="M25" s="56">
        <f t="shared" si="15"/>
        <v>243.26999999999998</v>
      </c>
      <c r="N25" s="47"/>
      <c r="O25" s="56">
        <f>100+200+130+N("Aventura Eye bill due in March during follow-up exam in Weston")</f>
        <v>430</v>
      </c>
      <c r="P25" s="56"/>
      <c r="Q25" s="56">
        <f t="array" ref="Q25">SUM(IF(data_2019!$B$5:$B$943="Mar",IF(data_2019!$F$5:$F$943=$B25,data_2019!$E$5:$E$943)))</f>
        <v>469.4</v>
      </c>
      <c r="R25" s="56"/>
      <c r="S25" s="56">
        <f t="shared" si="16"/>
        <v>39.399999999999977</v>
      </c>
      <c r="T25" s="47"/>
      <c r="U25" s="147">
        <f>100+300</f>
        <v>400</v>
      </c>
      <c r="V25" s="56"/>
      <c r="W25" s="56">
        <f t="array" ref="W25">SUM(IF(data_2019!$B$5:$B$943="Apr",IF(data_2019!$F$5:$F$943=$B25,data_2019!$E$5:$E$943)))</f>
        <v>273.29000000000008</v>
      </c>
      <c r="X25" s="56"/>
      <c r="Y25" s="56">
        <f t="shared" si="17"/>
        <v>-126.70999999999992</v>
      </c>
      <c r="Z25" s="47"/>
      <c r="AA25" s="56">
        <v>100</v>
      </c>
      <c r="AB25" s="56"/>
      <c r="AC25" s="56">
        <f t="array" ref="AC25">SUM(IF(data_2019!$B$5:$B$943="May",IF(data_2019!$F$5:$F$943=$B25,data_2019!$E$5:$E$943)))</f>
        <v>560.62</v>
      </c>
      <c r="AD25" s="56"/>
      <c r="AE25" s="56">
        <f t="shared" si="18"/>
        <v>460.62</v>
      </c>
      <c r="AF25" s="47"/>
      <c r="AG25" s="56">
        <v>100</v>
      </c>
      <c r="AH25" s="56"/>
      <c r="AI25" s="56">
        <f t="array" ref="AI25">SUM(IF(data_2019!$B$5:$B$943="Jun",IF(data_2019!$F$5:$F$943=$B25,data_2019!$E$5:$E$943)))</f>
        <v>80.58</v>
      </c>
      <c r="AJ25" s="56"/>
      <c r="AK25" s="56">
        <f t="shared" si="19"/>
        <v>-19.420000000000002</v>
      </c>
      <c r="AL25" s="47"/>
      <c r="AM25" s="86">
        <f>100+300</f>
        <v>400</v>
      </c>
      <c r="AN25" s="56"/>
      <c r="AO25" s="56">
        <f t="array" ref="AO25">SUM(IF(data_2019!$B$5:$B$943="Jul",IF(data_2019!$F$5:$F$943=$B25,data_2019!$E$5:$E$943)))</f>
        <v>698.81999999999994</v>
      </c>
      <c r="AP25" s="56"/>
      <c r="AQ25" s="56">
        <f t="shared" si="20"/>
        <v>298.81999999999994</v>
      </c>
      <c r="AR25" s="47"/>
      <c r="AS25" s="56">
        <v>100</v>
      </c>
      <c r="AT25" s="56"/>
      <c r="AU25" s="56">
        <v>0</v>
      </c>
      <c r="AV25" s="56"/>
      <c r="AW25" s="56">
        <f t="shared" si="21"/>
        <v>-100</v>
      </c>
      <c r="AX25" s="47"/>
      <c r="AY25" s="56">
        <v>100</v>
      </c>
      <c r="AZ25" s="56"/>
      <c r="BA25" s="56">
        <v>0</v>
      </c>
      <c r="BB25" s="56"/>
      <c r="BC25" s="56">
        <f t="shared" si="22"/>
        <v>-100</v>
      </c>
      <c r="BD25" s="47"/>
      <c r="BE25" s="56">
        <v>100</v>
      </c>
      <c r="BF25" s="56"/>
      <c r="BG25" s="56">
        <v>0</v>
      </c>
      <c r="BH25" s="56"/>
      <c r="BI25" s="56">
        <f t="shared" si="23"/>
        <v>-100</v>
      </c>
      <c r="BJ25" s="47"/>
      <c r="BK25" s="56">
        <v>100</v>
      </c>
      <c r="BL25" s="56"/>
      <c r="BM25" s="56">
        <v>0</v>
      </c>
      <c r="BN25" s="56"/>
      <c r="BO25" s="56">
        <f t="shared" si="24"/>
        <v>-100</v>
      </c>
      <c r="BP25" s="47"/>
      <c r="BQ25" s="56">
        <v>100</v>
      </c>
      <c r="BR25" s="56"/>
      <c r="BS25" s="56">
        <v>0</v>
      </c>
      <c r="BT25" s="56"/>
      <c r="BU25" s="56">
        <f t="shared" si="25"/>
        <v>-100</v>
      </c>
      <c r="BV25" s="47"/>
      <c r="BW25" s="56">
        <f t="shared" si="26"/>
        <v>2380</v>
      </c>
      <c r="BX25" s="56"/>
      <c r="BY25" s="56">
        <f t="shared" si="27"/>
        <v>3144.3099999999995</v>
      </c>
      <c r="BZ25" s="56"/>
      <c r="CA25" s="56">
        <f t="shared" si="28"/>
        <v>764.30999999999949</v>
      </c>
      <c r="CB25" s="47"/>
      <c r="CC25" s="56">
        <f t="shared" si="29"/>
        <v>2480</v>
      </c>
      <c r="CD25" s="56"/>
      <c r="CE25" s="56">
        <f t="shared" si="30"/>
        <v>3144.3099999999995</v>
      </c>
      <c r="CF25" s="56"/>
      <c r="CG25" s="56">
        <f t="shared" si="31"/>
        <v>664.30999999999949</v>
      </c>
    </row>
    <row r="26" spans="2:88" x14ac:dyDescent="0.25">
      <c r="B26" s="55" t="s">
        <v>736</v>
      </c>
      <c r="C26" s="56">
        <v>0</v>
      </c>
      <c r="D26" s="56"/>
      <c r="E26" s="56">
        <f t="array" ref="E26">SUM(IF(data_2019!$B$5:$B$1056="Jan",IF(data_2019!$F$5:$F$1056=$B26,data_2019!$E$5:$E$1056)))</f>
        <v>0</v>
      </c>
      <c r="F26" s="56"/>
      <c r="G26" s="56">
        <f t="shared" ref="G26" si="32">E26-C26</f>
        <v>0</v>
      </c>
      <c r="H26" s="47"/>
      <c r="I26" s="56">
        <v>0</v>
      </c>
      <c r="J26" s="56"/>
      <c r="K26" s="79">
        <f t="array" ref="K26">SUM(IF(data_2019!$B$5:$B$943="Feb",IF(data_2019!$F$5:$F$943=$B26,data_2019!$E$5:$E$943)))</f>
        <v>2218.1800000000003</v>
      </c>
      <c r="L26" s="56"/>
      <c r="M26" s="56">
        <f t="shared" ref="M26" si="33">K26-I26</f>
        <v>2218.1800000000003</v>
      </c>
      <c r="N26" s="47"/>
      <c r="O26" s="56">
        <v>0</v>
      </c>
      <c r="P26" s="56"/>
      <c r="Q26" s="56">
        <f t="array" ref="Q26">SUM(IF(data_2019!$B$5:$B$943="Mar",IF(data_2019!$F$5:$F$943=$B26,data_2019!$E$5:$E$943)))</f>
        <v>30.01</v>
      </c>
      <c r="R26" s="56"/>
      <c r="S26" s="56">
        <f t="shared" ref="S26" si="34">Q26-O26</f>
        <v>30.01</v>
      </c>
      <c r="T26" s="47"/>
      <c r="U26" s="56">
        <v>0</v>
      </c>
      <c r="V26" s="56"/>
      <c r="W26" s="56">
        <f t="array" ref="W26">SUM(IF(data_2019!$B$5:$B$943="Apr",IF(data_2019!$F$5:$F$943=$B26,data_2019!$E$5:$E$943)))</f>
        <v>132.44999999999999</v>
      </c>
      <c r="X26" s="56"/>
      <c r="Y26" s="56">
        <f t="shared" ref="Y26" si="35">W26-U26</f>
        <v>132.44999999999999</v>
      </c>
      <c r="Z26" s="47"/>
      <c r="AA26" s="56">
        <v>0</v>
      </c>
      <c r="AB26" s="56"/>
      <c r="AC26" s="56">
        <f t="array" ref="AC26">SUM(IF(data_2019!$B$5:$B$943="May",IF(data_2019!$F$5:$F$943=$B26,data_2019!$E$5:$E$943)))</f>
        <v>35.229999999999997</v>
      </c>
      <c r="AD26" s="56"/>
      <c r="AE26" s="56">
        <f t="shared" ref="AE26" si="36">AC26-AA26</f>
        <v>35.229999999999997</v>
      </c>
      <c r="AF26" s="47"/>
      <c r="AG26" s="56">
        <v>0</v>
      </c>
      <c r="AH26" s="56"/>
      <c r="AI26" s="56">
        <f t="array" ref="AI26">SUM(IF(data_2019!$B$5:$B$943="Jun",IF(data_2019!$F$5:$F$943=$B26,data_2019!$E$5:$E$943)))</f>
        <v>30.91</v>
      </c>
      <c r="AJ26" s="56"/>
      <c r="AK26" s="56">
        <f t="shared" ref="AK26" si="37">AI26-AG26</f>
        <v>30.91</v>
      </c>
      <c r="AL26" s="47"/>
      <c r="AM26" s="56">
        <v>0</v>
      </c>
      <c r="AN26" s="56"/>
      <c r="AO26" s="56">
        <f t="array" ref="AO26">SUM(IF(data_2019!$B$5:$B$943="Jul",IF(data_2019!$F$5:$F$943=$B26,data_2019!$E$5:$E$943)))</f>
        <v>0</v>
      </c>
      <c r="AP26" s="56"/>
      <c r="AQ26" s="56">
        <f t="shared" ref="AQ26" si="38">AO26-AM26</f>
        <v>0</v>
      </c>
      <c r="AR26" s="47"/>
      <c r="AS26" s="56">
        <v>0</v>
      </c>
      <c r="AT26" s="56"/>
      <c r="AU26" s="56">
        <v>0</v>
      </c>
      <c r="AV26" s="56"/>
      <c r="AW26" s="56">
        <f t="shared" ref="AW26" si="39">AU26-AS26</f>
        <v>0</v>
      </c>
      <c r="AX26" s="47"/>
      <c r="AY26" s="56">
        <v>0</v>
      </c>
      <c r="AZ26" s="56"/>
      <c r="BA26" s="56">
        <v>0</v>
      </c>
      <c r="BB26" s="56"/>
      <c r="BC26" s="56">
        <f t="shared" ref="BC26" si="40">BA26-AY26</f>
        <v>0</v>
      </c>
      <c r="BD26" s="47"/>
      <c r="BE26" s="56">
        <v>0</v>
      </c>
      <c r="BF26" s="56"/>
      <c r="BG26" s="56">
        <v>0</v>
      </c>
      <c r="BH26" s="56"/>
      <c r="BI26" s="56">
        <f t="shared" ref="BI26" si="41">BG26-BE26</f>
        <v>0</v>
      </c>
      <c r="BJ26" s="47"/>
      <c r="BK26" s="56">
        <v>0</v>
      </c>
      <c r="BL26" s="56"/>
      <c r="BM26" s="56">
        <v>0</v>
      </c>
      <c r="BN26" s="56"/>
      <c r="BO26" s="56">
        <f t="shared" ref="BO26" si="42">BM26-BK26</f>
        <v>0</v>
      </c>
      <c r="BP26" s="47"/>
      <c r="BQ26" s="56">
        <v>0</v>
      </c>
      <c r="BR26" s="56"/>
      <c r="BS26" s="56">
        <v>0</v>
      </c>
      <c r="BT26" s="56"/>
      <c r="BU26" s="56">
        <f t="shared" ref="BU26" si="43">BS26-BQ26</f>
        <v>0</v>
      </c>
      <c r="BV26" s="47"/>
      <c r="BW26" s="56">
        <f t="shared" ref="BW26" si="44">CHOOSE($CK$7,C26,(C26+I26),(C26+I26+O26),(C26+I26+O26+U26),(C26+I26+O26+U26+AA26),(C26+I26+O26+U26++AG26),(C26+I26+O26+U26+AA26+AG26+AM26),(C26+I26+O26+U26+AA26+AG26+AM26+AS26),(C26+I26+O26+U26+AA26+AG26+AM26+AS26+AY26),(C26+I26+O26+U26+AA26+AG26+AM26+AS26+AY26+BE26),(C26+I26+O26+U26+AA26+AG26+AM26+AS26+AY26+BE26+BK26),(C26+I26+O26+U26+AA26+AG26+AM26+AS26+AY26+BE26+BK26+BQ26))</f>
        <v>0</v>
      </c>
      <c r="BX26" s="56"/>
      <c r="BY26" s="56">
        <f t="shared" ref="BY26" si="45">CHOOSE($CK$7,E26,(E26+K26),(E26+K26+Q26),(E26+K26+Q26+W26),(E26+K26+Q26+W26+AC26),(E26+K26+Q26+W26++AI26),(E26+K26+Q26+W26+AC26+AI26+AO26),(E26+K26+Q26+W26+AC26+AI26+AO26+AU26),(E26+K26+Q26+W26+AC26+AI26+AO26+AU26+BA26),(E26+K26+Q26+W26+AC26+AI26+AO26+AU26+BA26+BG26),(E26+K26+Q26+W26+AC26+AI26+AO26+AU26+BA26+BG26+BM26),(E26+K26+Q26+W26+AC26+AI26+AO26+AU26+BA26+BG26+BM26+BS26))</f>
        <v>2446.7800000000002</v>
      </c>
      <c r="BZ26" s="56"/>
      <c r="CA26" s="56">
        <f t="shared" ref="CA26" si="46">BY26-BW26</f>
        <v>2446.7800000000002</v>
      </c>
      <c r="CB26" s="47"/>
      <c r="CC26" s="56">
        <f t="shared" ref="CC26" si="47">C26+I26+O26+U26+AA26+AG26+AM26+AS26+AY26+BE26+BK26+BQ26</f>
        <v>0</v>
      </c>
      <c r="CD26" s="56"/>
      <c r="CE26" s="56">
        <f t="shared" ref="CE26" si="48">E26+K26+Q26+W26+AC26+AI26+AO26+AU26+BA26+BG26+BM26+BS26</f>
        <v>2446.7800000000002</v>
      </c>
      <c r="CF26" s="56"/>
      <c r="CG26" s="56">
        <f t="shared" ref="CG26" si="49">CE26-CC26</f>
        <v>2446.7800000000002</v>
      </c>
    </row>
    <row r="27" spans="2:88" x14ac:dyDescent="0.25">
      <c r="B27" s="55" t="s">
        <v>754</v>
      </c>
      <c r="C27" s="56">
        <v>0</v>
      </c>
      <c r="D27" s="56"/>
      <c r="E27" s="56">
        <f t="array" ref="E27">SUM(IF(data_2019!$B$5:$B$1056="Jan",IF(data_2019!$F$5:$F$1056=$B27,data_2019!$E$5:$E$1056)))</f>
        <v>128.97</v>
      </c>
      <c r="F27" s="56"/>
      <c r="G27" s="56">
        <f t="shared" ref="G27" si="50">E27-C27</f>
        <v>128.97</v>
      </c>
      <c r="H27" s="47"/>
      <c r="I27" s="56">
        <v>0</v>
      </c>
      <c r="J27" s="56"/>
      <c r="K27" s="56">
        <f t="array" ref="K27">SUM(IF(data_2019!$B$5:$B$943="Feb",IF(data_2019!$F$5:$F$943=$B27,data_2019!$E$5:$E$943)))</f>
        <v>53.31</v>
      </c>
      <c r="L27" s="56"/>
      <c r="M27" s="56">
        <f t="shared" ref="M27" si="51">K27-I27</f>
        <v>53.31</v>
      </c>
      <c r="N27" s="47"/>
      <c r="O27" s="56">
        <v>0</v>
      </c>
      <c r="P27" s="56"/>
      <c r="Q27" s="79">
        <f t="array" ref="Q27">SUM(IF(data_2019!$B$5:$B$943="Mar",IF(data_2019!$F$5:$F$943=$B27,data_2019!$E$5:$E$943)))</f>
        <v>999.29</v>
      </c>
      <c r="R27" s="56"/>
      <c r="S27" s="56">
        <f t="shared" ref="S27" si="52">Q27-O27</f>
        <v>999.29</v>
      </c>
      <c r="T27" s="47"/>
      <c r="U27" s="56">
        <v>0</v>
      </c>
      <c r="V27" s="56"/>
      <c r="W27" s="79">
        <f t="array" ref="W27">SUM(IF(data_2019!$B$5:$B$943="Apr",IF(data_2019!$F$5:$F$943=$B27,data_2019!$E$5:$E$943)))</f>
        <v>532.35</v>
      </c>
      <c r="X27" s="56"/>
      <c r="Y27" s="56">
        <f t="shared" ref="Y27" si="53">W27-U27</f>
        <v>532.35</v>
      </c>
      <c r="Z27" s="47"/>
      <c r="AA27" s="56">
        <v>0</v>
      </c>
      <c r="AB27" s="56"/>
      <c r="AC27" s="56">
        <f t="array" ref="AC27">SUM(IF(data_2019!$B$5:$B$943="May",IF(data_2019!$F$5:$F$943=$B27,data_2019!$E$5:$E$943)))</f>
        <v>7.7600000000000122</v>
      </c>
      <c r="AD27" s="56"/>
      <c r="AE27" s="56">
        <f t="shared" ref="AE27" si="54">AC27-AA27</f>
        <v>7.7600000000000122</v>
      </c>
      <c r="AF27" s="47"/>
      <c r="AG27" s="56">
        <v>0</v>
      </c>
      <c r="AH27" s="56"/>
      <c r="AI27" s="56">
        <f t="array" ref="AI27">SUM(IF(data_2019!$B$5:$B$943="Jun",IF(data_2019!$F$5:$F$943=$B27,data_2019!$E$5:$E$943)))</f>
        <v>316.15000000000003</v>
      </c>
      <c r="AJ27" s="56"/>
      <c r="AK27" s="56">
        <f t="shared" ref="AK27" si="55">AI27-AG27</f>
        <v>316.15000000000003</v>
      </c>
      <c r="AL27" s="47"/>
      <c r="AM27" s="56">
        <v>0</v>
      </c>
      <c r="AN27" s="56"/>
      <c r="AO27" s="56">
        <f t="array" ref="AO27">SUM(IF(data_2019!$B$5:$B$943="Jul",IF(data_2019!$F$5:$F$943=$B27,data_2019!$E$5:$E$943)))</f>
        <v>245.46</v>
      </c>
      <c r="AP27" s="56"/>
      <c r="AQ27" s="56">
        <f t="shared" ref="AQ27" si="56">AO27-AM27</f>
        <v>245.46</v>
      </c>
      <c r="AR27" s="47"/>
      <c r="AS27" s="56">
        <v>0</v>
      </c>
      <c r="AT27" s="56"/>
      <c r="AU27" s="56">
        <v>0</v>
      </c>
      <c r="AV27" s="56"/>
      <c r="AW27" s="56">
        <f t="shared" ref="AW27" si="57">AU27-AS27</f>
        <v>0</v>
      </c>
      <c r="AX27" s="47"/>
      <c r="AY27" s="56">
        <v>0</v>
      </c>
      <c r="AZ27" s="56"/>
      <c r="BA27" s="56">
        <v>0</v>
      </c>
      <c r="BB27" s="56"/>
      <c r="BC27" s="56">
        <f t="shared" ref="BC27" si="58">BA27-AY27</f>
        <v>0</v>
      </c>
      <c r="BD27" s="47"/>
      <c r="BE27" s="56">
        <v>0</v>
      </c>
      <c r="BF27" s="56"/>
      <c r="BG27" s="56">
        <v>0</v>
      </c>
      <c r="BH27" s="56"/>
      <c r="BI27" s="56">
        <f t="shared" ref="BI27" si="59">BG27-BE27</f>
        <v>0</v>
      </c>
      <c r="BJ27" s="47"/>
      <c r="BK27" s="56">
        <v>0</v>
      </c>
      <c r="BL27" s="56"/>
      <c r="BM27" s="56">
        <v>0</v>
      </c>
      <c r="BN27" s="56"/>
      <c r="BO27" s="56">
        <f t="shared" ref="BO27" si="60">BM27-BK27</f>
        <v>0</v>
      </c>
      <c r="BP27" s="47"/>
      <c r="BQ27" s="56">
        <v>0</v>
      </c>
      <c r="BR27" s="56"/>
      <c r="BS27" s="56">
        <v>0</v>
      </c>
      <c r="BT27" s="56"/>
      <c r="BU27" s="56">
        <f t="shared" ref="BU27" si="61">BS27-BQ27</f>
        <v>0</v>
      </c>
      <c r="BV27" s="47"/>
      <c r="BW27" s="56">
        <f t="shared" ref="BW27" si="62">CHOOSE($CK$7,C27,(C27+I27),(C27+I27+O27),(C27+I27+O27+U27),(C27+I27+O27+U27+AA27),(C27+I27+O27+U27++AG27),(C27+I27+O27+U27+AA27+AG27+AM27),(C27+I27+O27+U27+AA27+AG27+AM27+AS27),(C27+I27+O27+U27+AA27+AG27+AM27+AS27+AY27),(C27+I27+O27+U27+AA27+AG27+AM27+AS27+AY27+BE27),(C27+I27+O27+U27+AA27+AG27+AM27+AS27+AY27+BE27+BK27),(C27+I27+O27+U27+AA27+AG27+AM27+AS27+AY27+BE27+BK27+BQ27))</f>
        <v>0</v>
      </c>
      <c r="BX27" s="56"/>
      <c r="BY27" s="56">
        <f t="shared" ref="BY27" si="63">CHOOSE($CK$7,E27,(E27+K27),(E27+K27+Q27),(E27+K27+Q27+W27),(E27+K27+Q27+W27+AC27),(E27+K27+Q27+W27++AI27),(E27+K27+Q27+W27+AC27+AI27+AO27),(E27+K27+Q27+W27+AC27+AI27+AO27+AU27),(E27+K27+Q27+W27+AC27+AI27+AO27+AU27+BA27),(E27+K27+Q27+W27+AC27+AI27+AO27+AU27+BA27+BG27),(E27+K27+Q27+W27+AC27+AI27+AO27+AU27+BA27+BG27+BM27),(E27+K27+Q27+W27+AC27+AI27+AO27+AU27+BA27+BG27+BM27+BS27))</f>
        <v>2283.29</v>
      </c>
      <c r="BZ27" s="56"/>
      <c r="CA27" s="56">
        <f t="shared" ref="CA27" si="64">BY27-BW27</f>
        <v>2283.29</v>
      </c>
      <c r="CB27" s="47"/>
      <c r="CC27" s="56">
        <f t="shared" ref="CC27" si="65">C27+I27+O27+U27+AA27+AG27+AM27+AS27+AY27+BE27+BK27+BQ27</f>
        <v>0</v>
      </c>
      <c r="CD27" s="56"/>
      <c r="CE27" s="56">
        <f t="shared" ref="CE27" si="66">E27+K27+Q27+W27+AC27+AI27+AO27+AU27+BA27+BG27+BM27+BS27</f>
        <v>2283.29</v>
      </c>
      <c r="CF27" s="56"/>
      <c r="CG27" s="56">
        <f t="shared" ref="CG27" si="67">CE27-CC27</f>
        <v>2283.29</v>
      </c>
    </row>
    <row r="28" spans="2:88" x14ac:dyDescent="0.25">
      <c r="B28" s="55" t="s">
        <v>21</v>
      </c>
      <c r="C28" s="56">
        <v>100</v>
      </c>
      <c r="D28" s="56"/>
      <c r="E28" s="56">
        <f t="array" ref="E28">SUM(IF(data_2019!$B$5:$B$1056="Jan",IF(data_2019!$F$5:$F$1056=$B28,data_2019!$E$5:$E$1056)))</f>
        <v>251.59</v>
      </c>
      <c r="F28" s="56"/>
      <c r="G28" s="56">
        <f t="shared" si="14"/>
        <v>151.59</v>
      </c>
      <c r="H28" s="47"/>
      <c r="I28" s="56">
        <v>100</v>
      </c>
      <c r="J28" s="56"/>
      <c r="K28" s="56">
        <f t="array" ref="K28">SUM(IF(data_2019!$B$5:$B$943="Feb",IF(data_2019!$F$5:$F$943=$B28,data_2019!$E$5:$E$943)))</f>
        <v>116.39</v>
      </c>
      <c r="L28" s="56"/>
      <c r="M28" s="56">
        <f t="shared" si="15"/>
        <v>16.39</v>
      </c>
      <c r="N28" s="47"/>
      <c r="O28" s="56">
        <v>100</v>
      </c>
      <c r="P28" s="56"/>
      <c r="Q28" s="56">
        <f t="array" ref="Q28">SUM(IF(data_2019!$B$5:$B$943="Mar",IF(data_2019!$F$5:$F$943=$B28,data_2019!$E$5:$E$943)))</f>
        <v>210.77000000000004</v>
      </c>
      <c r="R28" s="56"/>
      <c r="S28" s="56">
        <f t="shared" si="16"/>
        <v>110.77000000000004</v>
      </c>
      <c r="T28" s="47"/>
      <c r="U28" s="56">
        <v>100</v>
      </c>
      <c r="V28" s="56"/>
      <c r="W28" s="56">
        <f t="array" ref="W28">SUM(IF(data_2019!$B$5:$B$943="Apr",IF(data_2019!$F$5:$F$943=$B28,data_2019!$E$5:$E$943)))</f>
        <v>221.2</v>
      </c>
      <c r="X28" s="56"/>
      <c r="Y28" s="56">
        <f t="shared" si="17"/>
        <v>121.19999999999999</v>
      </c>
      <c r="Z28" s="47"/>
      <c r="AA28" s="56">
        <v>100</v>
      </c>
      <c r="AB28" s="56"/>
      <c r="AC28" s="56">
        <f t="array" ref="AC28">SUM(IF(data_2019!$B$5:$B$943="May",IF(data_2019!$F$5:$F$943=$B28,data_2019!$E$5:$E$943)))</f>
        <v>691.4319999999999</v>
      </c>
      <c r="AD28" s="56"/>
      <c r="AE28" s="56">
        <f t="shared" si="18"/>
        <v>591.4319999999999</v>
      </c>
      <c r="AF28" s="47"/>
      <c r="AG28" s="56">
        <v>100</v>
      </c>
      <c r="AH28" s="56"/>
      <c r="AI28" s="56">
        <f t="array" ref="AI28">SUM(IF(data_2019!$B$5:$B$943="Jun",IF(data_2019!$F$5:$F$943=$B28,data_2019!$E$5:$E$943)))</f>
        <v>70.39</v>
      </c>
      <c r="AJ28" s="56"/>
      <c r="AK28" s="56">
        <f t="shared" si="19"/>
        <v>-29.61</v>
      </c>
      <c r="AL28" s="47"/>
      <c r="AM28" s="56">
        <v>100</v>
      </c>
      <c r="AN28" s="56"/>
      <c r="AO28" s="56">
        <f t="array" ref="AO28">SUM(IF(data_2019!$B$5:$B$943="Jul",IF(data_2019!$F$5:$F$943=$B28,data_2019!$E$5:$E$943)))</f>
        <v>215.36</v>
      </c>
      <c r="AP28" s="56"/>
      <c r="AQ28" s="56">
        <f t="shared" si="20"/>
        <v>115.36000000000001</v>
      </c>
      <c r="AR28" s="47"/>
      <c r="AS28" s="56">
        <v>100</v>
      </c>
      <c r="AT28" s="56"/>
      <c r="AU28" s="56">
        <v>0</v>
      </c>
      <c r="AV28" s="56"/>
      <c r="AW28" s="56">
        <f t="shared" si="21"/>
        <v>-100</v>
      </c>
      <c r="AX28" s="47"/>
      <c r="AY28" s="56">
        <v>100</v>
      </c>
      <c r="AZ28" s="56"/>
      <c r="BA28" s="56">
        <v>0</v>
      </c>
      <c r="BB28" s="56"/>
      <c r="BC28" s="56">
        <f t="shared" si="22"/>
        <v>-100</v>
      </c>
      <c r="BD28" s="47"/>
      <c r="BE28" s="56">
        <v>100</v>
      </c>
      <c r="BF28" s="56"/>
      <c r="BG28" s="56">
        <v>0</v>
      </c>
      <c r="BH28" s="56"/>
      <c r="BI28" s="56">
        <f t="shared" si="23"/>
        <v>-100</v>
      </c>
      <c r="BJ28" s="47"/>
      <c r="BK28" s="56">
        <v>100</v>
      </c>
      <c r="BL28" s="56"/>
      <c r="BM28" s="56">
        <v>0</v>
      </c>
      <c r="BN28" s="56"/>
      <c r="BO28" s="56">
        <f t="shared" si="24"/>
        <v>-100</v>
      </c>
      <c r="BP28" s="47"/>
      <c r="BQ28" s="56">
        <v>100</v>
      </c>
      <c r="BR28" s="56"/>
      <c r="BS28" s="56">
        <v>0</v>
      </c>
      <c r="BT28" s="56"/>
      <c r="BU28" s="56">
        <f t="shared" si="25"/>
        <v>-100</v>
      </c>
      <c r="BV28" s="47"/>
      <c r="BW28" s="56">
        <f t="shared" si="26"/>
        <v>1100</v>
      </c>
      <c r="BX28" s="56"/>
      <c r="BY28" s="56">
        <f t="shared" si="27"/>
        <v>1777.1320000000001</v>
      </c>
      <c r="BZ28" s="56"/>
      <c r="CA28" s="56">
        <f t="shared" si="28"/>
        <v>677.13200000000006</v>
      </c>
      <c r="CB28" s="47"/>
      <c r="CC28" s="56">
        <f t="shared" si="29"/>
        <v>1200</v>
      </c>
      <c r="CD28" s="56"/>
      <c r="CE28" s="56">
        <f t="shared" si="30"/>
        <v>1777.1320000000001</v>
      </c>
      <c r="CF28" s="56"/>
      <c r="CG28" s="56">
        <f t="shared" si="31"/>
        <v>577.13200000000006</v>
      </c>
    </row>
    <row r="29" spans="2:88" x14ac:dyDescent="0.25">
      <c r="B29" s="55" t="s">
        <v>22</v>
      </c>
      <c r="C29" s="56">
        <v>300</v>
      </c>
      <c r="D29" s="56"/>
      <c r="E29" s="56">
        <f t="array" ref="E29">SUM(IF(data_2019!$B$5:$B$1056="Jan",IF(data_2019!$F$5:$F$1056=$B29,data_2019!$E$5:$E$1056)))</f>
        <v>0</v>
      </c>
      <c r="F29" s="56"/>
      <c r="G29" s="56">
        <f t="shared" si="14"/>
        <v>-300</v>
      </c>
      <c r="H29" s="47"/>
      <c r="I29" s="56">
        <v>300</v>
      </c>
      <c r="J29" s="56"/>
      <c r="K29" s="56">
        <f t="array" ref="K29">SUM(IF(data_2019!$B$5:$B$943="Feb",IF(data_2019!$F$5:$F$943=$B29,data_2019!$E$5:$E$943)))</f>
        <v>0</v>
      </c>
      <c r="L29" s="56"/>
      <c r="M29" s="56">
        <f t="shared" si="15"/>
        <v>-300</v>
      </c>
      <c r="N29" s="47"/>
      <c r="O29" s="56">
        <v>300</v>
      </c>
      <c r="P29" s="56"/>
      <c r="Q29" s="56">
        <f t="array" ref="Q29">SUM(IF(data_2019!$B$5:$B$943="Mar",IF(data_2019!$F$5:$F$943=$B29,data_2019!$E$5:$E$943)))</f>
        <v>0</v>
      </c>
      <c r="R29" s="56"/>
      <c r="S29" s="56">
        <f t="shared" si="16"/>
        <v>-300</v>
      </c>
      <c r="T29" s="47"/>
      <c r="U29" s="56">
        <v>300</v>
      </c>
      <c r="V29" s="56"/>
      <c r="W29" s="56">
        <f t="array" ref="W29">SUM(IF(data_2019!$B$5:$B$943="Apr",IF(data_2019!$F$5:$F$943=$B29,data_2019!$E$5:$E$943)))</f>
        <v>0</v>
      </c>
      <c r="X29" s="56"/>
      <c r="Y29" s="56">
        <f t="shared" si="17"/>
        <v>-300</v>
      </c>
      <c r="Z29" s="47"/>
      <c r="AA29" s="56">
        <v>300</v>
      </c>
      <c r="AB29" s="56"/>
      <c r="AC29" s="56">
        <f t="array" ref="AC29">SUM(IF(data_2019!$B$5:$B$943="May",IF(data_2019!$F$5:$F$943=$B29,data_2019!$E$5:$E$943)))</f>
        <v>0</v>
      </c>
      <c r="AD29" s="56"/>
      <c r="AE29" s="56">
        <f t="shared" si="18"/>
        <v>-300</v>
      </c>
      <c r="AF29" s="47"/>
      <c r="AG29" s="56">
        <v>300</v>
      </c>
      <c r="AH29" s="56"/>
      <c r="AI29" s="56">
        <f t="array" ref="AI29">SUM(IF(data_2019!$B$5:$B$943="Jun",IF(data_2019!$F$5:$F$943=$B29,data_2019!$E$5:$E$943)))</f>
        <v>0</v>
      </c>
      <c r="AJ29" s="56"/>
      <c r="AK29" s="56">
        <f t="shared" si="19"/>
        <v>-300</v>
      </c>
      <c r="AL29" s="47"/>
      <c r="AM29" s="56">
        <v>300</v>
      </c>
      <c r="AN29" s="56"/>
      <c r="AO29" s="56">
        <f t="array" ref="AO29">SUM(IF(data_2019!$B$5:$B$943="Jul",IF(data_2019!$F$5:$F$943=$B29,data_2019!$E$5:$E$943)))</f>
        <v>0</v>
      </c>
      <c r="AP29" s="56"/>
      <c r="AQ29" s="56">
        <f t="shared" si="20"/>
        <v>-300</v>
      </c>
      <c r="AR29" s="47"/>
      <c r="AS29" s="56">
        <v>300</v>
      </c>
      <c r="AT29" s="56"/>
      <c r="AU29" s="56">
        <v>0</v>
      </c>
      <c r="AV29" s="56"/>
      <c r="AW29" s="56">
        <f t="shared" si="21"/>
        <v>-300</v>
      </c>
      <c r="AX29" s="47"/>
      <c r="AY29" s="56">
        <v>300</v>
      </c>
      <c r="AZ29" s="56"/>
      <c r="BA29" s="56">
        <v>0</v>
      </c>
      <c r="BB29" s="56"/>
      <c r="BC29" s="56">
        <f t="shared" si="22"/>
        <v>-300</v>
      </c>
      <c r="BD29" s="47"/>
      <c r="BE29" s="56">
        <v>300</v>
      </c>
      <c r="BF29" s="56"/>
      <c r="BG29" s="56">
        <v>0</v>
      </c>
      <c r="BH29" s="56"/>
      <c r="BI29" s="56">
        <f t="shared" si="23"/>
        <v>-300</v>
      </c>
      <c r="BJ29" s="47"/>
      <c r="BK29" s="56">
        <v>300</v>
      </c>
      <c r="BL29" s="56"/>
      <c r="BM29" s="56">
        <v>0</v>
      </c>
      <c r="BN29" s="56"/>
      <c r="BO29" s="56">
        <f t="shared" si="24"/>
        <v>-300</v>
      </c>
      <c r="BP29" s="47"/>
      <c r="BQ29" s="56">
        <v>300</v>
      </c>
      <c r="BR29" s="56"/>
      <c r="BS29" s="56">
        <v>0</v>
      </c>
      <c r="BT29" s="56"/>
      <c r="BU29" s="56">
        <f t="shared" si="25"/>
        <v>-300</v>
      </c>
      <c r="BV29" s="47"/>
      <c r="BW29" s="56">
        <f t="shared" si="26"/>
        <v>3300</v>
      </c>
      <c r="BX29" s="56"/>
      <c r="BY29" s="56">
        <f t="shared" si="27"/>
        <v>0</v>
      </c>
      <c r="BZ29" s="56"/>
      <c r="CA29" s="56">
        <f t="shared" si="28"/>
        <v>-3300</v>
      </c>
      <c r="CB29" s="47"/>
      <c r="CC29" s="56">
        <f t="shared" si="29"/>
        <v>3600</v>
      </c>
      <c r="CD29" s="56"/>
      <c r="CE29" s="56">
        <f t="shared" si="30"/>
        <v>0</v>
      </c>
      <c r="CF29" s="56"/>
      <c r="CG29" s="56">
        <f t="shared" si="31"/>
        <v>-3600</v>
      </c>
    </row>
    <row r="30" spans="2:88" x14ac:dyDescent="0.25">
      <c r="B30" s="55" t="s">
        <v>23</v>
      </c>
      <c r="C30" s="56">
        <v>200</v>
      </c>
      <c r="D30" s="56"/>
      <c r="E30" s="56">
        <f t="array" ref="E30">SUM(IF(data_2019!$B$5:$B$1056="Jan",IF(data_2019!$F$5:$F$1056=$B30,data_2019!$E$5:$E$1056)))</f>
        <v>0</v>
      </c>
      <c r="F30" s="56"/>
      <c r="G30" s="56">
        <f t="shared" si="14"/>
        <v>-200</v>
      </c>
      <c r="H30" s="47"/>
      <c r="I30" s="56">
        <v>200</v>
      </c>
      <c r="J30" s="56"/>
      <c r="K30" s="56">
        <f t="array" ref="K30">SUM(IF(data_2019!$B$5:$B$943="Feb",IF(data_2019!$F$5:$F$943=$B30,data_2019!$E$5:$E$943)))</f>
        <v>0</v>
      </c>
      <c r="L30" s="56"/>
      <c r="M30" s="56">
        <f t="shared" si="15"/>
        <v>-200</v>
      </c>
      <c r="N30" s="47"/>
      <c r="O30" s="56">
        <v>200</v>
      </c>
      <c r="P30" s="56"/>
      <c r="Q30" s="56">
        <f t="array" ref="Q30">SUM(IF(data_2019!$B$5:$B$943="Mar",IF(data_2019!$F$5:$F$943=$B30,data_2019!$E$5:$E$943)))</f>
        <v>0</v>
      </c>
      <c r="R30" s="56"/>
      <c r="S30" s="56">
        <f t="shared" si="16"/>
        <v>-200</v>
      </c>
      <c r="T30" s="47"/>
      <c r="U30" s="56">
        <v>200</v>
      </c>
      <c r="V30" s="56"/>
      <c r="W30" s="56">
        <f t="array" ref="W30">SUM(IF(data_2019!$B$5:$B$943="Apr",IF(data_2019!$F$5:$F$943=$B30,data_2019!$E$5:$E$943)))</f>
        <v>0</v>
      </c>
      <c r="X30" s="56"/>
      <c r="Y30" s="56">
        <f t="shared" si="17"/>
        <v>-200</v>
      </c>
      <c r="Z30" s="47"/>
      <c r="AA30" s="56">
        <v>200</v>
      </c>
      <c r="AB30" s="56"/>
      <c r="AC30" s="56">
        <f t="array" ref="AC30">SUM(IF(data_2019!$B$5:$B$943="May",IF(data_2019!$F$5:$F$943=$B30,data_2019!$E$5:$E$943)))</f>
        <v>0</v>
      </c>
      <c r="AD30" s="56"/>
      <c r="AE30" s="56">
        <f t="shared" si="18"/>
        <v>-200</v>
      </c>
      <c r="AF30" s="47"/>
      <c r="AG30" s="56">
        <v>200</v>
      </c>
      <c r="AH30" s="56"/>
      <c r="AI30" s="56">
        <f t="array" ref="AI30">SUM(IF(data_2019!$B$5:$B$943="Jun",IF(data_2019!$F$5:$F$943=$B30,data_2019!$E$5:$E$943)))</f>
        <v>0</v>
      </c>
      <c r="AJ30" s="56"/>
      <c r="AK30" s="56">
        <f t="shared" si="19"/>
        <v>-200</v>
      </c>
      <c r="AL30" s="47"/>
      <c r="AM30" s="56">
        <v>200</v>
      </c>
      <c r="AN30" s="56"/>
      <c r="AO30" s="56">
        <f t="array" ref="AO30">SUM(IF(data_2019!$B$5:$B$943="Jul",IF(data_2019!$F$5:$F$943=$B30,data_2019!$E$5:$E$943)))</f>
        <v>0</v>
      </c>
      <c r="AP30" s="56"/>
      <c r="AQ30" s="56">
        <f t="shared" si="20"/>
        <v>-200</v>
      </c>
      <c r="AR30" s="47"/>
      <c r="AS30" s="56">
        <v>200</v>
      </c>
      <c r="AT30" s="56"/>
      <c r="AU30" s="56">
        <v>0</v>
      </c>
      <c r="AV30" s="56"/>
      <c r="AW30" s="56">
        <f t="shared" si="21"/>
        <v>-200</v>
      </c>
      <c r="AX30" s="47"/>
      <c r="AY30" s="56">
        <v>200</v>
      </c>
      <c r="AZ30" s="56"/>
      <c r="BA30" s="56">
        <v>0</v>
      </c>
      <c r="BB30" s="56"/>
      <c r="BC30" s="56">
        <f t="shared" si="22"/>
        <v>-200</v>
      </c>
      <c r="BD30" s="47"/>
      <c r="BE30" s="56">
        <v>200</v>
      </c>
      <c r="BF30" s="56"/>
      <c r="BG30" s="56">
        <v>0</v>
      </c>
      <c r="BH30" s="56"/>
      <c r="BI30" s="56">
        <f t="shared" si="23"/>
        <v>-200</v>
      </c>
      <c r="BJ30" s="47"/>
      <c r="BK30" s="56">
        <v>200</v>
      </c>
      <c r="BL30" s="56"/>
      <c r="BM30" s="56">
        <v>0</v>
      </c>
      <c r="BN30" s="56"/>
      <c r="BO30" s="56">
        <f t="shared" si="24"/>
        <v>-200</v>
      </c>
      <c r="BP30" s="47"/>
      <c r="BQ30" s="56">
        <v>200</v>
      </c>
      <c r="BR30" s="56"/>
      <c r="BS30" s="56">
        <v>0</v>
      </c>
      <c r="BT30" s="56"/>
      <c r="BU30" s="56">
        <f t="shared" si="25"/>
        <v>-200</v>
      </c>
      <c r="BV30" s="47"/>
      <c r="BW30" s="56">
        <f t="shared" si="26"/>
        <v>2200</v>
      </c>
      <c r="BX30" s="56"/>
      <c r="BY30" s="56">
        <f t="shared" si="27"/>
        <v>0</v>
      </c>
      <c r="BZ30" s="56"/>
      <c r="CA30" s="56">
        <f t="shared" si="28"/>
        <v>-2200</v>
      </c>
      <c r="CB30" s="47"/>
      <c r="CC30" s="56">
        <f t="shared" si="29"/>
        <v>2400</v>
      </c>
      <c r="CD30" s="56"/>
      <c r="CE30" s="56">
        <f t="shared" si="30"/>
        <v>0</v>
      </c>
      <c r="CF30" s="56"/>
      <c r="CG30" s="56">
        <f t="shared" si="31"/>
        <v>-2400</v>
      </c>
    </row>
    <row r="31" spans="2:88" x14ac:dyDescent="0.25">
      <c r="B31" s="55" t="s">
        <v>138</v>
      </c>
      <c r="C31" s="56">
        <v>21.39</v>
      </c>
      <c r="D31" s="56"/>
      <c r="E31" s="56">
        <f t="array" ref="E31">SUM(IF(data_2019!$B$5:$B$1056="Jan",IF(data_2019!$F$5:$F$1056=$B31,data_2019!$E$5:$E$1056)))</f>
        <v>21.39</v>
      </c>
      <c r="F31" s="56"/>
      <c r="G31" s="56">
        <f t="shared" si="14"/>
        <v>0</v>
      </c>
      <c r="H31" s="47"/>
      <c r="I31" s="56">
        <v>21.39</v>
      </c>
      <c r="J31" s="56"/>
      <c r="K31" s="56">
        <f t="array" ref="K31">SUM(IF(data_2019!$B$5:$B$943="Feb",IF(data_2019!$F$5:$F$943=$B31,data_2019!$E$5:$E$943)))</f>
        <v>85.58</v>
      </c>
      <c r="L31" s="56"/>
      <c r="M31" s="56">
        <f t="shared" si="15"/>
        <v>64.19</v>
      </c>
      <c r="N31" s="47"/>
      <c r="O31" s="56">
        <v>21.39</v>
      </c>
      <c r="P31" s="56"/>
      <c r="Q31" s="56">
        <f t="array" ref="Q31">SUM(IF(data_2019!$B$5:$B$943="Mar",IF(data_2019!$F$5:$F$943=$B31,data_2019!$E$5:$E$943)))-21.39</f>
        <v>21.39</v>
      </c>
      <c r="R31" s="56"/>
      <c r="S31" s="56">
        <f t="shared" si="16"/>
        <v>0</v>
      </c>
      <c r="T31" s="47"/>
      <c r="U31" s="56">
        <v>21.39</v>
      </c>
      <c r="V31" s="56"/>
      <c r="W31" s="147">
        <f t="array" ref="W31">SUM(IF(data_2019!$B$5:$B$943="Apr",IF(data_2019!$F$5:$F$943=$B31,data_2019!$E$5:$E$943)))</f>
        <v>21.39</v>
      </c>
      <c r="X31" s="56"/>
      <c r="Y31" s="56">
        <f t="shared" si="17"/>
        <v>0</v>
      </c>
      <c r="Z31" s="47"/>
      <c r="AA31" s="56">
        <v>21.39</v>
      </c>
      <c r="AB31" s="56"/>
      <c r="AC31" s="147">
        <f t="array" ref="AC31">SUM(IF(data_2019!$B$5:$B$943="May",IF(data_2019!$F$5:$F$943=$B31,data_2019!$E$5:$E$943)))</f>
        <v>0</v>
      </c>
      <c r="AD31" s="56"/>
      <c r="AE31" s="56">
        <f t="shared" si="18"/>
        <v>-21.39</v>
      </c>
      <c r="AF31" s="47"/>
      <c r="AG31" s="56">
        <v>21.39</v>
      </c>
      <c r="AH31" s="56"/>
      <c r="AI31" s="147">
        <f t="array" ref="AI31">SUM(IF(data_2019!$B$5:$B$943="Jun",IF(data_2019!$F$5:$F$943=$B31,data_2019!$E$5:$E$943)))</f>
        <v>28.39</v>
      </c>
      <c r="AJ31" s="56"/>
      <c r="AK31" s="56">
        <f t="shared" si="19"/>
        <v>7</v>
      </c>
      <c r="AL31" s="47"/>
      <c r="AM31" s="56">
        <v>21.39</v>
      </c>
      <c r="AN31" s="56"/>
      <c r="AO31" s="147">
        <f t="array" ref="AO31">SUM(IF(data_2019!$B$5:$B$943="Jul",IF(data_2019!$F$5:$F$943=$B31,data_2019!$E$5:$E$943)))</f>
        <v>42.78</v>
      </c>
      <c r="AP31" s="56"/>
      <c r="AQ31" s="56">
        <f t="shared" si="20"/>
        <v>21.39</v>
      </c>
      <c r="AR31" s="47"/>
      <c r="AS31" s="56">
        <v>21.39</v>
      </c>
      <c r="AT31" s="56"/>
      <c r="AU31" s="57">
        <v>21.39</v>
      </c>
      <c r="AV31" s="56"/>
      <c r="AW31" s="56">
        <f t="shared" si="21"/>
        <v>0</v>
      </c>
      <c r="AX31" s="47"/>
      <c r="AY31" s="56">
        <v>21.39</v>
      </c>
      <c r="AZ31" s="56"/>
      <c r="BA31" s="57">
        <v>21.39</v>
      </c>
      <c r="BB31" s="56"/>
      <c r="BC31" s="56">
        <f t="shared" si="22"/>
        <v>0</v>
      </c>
      <c r="BD31" s="47"/>
      <c r="BE31" s="56">
        <v>21.39</v>
      </c>
      <c r="BF31" s="56"/>
      <c r="BG31" s="57">
        <v>21.39</v>
      </c>
      <c r="BH31" s="56"/>
      <c r="BI31" s="56">
        <f t="shared" si="23"/>
        <v>0</v>
      </c>
      <c r="BJ31" s="47"/>
      <c r="BK31" s="56">
        <v>21.39</v>
      </c>
      <c r="BL31" s="56"/>
      <c r="BM31" s="57">
        <v>21.39</v>
      </c>
      <c r="BN31" s="56"/>
      <c r="BO31" s="56">
        <f t="shared" si="24"/>
        <v>0</v>
      </c>
      <c r="BP31" s="47"/>
      <c r="BQ31" s="56">
        <v>21.39</v>
      </c>
      <c r="BR31" s="56"/>
      <c r="BS31" s="57">
        <v>21.39</v>
      </c>
      <c r="BT31" s="56"/>
      <c r="BU31" s="56">
        <f t="shared" si="25"/>
        <v>0</v>
      </c>
      <c r="BV31" s="47"/>
      <c r="BW31" s="56">
        <f t="shared" si="26"/>
        <v>235.28999999999996</v>
      </c>
      <c r="BX31" s="56"/>
      <c r="BY31" s="56">
        <f t="shared" si="27"/>
        <v>306.47999999999996</v>
      </c>
      <c r="BZ31" s="56"/>
      <c r="CA31" s="56">
        <f t="shared" si="28"/>
        <v>71.19</v>
      </c>
      <c r="CB31" s="47"/>
      <c r="CC31" s="56">
        <f t="shared" si="29"/>
        <v>256.67999999999995</v>
      </c>
      <c r="CD31" s="56"/>
      <c r="CE31" s="56">
        <f t="shared" si="30"/>
        <v>327.86999999999995</v>
      </c>
      <c r="CF31" s="56"/>
      <c r="CG31" s="56">
        <f t="shared" si="31"/>
        <v>71.19</v>
      </c>
    </row>
    <row r="32" spans="2:88" x14ac:dyDescent="0.25">
      <c r="B32" s="55" t="s">
        <v>329</v>
      </c>
      <c r="C32" s="56">
        <v>60</v>
      </c>
      <c r="D32" s="56"/>
      <c r="E32" s="56">
        <f t="array" ref="E32">SUM(IF(data_2019!$B$5:$B$1056="Jan",IF(data_2019!$F$5:$F$1056=$B32,data_2019!$E$5:$E$1056)))</f>
        <v>40.4</v>
      </c>
      <c r="F32" s="56"/>
      <c r="G32" s="56">
        <f t="shared" si="14"/>
        <v>-19.600000000000001</v>
      </c>
      <c r="H32" s="47"/>
      <c r="I32" s="56">
        <v>40</v>
      </c>
      <c r="J32" s="56"/>
      <c r="K32" s="56">
        <f t="array" ref="K32">SUM(IF(data_2019!$B$5:$B$943="Feb",IF(data_2019!$F$5:$F$943=$B32,data_2019!$E$5:$E$943)))</f>
        <v>40.950000000000003</v>
      </c>
      <c r="L32" s="56"/>
      <c r="M32" s="56">
        <f t="shared" si="15"/>
        <v>0.95000000000000284</v>
      </c>
      <c r="N32" s="47"/>
      <c r="O32" s="56">
        <v>40</v>
      </c>
      <c r="P32" s="56"/>
      <c r="Q32" s="56">
        <f t="array" ref="Q32">SUM(IF(data_2019!$B$5:$B$943="Mar",IF(data_2019!$F$5:$F$943=$B32,data_2019!$E$5:$E$943)))</f>
        <v>41.6</v>
      </c>
      <c r="R32" s="56"/>
      <c r="S32" s="56">
        <f t="shared" si="16"/>
        <v>1.6000000000000014</v>
      </c>
      <c r="T32" s="47"/>
      <c r="U32" s="56">
        <v>40</v>
      </c>
      <c r="V32" s="56"/>
      <c r="W32" s="147">
        <f t="array" ref="W32">SUM(IF(data_2019!$B$5:$B$943="Apr",IF(data_2019!$F$5:$F$943=$B32,data_2019!$E$5:$E$943)))</f>
        <v>50.22</v>
      </c>
      <c r="X32" s="56"/>
      <c r="Y32" s="56">
        <f t="shared" si="17"/>
        <v>10.219999999999999</v>
      </c>
      <c r="Z32" s="47"/>
      <c r="AA32" s="56">
        <v>50</v>
      </c>
      <c r="AB32" s="47"/>
      <c r="AC32" s="147">
        <f t="array" ref="AC32">SUM(IF(data_2019!$B$5:$B$943="May",IF(data_2019!$F$5:$F$943=$B32,data_2019!$E$5:$E$943)))</f>
        <v>54.84</v>
      </c>
      <c r="AD32" s="56"/>
      <c r="AE32" s="56">
        <f t="shared" si="18"/>
        <v>4.8400000000000034</v>
      </c>
      <c r="AF32" s="47"/>
      <c r="AG32" s="56">
        <v>50</v>
      </c>
      <c r="AH32" s="56"/>
      <c r="AI32" s="147">
        <f t="array" ref="AI32">SUM(IF(data_2019!$B$5:$B$943="Jun",IF(data_2019!$F$5:$F$943=$B32,data_2019!$E$5:$E$943)))</f>
        <v>60.72</v>
      </c>
      <c r="AJ32" s="56"/>
      <c r="AK32" s="56">
        <f t="shared" si="19"/>
        <v>10.719999999999999</v>
      </c>
      <c r="AL32" s="47"/>
      <c r="AM32" s="56">
        <v>40</v>
      </c>
      <c r="AN32" s="56"/>
      <c r="AO32" s="147">
        <f t="array" ref="AO32">SUM(IF(data_2019!$B$5:$B$943="Jul",IF(data_2019!$F$5:$F$943=$B32,data_2019!$E$5:$E$943)))</f>
        <v>91.28</v>
      </c>
      <c r="AP32" s="56"/>
      <c r="AQ32" s="56">
        <f t="shared" si="20"/>
        <v>51.28</v>
      </c>
      <c r="AR32" s="47"/>
      <c r="AS32" s="56">
        <v>40</v>
      </c>
      <c r="AT32" s="56"/>
      <c r="AU32" s="57">
        <v>40</v>
      </c>
      <c r="AV32" s="56"/>
      <c r="AW32" s="56">
        <f t="shared" si="21"/>
        <v>0</v>
      </c>
      <c r="AX32" s="47"/>
      <c r="AY32" s="56">
        <v>40</v>
      </c>
      <c r="AZ32" s="56"/>
      <c r="BA32" s="57">
        <v>40</v>
      </c>
      <c r="BB32" s="56"/>
      <c r="BC32" s="56">
        <f t="shared" si="22"/>
        <v>0</v>
      </c>
      <c r="BD32" s="47"/>
      <c r="BE32" s="56">
        <v>40</v>
      </c>
      <c r="BF32" s="56"/>
      <c r="BG32" s="57">
        <v>40</v>
      </c>
      <c r="BH32" s="56"/>
      <c r="BI32" s="56">
        <f t="shared" si="23"/>
        <v>0</v>
      </c>
      <c r="BJ32" s="47"/>
      <c r="BK32" s="56">
        <v>40</v>
      </c>
      <c r="BL32" s="56"/>
      <c r="BM32" s="57">
        <v>40</v>
      </c>
      <c r="BN32" s="56"/>
      <c r="BO32" s="56">
        <f t="shared" si="24"/>
        <v>0</v>
      </c>
      <c r="BP32" s="47"/>
      <c r="BQ32" s="56">
        <v>40</v>
      </c>
      <c r="BR32" s="56"/>
      <c r="BS32" s="57">
        <v>40</v>
      </c>
      <c r="BT32" s="56"/>
      <c r="BU32" s="56">
        <f t="shared" si="25"/>
        <v>0</v>
      </c>
      <c r="BV32" s="47"/>
      <c r="BW32" s="56">
        <f t="shared" si="26"/>
        <v>480</v>
      </c>
      <c r="BX32" s="56"/>
      <c r="BY32" s="56">
        <f t="shared" si="27"/>
        <v>540.01</v>
      </c>
      <c r="BZ32" s="56"/>
      <c r="CA32" s="56">
        <f t="shared" si="28"/>
        <v>60.009999999999991</v>
      </c>
      <c r="CB32" s="47"/>
      <c r="CC32" s="56">
        <f t="shared" si="29"/>
        <v>520</v>
      </c>
      <c r="CD32" s="56"/>
      <c r="CE32" s="56">
        <f t="shared" si="30"/>
        <v>580.01</v>
      </c>
      <c r="CF32" s="56"/>
      <c r="CG32" s="56">
        <f t="shared" si="31"/>
        <v>60.009999999999991</v>
      </c>
    </row>
    <row r="33" spans="1:85" x14ac:dyDescent="0.25">
      <c r="B33" s="55" t="s">
        <v>333</v>
      </c>
      <c r="C33" s="56">
        <v>39.06</v>
      </c>
      <c r="D33" s="56"/>
      <c r="E33" s="56">
        <f t="array" ref="E33">SUM(IF(data_2019!$B$5:$B$1056="Jan",IF(data_2019!$F$5:$F$1056=$B33,data_2019!$E$5:$E$1056)))</f>
        <v>39.06</v>
      </c>
      <c r="F33" s="56"/>
      <c r="G33" s="56">
        <f t="shared" si="14"/>
        <v>0</v>
      </c>
      <c r="H33" s="47"/>
      <c r="I33" s="56">
        <v>39.06</v>
      </c>
      <c r="J33" s="56"/>
      <c r="K33" s="56">
        <f t="array" ref="K33">SUM(IF(data_2019!$B$5:$B$943="Feb",IF(data_2019!$F$5:$F$943=$B33,data_2019!$E$5:$E$943)))</f>
        <v>39.06</v>
      </c>
      <c r="L33" s="56"/>
      <c r="M33" s="56">
        <f t="shared" si="15"/>
        <v>0</v>
      </c>
      <c r="N33" s="47"/>
      <c r="O33" s="56">
        <v>39.06</v>
      </c>
      <c r="P33" s="56"/>
      <c r="Q33" s="56">
        <f t="array" ref="Q33">SUM(IF(data_2019!$B$5:$B$943="Mar",IF(data_2019!$F$5:$F$943=$B33,data_2019!$E$5:$E$943)))</f>
        <v>39.06</v>
      </c>
      <c r="R33" s="56"/>
      <c r="S33" s="56">
        <f t="shared" si="16"/>
        <v>0</v>
      </c>
      <c r="T33" s="47"/>
      <c r="U33" s="56">
        <v>39.06</v>
      </c>
      <c r="V33" s="56"/>
      <c r="W33" s="147">
        <f t="array" ref="W33">SUM(IF(data_2019!$B$5:$B$943="Apr",IF(data_2019!$F$5:$F$943=$B33,data_2019!$E$5:$E$943)))</f>
        <v>39.06</v>
      </c>
      <c r="X33" s="56"/>
      <c r="Y33" s="56">
        <f t="shared" si="17"/>
        <v>0</v>
      </c>
      <c r="Z33" s="47"/>
      <c r="AA33" s="56">
        <v>39.06</v>
      </c>
      <c r="AB33" s="47"/>
      <c r="AC33" s="147">
        <f t="array" ref="AC33">SUM(IF(data_2019!$B$5:$B$943="May",IF(data_2019!$F$5:$F$943=$B33,data_2019!$E$5:$E$943)))</f>
        <v>0</v>
      </c>
      <c r="AD33" s="56"/>
      <c r="AE33" s="56">
        <f t="shared" si="18"/>
        <v>-39.06</v>
      </c>
      <c r="AF33" s="47"/>
      <c r="AG33" s="56">
        <v>39.06</v>
      </c>
      <c r="AH33" s="56"/>
      <c r="AI33" s="147">
        <f t="array" ref="AI33">SUM(IF(data_2019!$B$5:$B$943="Jun",IF(data_2019!$F$5:$F$943=$B33,data_2019!$E$5:$E$943)))</f>
        <v>39.07</v>
      </c>
      <c r="AJ33" s="56"/>
      <c r="AK33" s="56">
        <f t="shared" si="19"/>
        <v>9.9999999999980105E-3</v>
      </c>
      <c r="AL33" s="47"/>
      <c r="AM33" s="56">
        <v>39.06</v>
      </c>
      <c r="AN33" s="56"/>
      <c r="AO33" s="57">
        <f t="array" ref="AO33">SUM(IF(data_2019!$B$5:$B$943="Jul",IF(data_2019!$F$5:$F$943=$B33,data_2019!$E$5:$E$943)))</f>
        <v>0</v>
      </c>
      <c r="AP33" s="56"/>
      <c r="AQ33" s="56">
        <f t="shared" si="20"/>
        <v>-39.06</v>
      </c>
      <c r="AR33" s="47"/>
      <c r="AS33" s="56">
        <v>39.06</v>
      </c>
      <c r="AT33" s="56"/>
      <c r="AU33" s="57">
        <v>39.06</v>
      </c>
      <c r="AV33" s="56"/>
      <c r="AW33" s="56">
        <f t="shared" si="21"/>
        <v>0</v>
      </c>
      <c r="AX33" s="47"/>
      <c r="AY33" s="56">
        <v>39.06</v>
      </c>
      <c r="AZ33" s="56"/>
      <c r="BA33" s="57">
        <v>39.06</v>
      </c>
      <c r="BB33" s="56"/>
      <c r="BC33" s="56">
        <f t="shared" si="22"/>
        <v>0</v>
      </c>
      <c r="BD33" s="47"/>
      <c r="BE33" s="56">
        <v>39.06</v>
      </c>
      <c r="BF33" s="56"/>
      <c r="BG33" s="57">
        <v>39.06</v>
      </c>
      <c r="BH33" s="56"/>
      <c r="BI33" s="56">
        <f t="shared" si="23"/>
        <v>0</v>
      </c>
      <c r="BJ33" s="47"/>
      <c r="BK33" s="56">
        <v>39.06</v>
      </c>
      <c r="BL33" s="56"/>
      <c r="BM33" s="57">
        <v>39.06</v>
      </c>
      <c r="BN33" s="56"/>
      <c r="BO33" s="56">
        <f t="shared" si="24"/>
        <v>0</v>
      </c>
      <c r="BP33" s="47"/>
      <c r="BQ33" s="56">
        <v>39.06</v>
      </c>
      <c r="BR33" s="56"/>
      <c r="BS33" s="57">
        <v>39.06</v>
      </c>
      <c r="BT33" s="56"/>
      <c r="BU33" s="56">
        <f t="shared" si="25"/>
        <v>0</v>
      </c>
      <c r="BV33" s="47"/>
      <c r="BW33" s="56">
        <f t="shared" si="26"/>
        <v>429.66</v>
      </c>
      <c r="BX33" s="56"/>
      <c r="BY33" s="56">
        <f t="shared" si="27"/>
        <v>351.55</v>
      </c>
      <c r="BZ33" s="56"/>
      <c r="CA33" s="56">
        <f t="shared" si="28"/>
        <v>-78.110000000000014</v>
      </c>
      <c r="CB33" s="47"/>
      <c r="CC33" s="56">
        <f t="shared" si="29"/>
        <v>468.72</v>
      </c>
      <c r="CD33" s="56"/>
      <c r="CE33" s="56">
        <f t="shared" si="30"/>
        <v>390.61</v>
      </c>
      <c r="CF33" s="56"/>
      <c r="CG33" s="56">
        <f t="shared" si="31"/>
        <v>-78.110000000000014</v>
      </c>
    </row>
    <row r="34" spans="1:85" x14ac:dyDescent="0.25">
      <c r="B34" s="55" t="s">
        <v>506</v>
      </c>
      <c r="C34" s="56">
        <v>65</v>
      </c>
      <c r="D34" s="56"/>
      <c r="E34" s="56">
        <f t="array" ref="E34">SUM(IF(data_2019!$B$5:$B$1056="Jan",IF(data_2019!$F$5:$F$1056=$B34,data_2019!$E$5:$E$1056)))</f>
        <v>65</v>
      </c>
      <c r="F34" s="56"/>
      <c r="G34" s="56">
        <f t="shared" si="14"/>
        <v>0</v>
      </c>
      <c r="H34" s="47"/>
      <c r="I34" s="56">
        <v>65</v>
      </c>
      <c r="J34" s="56"/>
      <c r="K34" s="56">
        <f t="array" ref="K34">SUM(IF(data_2019!$B$5:$B$943="Feb",IF(data_2019!$F$5:$F$943=$B34,data_2019!$E$5:$E$943)))</f>
        <v>65</v>
      </c>
      <c r="L34" s="56"/>
      <c r="M34" s="56">
        <f t="shared" si="15"/>
        <v>0</v>
      </c>
      <c r="N34" s="47"/>
      <c r="O34" s="56">
        <v>65</v>
      </c>
      <c r="P34" s="56"/>
      <c r="Q34" s="56">
        <f t="array" ref="Q34">SUM(IF(data_2019!$B$5:$B$943="Mar",IF(data_2019!$F$5:$F$943=$B34,data_2019!$E$5:$E$943)))</f>
        <v>65</v>
      </c>
      <c r="R34" s="56"/>
      <c r="S34" s="56">
        <f t="shared" si="16"/>
        <v>0</v>
      </c>
      <c r="T34" s="47"/>
      <c r="U34" s="56">
        <v>65</v>
      </c>
      <c r="V34" s="56"/>
      <c r="W34" s="56">
        <f t="array" ref="W34">SUM(IF(data_2019!$B$5:$B$943="Apr",IF(data_2019!$F$5:$F$943=$B34,data_2019!$E$5:$E$943)))</f>
        <v>65</v>
      </c>
      <c r="X34" s="56"/>
      <c r="Y34" s="56">
        <f t="shared" si="17"/>
        <v>0</v>
      </c>
      <c r="Z34" s="47"/>
      <c r="AA34" s="56">
        <v>65</v>
      </c>
      <c r="AB34" s="47"/>
      <c r="AC34" s="147">
        <f t="array" ref="AC34">SUM(IF(data_2019!$B$5:$B$943="May",IF(data_2019!$F$5:$F$943=$B34,data_2019!$E$5:$E$943)))</f>
        <v>65</v>
      </c>
      <c r="AD34" s="56"/>
      <c r="AE34" s="56">
        <f t="shared" si="18"/>
        <v>0</v>
      </c>
      <c r="AF34" s="47"/>
      <c r="AG34" s="56">
        <v>65</v>
      </c>
      <c r="AH34" s="56"/>
      <c r="AI34" s="147">
        <f t="array" ref="AI34">SUM(IF(data_2019!$B$5:$B$943="Jun",IF(data_2019!$F$5:$F$943=$B34,data_2019!$E$5:$E$943)))</f>
        <v>65</v>
      </c>
      <c r="AJ34" s="56"/>
      <c r="AK34" s="56">
        <f t="shared" si="19"/>
        <v>0</v>
      </c>
      <c r="AL34" s="47"/>
      <c r="AM34" s="56">
        <v>65</v>
      </c>
      <c r="AN34" s="56"/>
      <c r="AO34" s="147">
        <f t="array" ref="AO34">SUM(IF(data_2019!$B$5:$B$943="Jul",IF(data_2019!$F$5:$F$943=$B34,data_2019!$E$5:$E$943)))</f>
        <v>65</v>
      </c>
      <c r="AP34" s="56"/>
      <c r="AQ34" s="56">
        <f t="shared" si="20"/>
        <v>0</v>
      </c>
      <c r="AR34" s="47"/>
      <c r="AS34" s="56">
        <v>65</v>
      </c>
      <c r="AT34" s="56"/>
      <c r="AU34" s="57">
        <v>65</v>
      </c>
      <c r="AV34" s="56"/>
      <c r="AW34" s="56">
        <f t="shared" si="21"/>
        <v>0</v>
      </c>
      <c r="AX34" s="47"/>
      <c r="AY34" s="56">
        <v>0</v>
      </c>
      <c r="AZ34" s="56"/>
      <c r="BA34" s="56">
        <v>0</v>
      </c>
      <c r="BB34" s="56"/>
      <c r="BC34" s="56">
        <f t="shared" si="22"/>
        <v>0</v>
      </c>
      <c r="BD34" s="47"/>
      <c r="BE34" s="56">
        <v>0</v>
      </c>
      <c r="BF34" s="56"/>
      <c r="BG34" s="56">
        <v>0</v>
      </c>
      <c r="BH34" s="56"/>
      <c r="BI34" s="56">
        <f t="shared" si="23"/>
        <v>0</v>
      </c>
      <c r="BJ34" s="47"/>
      <c r="BK34" s="56">
        <v>0</v>
      </c>
      <c r="BL34" s="56"/>
      <c r="BM34" s="56">
        <v>0</v>
      </c>
      <c r="BN34" s="56"/>
      <c r="BO34" s="56">
        <f t="shared" si="24"/>
        <v>0</v>
      </c>
      <c r="BP34" s="47"/>
      <c r="BQ34" s="56">
        <v>0</v>
      </c>
      <c r="BR34" s="56"/>
      <c r="BS34" s="56">
        <v>0</v>
      </c>
      <c r="BT34" s="56"/>
      <c r="BU34" s="56">
        <f t="shared" si="25"/>
        <v>0</v>
      </c>
      <c r="BV34" s="47"/>
      <c r="BW34" s="56">
        <f t="shared" si="26"/>
        <v>520</v>
      </c>
      <c r="BX34" s="56"/>
      <c r="BY34" s="56">
        <f t="shared" si="27"/>
        <v>520</v>
      </c>
      <c r="BZ34" s="56"/>
      <c r="CA34" s="56">
        <f t="shared" si="28"/>
        <v>0</v>
      </c>
      <c r="CB34" s="47"/>
      <c r="CC34" s="56">
        <f t="shared" si="29"/>
        <v>520</v>
      </c>
      <c r="CD34" s="56"/>
      <c r="CE34" s="56">
        <f t="shared" si="30"/>
        <v>520</v>
      </c>
      <c r="CF34" s="56"/>
      <c r="CG34" s="56">
        <f t="shared" si="31"/>
        <v>0</v>
      </c>
    </row>
    <row r="35" spans="1:85" x14ac:dyDescent="0.25">
      <c r="B35" s="55" t="s">
        <v>507</v>
      </c>
      <c r="C35" s="56">
        <v>71.819999999999993</v>
      </c>
      <c r="D35" s="56"/>
      <c r="E35" s="56">
        <f t="array" ref="E35">SUM(IF(data_2019!$B$5:$B$1056="Jan",IF(data_2019!$F$5:$F$1056=$B35,data_2019!$E$5:$E$1056)))</f>
        <v>71.819999999999993</v>
      </c>
      <c r="F35" s="56"/>
      <c r="G35" s="56">
        <f t="shared" si="14"/>
        <v>0</v>
      </c>
      <c r="H35" s="47"/>
      <c r="I35" s="56">
        <v>87.82</v>
      </c>
      <c r="J35" s="56"/>
      <c r="K35" s="56">
        <f t="array" ref="K35">SUM(IF(data_2019!$B$5:$B$943="Feb",IF(data_2019!$F$5:$F$943=$B35,data_2019!$E$5:$E$943)))</f>
        <v>87.82</v>
      </c>
      <c r="L35" s="56"/>
      <c r="M35" s="56">
        <f t="shared" si="15"/>
        <v>0</v>
      </c>
      <c r="N35" s="47"/>
      <c r="O35" s="56">
        <v>87.82</v>
      </c>
      <c r="P35" s="56"/>
      <c r="Q35" s="56">
        <f t="array" ref="Q35">SUM(IF(data_2019!$B$5:$B$943="Mar",IF(data_2019!$F$5:$F$943=$B35,data_2019!$E$5:$E$943)))</f>
        <v>87.82</v>
      </c>
      <c r="R35" s="56"/>
      <c r="S35" s="56">
        <f t="shared" si="16"/>
        <v>0</v>
      </c>
      <c r="T35" s="47"/>
      <c r="U35" s="56">
        <v>87.82</v>
      </c>
      <c r="V35" s="56"/>
      <c r="W35" s="56">
        <f t="array" ref="W35">SUM(IF(data_2019!$B$5:$B$943="Apr",IF(data_2019!$F$5:$F$943=$B35,data_2019!$E$5:$E$943)))</f>
        <v>87.82</v>
      </c>
      <c r="X35" s="56"/>
      <c r="Y35" s="56">
        <f t="shared" si="17"/>
        <v>0</v>
      </c>
      <c r="Z35" s="47"/>
      <c r="AA35" s="56">
        <v>87.82</v>
      </c>
      <c r="AB35" s="56"/>
      <c r="AC35" s="147">
        <f t="array" ref="AC35">SUM(IF(data_2019!$B$5:$B$943="May",IF(data_2019!$F$5:$F$943=$B35,data_2019!$E$5:$E$943)))</f>
        <v>87.82</v>
      </c>
      <c r="AD35" s="56"/>
      <c r="AE35" s="56">
        <f t="shared" si="18"/>
        <v>0</v>
      </c>
      <c r="AF35" s="47"/>
      <c r="AG35" s="56">
        <v>87.82</v>
      </c>
      <c r="AH35" s="56"/>
      <c r="AI35" s="147">
        <f t="array" ref="AI35">SUM(IF(data_2019!$B$5:$B$943="Jun",IF(data_2019!$F$5:$F$943=$B35,data_2019!$E$5:$E$943)))</f>
        <v>87.82</v>
      </c>
      <c r="AJ35" s="56"/>
      <c r="AK35" s="56">
        <f t="shared" si="19"/>
        <v>0</v>
      </c>
      <c r="AL35" s="47"/>
      <c r="AM35" s="56">
        <v>87.82</v>
      </c>
      <c r="AN35" s="56"/>
      <c r="AO35" s="147">
        <f t="array" ref="AO35">SUM(IF(data_2019!$B$5:$B$943="Jul",IF(data_2019!$F$5:$F$943=$B35,data_2019!$E$5:$E$943)))</f>
        <v>87.82</v>
      </c>
      <c r="AP35" s="56"/>
      <c r="AQ35" s="56">
        <f t="shared" si="20"/>
        <v>0</v>
      </c>
      <c r="AR35" s="47"/>
      <c r="AS35" s="56">
        <v>87.82</v>
      </c>
      <c r="AT35" s="56"/>
      <c r="AU35" s="57">
        <v>87.82</v>
      </c>
      <c r="AV35" s="56"/>
      <c r="AW35" s="56">
        <f t="shared" si="21"/>
        <v>0</v>
      </c>
      <c r="AX35" s="47"/>
      <c r="AY35" s="56">
        <v>87.82</v>
      </c>
      <c r="AZ35" s="56"/>
      <c r="BA35" s="57">
        <v>87.82</v>
      </c>
      <c r="BB35" s="56"/>
      <c r="BC35" s="56">
        <f t="shared" si="22"/>
        <v>0</v>
      </c>
      <c r="BD35" s="47"/>
      <c r="BE35" s="56">
        <v>87.82</v>
      </c>
      <c r="BF35" s="56"/>
      <c r="BG35" s="57">
        <v>87.82</v>
      </c>
      <c r="BH35" s="56"/>
      <c r="BI35" s="56">
        <f t="shared" si="23"/>
        <v>0</v>
      </c>
      <c r="BJ35" s="47"/>
      <c r="BK35" s="56">
        <v>87.82</v>
      </c>
      <c r="BL35" s="56"/>
      <c r="BM35" s="57">
        <v>87.82</v>
      </c>
      <c r="BN35" s="56"/>
      <c r="BO35" s="56">
        <f t="shared" si="24"/>
        <v>0</v>
      </c>
      <c r="BP35" s="47"/>
      <c r="BQ35" s="56">
        <v>87.82</v>
      </c>
      <c r="BR35" s="56"/>
      <c r="BS35" s="57">
        <v>87.82</v>
      </c>
      <c r="BT35" s="56"/>
      <c r="BU35" s="56">
        <f t="shared" si="25"/>
        <v>0</v>
      </c>
      <c r="BV35" s="47"/>
      <c r="BW35" s="56">
        <f t="shared" si="26"/>
        <v>950.01999999999975</v>
      </c>
      <c r="BX35" s="56"/>
      <c r="BY35" s="56">
        <f t="shared" si="27"/>
        <v>950.01999999999975</v>
      </c>
      <c r="BZ35" s="56"/>
      <c r="CA35" s="56">
        <f t="shared" si="28"/>
        <v>0</v>
      </c>
      <c r="CB35" s="47"/>
      <c r="CC35" s="56">
        <f t="shared" si="29"/>
        <v>1037.8399999999997</v>
      </c>
      <c r="CD35" s="56"/>
      <c r="CE35" s="56">
        <f t="shared" si="30"/>
        <v>1037.8399999999997</v>
      </c>
      <c r="CF35" s="56"/>
      <c r="CG35" s="56">
        <f t="shared" si="31"/>
        <v>0</v>
      </c>
    </row>
    <row r="36" spans="1:85" x14ac:dyDescent="0.25">
      <c r="B36" s="55" t="s">
        <v>334</v>
      </c>
      <c r="C36" s="56">
        <v>11.95</v>
      </c>
      <c r="D36" s="56"/>
      <c r="E36" s="56">
        <f t="array" ref="E36">SUM(IF(data_2019!$B$5:$B$1056="Jan",IF(data_2019!$F$5:$F$1056=$B36,data_2019!$E$5:$E$1056)))</f>
        <v>11.95</v>
      </c>
      <c r="F36" s="56"/>
      <c r="G36" s="56">
        <f t="shared" si="14"/>
        <v>0</v>
      </c>
      <c r="H36" s="47"/>
      <c r="I36" s="56">
        <v>11.95</v>
      </c>
      <c r="J36" s="56"/>
      <c r="K36" s="56">
        <f t="array" ref="K36">SUM(IF(data_2019!$B$5:$B$943="Feb",IF(data_2019!$F$5:$F$943=$B36,data_2019!$E$5:$E$943)))</f>
        <v>11.95</v>
      </c>
      <c r="L36" s="56"/>
      <c r="M36" s="56">
        <f t="shared" si="15"/>
        <v>0</v>
      </c>
      <c r="N36" s="47"/>
      <c r="O36" s="56">
        <v>14.12</v>
      </c>
      <c r="P36" s="56"/>
      <c r="Q36" s="56">
        <f t="array" ref="Q36">SUM(IF(data_2019!$B$5:$B$943="Mar",IF(data_2019!$F$5:$F$943=$B36,data_2019!$E$5:$E$943)))</f>
        <v>14.12</v>
      </c>
      <c r="R36" s="56"/>
      <c r="S36" s="56">
        <f t="shared" si="16"/>
        <v>0</v>
      </c>
      <c r="T36" s="47"/>
      <c r="U36" s="56">
        <v>14.12</v>
      </c>
      <c r="V36" s="56"/>
      <c r="W36" s="56">
        <f t="array" ref="W36">SUM(IF(data_2019!$B$5:$B$943="Apr",IF(data_2019!$F$5:$F$943=$B36,data_2019!$E$5:$E$943)))</f>
        <v>14.12</v>
      </c>
      <c r="X36" s="56"/>
      <c r="Y36" s="56">
        <f t="shared" si="17"/>
        <v>0</v>
      </c>
      <c r="Z36" s="47"/>
      <c r="AA36" s="56">
        <v>14.12</v>
      </c>
      <c r="AB36" s="47"/>
      <c r="AC36" s="147">
        <f t="array" ref="AC36">SUM(IF(data_2019!$B$5:$B$943="May",IF(data_2019!$F$5:$F$943=$B36,data_2019!$E$5:$E$943)))</f>
        <v>28.24</v>
      </c>
      <c r="AD36" s="56"/>
      <c r="AE36" s="56">
        <f t="shared" si="18"/>
        <v>14.12</v>
      </c>
      <c r="AF36" s="47"/>
      <c r="AG36" s="56">
        <v>14.12</v>
      </c>
      <c r="AH36" s="56"/>
      <c r="AI36" s="147">
        <f t="array" ref="AI36">SUM(IF(data_2019!$B$5:$B$943="Jun",IF(data_2019!$F$5:$F$943=$B36,data_2019!$E$5:$E$943)))</f>
        <v>14.08</v>
      </c>
      <c r="AJ36" s="56"/>
      <c r="AK36" s="56">
        <f t="shared" si="19"/>
        <v>-3.9999999999999147E-2</v>
      </c>
      <c r="AL36" s="47"/>
      <c r="AM36" s="56">
        <v>14.12</v>
      </c>
      <c r="AN36" s="56"/>
      <c r="AO36" s="147">
        <f t="array" ref="AO36">SUM(IF(data_2019!$B$5:$B$943="Jul",IF(data_2019!$F$5:$F$943=$B36,data_2019!$E$5:$E$943)))</f>
        <v>14.08</v>
      </c>
      <c r="AP36" s="56"/>
      <c r="AQ36" s="56">
        <f t="shared" si="20"/>
        <v>-3.9999999999999147E-2</v>
      </c>
      <c r="AR36" s="47"/>
      <c r="AS36" s="56">
        <v>14.12</v>
      </c>
      <c r="AT36" s="56"/>
      <c r="AU36" s="57">
        <v>14.12</v>
      </c>
      <c r="AV36" s="56"/>
      <c r="AW36" s="56">
        <f t="shared" si="21"/>
        <v>0</v>
      </c>
      <c r="AX36" s="47"/>
      <c r="AY36" s="56">
        <v>14.12</v>
      </c>
      <c r="AZ36" s="56"/>
      <c r="BA36" s="57">
        <v>14.12</v>
      </c>
      <c r="BB36" s="56"/>
      <c r="BC36" s="56">
        <f t="shared" si="22"/>
        <v>0</v>
      </c>
      <c r="BD36" s="47"/>
      <c r="BE36" s="56">
        <v>14.12</v>
      </c>
      <c r="BF36" s="56"/>
      <c r="BG36" s="57">
        <v>14.12</v>
      </c>
      <c r="BH36" s="56"/>
      <c r="BI36" s="56">
        <f t="shared" si="23"/>
        <v>0</v>
      </c>
      <c r="BJ36" s="47"/>
      <c r="BK36" s="56">
        <v>14.12</v>
      </c>
      <c r="BL36" s="56"/>
      <c r="BM36" s="57">
        <v>14.12</v>
      </c>
      <c r="BN36" s="56"/>
      <c r="BO36" s="56">
        <f t="shared" si="24"/>
        <v>0</v>
      </c>
      <c r="BP36" s="47"/>
      <c r="BQ36" s="56">
        <v>14.12</v>
      </c>
      <c r="BR36" s="56"/>
      <c r="BS36" s="57">
        <v>14.12</v>
      </c>
      <c r="BT36" s="56"/>
      <c r="BU36" s="56">
        <f t="shared" si="25"/>
        <v>0</v>
      </c>
      <c r="BV36" s="47"/>
      <c r="BW36" s="56">
        <f t="shared" si="26"/>
        <v>150.98000000000002</v>
      </c>
      <c r="BX36" s="56"/>
      <c r="BY36" s="56">
        <f t="shared" si="27"/>
        <v>165.02</v>
      </c>
      <c r="BZ36" s="56"/>
      <c r="CA36" s="56">
        <f t="shared" si="28"/>
        <v>14.039999999999992</v>
      </c>
      <c r="CB36" s="47"/>
      <c r="CC36" s="56">
        <f t="shared" si="29"/>
        <v>165.10000000000002</v>
      </c>
      <c r="CD36" s="56"/>
      <c r="CE36" s="56">
        <f t="shared" si="30"/>
        <v>179.14000000000001</v>
      </c>
      <c r="CF36" s="56"/>
      <c r="CG36" s="56">
        <f t="shared" si="31"/>
        <v>14.039999999999992</v>
      </c>
    </row>
    <row r="37" spans="1:85" x14ac:dyDescent="0.25">
      <c r="B37" s="55" t="s">
        <v>676</v>
      </c>
      <c r="C37" s="56">
        <v>100</v>
      </c>
      <c r="D37" s="56"/>
      <c r="E37" s="79">
        <f t="array" ref="E37">SUM(IF(data_2019!$B$5:$B$1056="Jan",IF(data_2019!$F$5:$F$1056=$B37,data_2019!$E$5:$E$1056)))</f>
        <v>309.34000000000003</v>
      </c>
      <c r="F37" s="56"/>
      <c r="G37" s="56">
        <f t="shared" ref="G37" si="68">E37-C37</f>
        <v>209.34000000000003</v>
      </c>
      <c r="H37" s="47"/>
      <c r="I37" s="56">
        <v>100</v>
      </c>
      <c r="J37" s="56"/>
      <c r="K37" s="79">
        <f t="array" ref="K37">SUM(IF(data_2019!$B$5:$B$943="Feb",IF(data_2019!$F$5:$F$943=$B37,data_2019!$E$5:$E$943)))</f>
        <v>702.49</v>
      </c>
      <c r="L37" s="56"/>
      <c r="M37" s="56">
        <f t="shared" ref="M37" si="69">K37-I37</f>
        <v>602.49</v>
      </c>
      <c r="N37" s="47"/>
      <c r="O37" s="56">
        <v>100</v>
      </c>
      <c r="P37" s="56"/>
      <c r="Q37" s="56">
        <f t="array" ref="Q37">SUM(IF(data_2019!$B$5:$B$943="Mar",IF(data_2019!$F$5:$F$943=$B37,data_2019!$E$5:$E$943)))</f>
        <v>130.27000000000001</v>
      </c>
      <c r="R37" s="56"/>
      <c r="S37" s="56">
        <f t="shared" ref="S37" si="70">Q37-O37</f>
        <v>30.27000000000001</v>
      </c>
      <c r="T37" s="47"/>
      <c r="U37" s="56">
        <v>100</v>
      </c>
      <c r="V37" s="56"/>
      <c r="W37" s="56">
        <f t="array" ref="W37">SUM(IF(data_2019!$B$5:$B$943="Apr",IF(data_2019!$F$5:$F$943=$B37,data_2019!$E$5:$E$943)))</f>
        <v>7.99</v>
      </c>
      <c r="X37" s="56"/>
      <c r="Y37" s="56">
        <f t="shared" ref="Y37" si="71">W37-U37</f>
        <v>-92.01</v>
      </c>
      <c r="Z37" s="47"/>
      <c r="AA37" s="56">
        <v>100</v>
      </c>
      <c r="AB37" s="56"/>
      <c r="AC37" s="56">
        <f t="array" ref="AC37">SUM(IF(data_2019!$B$5:$B$943="May",IF(data_2019!$F$5:$F$943=$B37,data_2019!$E$5:$E$943)))</f>
        <v>89.069999999999979</v>
      </c>
      <c r="AD37" s="56"/>
      <c r="AE37" s="56">
        <f t="shared" ref="AE37" si="72">AC37-AA37</f>
        <v>-10.930000000000021</v>
      </c>
      <c r="AF37" s="47"/>
      <c r="AG37" s="56">
        <v>100</v>
      </c>
      <c r="AH37" s="56"/>
      <c r="AI37" s="56">
        <f t="array" ref="AI37">SUM(IF(data_2019!$B$5:$B$943="Jun",IF(data_2019!$F$5:$F$943=$B37,data_2019!$E$5:$E$943)))</f>
        <v>31.88</v>
      </c>
      <c r="AJ37" s="56"/>
      <c r="AK37" s="56">
        <f t="shared" ref="AK37" si="73">AI37-AG37</f>
        <v>-68.12</v>
      </c>
      <c r="AL37" s="47"/>
      <c r="AM37" s="56">
        <v>0</v>
      </c>
      <c r="AN37" s="56"/>
      <c r="AO37" s="56">
        <f t="array" ref="AO37">SUM(IF(data_2019!$B$5:$B$943="Jul",IF(data_2019!$F$5:$F$943=$B37,data_2019!$E$5:$E$943)))</f>
        <v>47.37</v>
      </c>
      <c r="AP37" s="56"/>
      <c r="AQ37" s="56">
        <f t="shared" ref="AQ37" si="74">AO37-AM37</f>
        <v>47.37</v>
      </c>
      <c r="AR37" s="47"/>
      <c r="AS37" s="56">
        <v>0</v>
      </c>
      <c r="AT37" s="56"/>
      <c r="AU37" s="56">
        <v>0</v>
      </c>
      <c r="AV37" s="56"/>
      <c r="AW37" s="56">
        <f t="shared" ref="AW37" si="75">AU37-AS37</f>
        <v>0</v>
      </c>
      <c r="AX37" s="47"/>
      <c r="AY37" s="56">
        <v>0</v>
      </c>
      <c r="AZ37" s="56"/>
      <c r="BA37" s="56">
        <v>0</v>
      </c>
      <c r="BB37" s="56"/>
      <c r="BC37" s="56">
        <f t="shared" ref="BC37" si="76">BA37-AY37</f>
        <v>0</v>
      </c>
      <c r="BD37" s="47"/>
      <c r="BE37" s="56">
        <v>0</v>
      </c>
      <c r="BF37" s="56"/>
      <c r="BG37" s="56">
        <v>0</v>
      </c>
      <c r="BH37" s="56"/>
      <c r="BI37" s="56">
        <f t="shared" ref="BI37" si="77">BG37-BE37</f>
        <v>0</v>
      </c>
      <c r="BJ37" s="47"/>
      <c r="BK37" s="56">
        <v>0</v>
      </c>
      <c r="BL37" s="56"/>
      <c r="BM37" s="56">
        <v>0</v>
      </c>
      <c r="BN37" s="56"/>
      <c r="BO37" s="56">
        <f t="shared" ref="BO37" si="78">BM37-BK37</f>
        <v>0</v>
      </c>
      <c r="BP37" s="47"/>
      <c r="BQ37" s="56">
        <v>0</v>
      </c>
      <c r="BR37" s="56"/>
      <c r="BS37" s="56">
        <v>0</v>
      </c>
      <c r="BT37" s="56"/>
      <c r="BU37" s="56">
        <f t="shared" ref="BU37" si="79">BS37-BQ37</f>
        <v>0</v>
      </c>
      <c r="BV37" s="47"/>
      <c r="BW37" s="56">
        <f t="shared" ref="BW37" si="80">CHOOSE($CK$7,C37,(C37+I37),(C37+I37+O37),(C37+I37+O37+U37),(C37+I37+O37+U37+AA37),(C37+I37+O37+U37++AG37),(C37+I37+O37+U37+AA37+AG37+AM37),(C37+I37+O37+U37+AA37+AG37+AM37+AS37),(C37+I37+O37+U37+AA37+AG37+AM37+AS37+AY37),(C37+I37+O37+U37+AA37+AG37+AM37+AS37+AY37+BE37),(C37+I37+O37+U37+AA37+AG37+AM37+AS37+AY37+BE37+BK37),(C37+I37+O37+U37+AA37+AG37+AM37+AS37+AY37+BE37+BK37+BQ37))</f>
        <v>600</v>
      </c>
      <c r="BX37" s="56"/>
      <c r="BY37" s="56">
        <f t="shared" ref="BY37" si="81">CHOOSE($CK$7,E37,(E37+K37),(E37+K37+Q37),(E37+K37+Q37+W37),(E37+K37+Q37+W37+AC37),(E37+K37+Q37+W37++AI37),(E37+K37+Q37+W37+AC37+AI37+AO37),(E37+K37+Q37+W37+AC37+AI37+AO37+AU37),(E37+K37+Q37+W37+AC37+AI37+AO37+AU37+BA37),(E37+K37+Q37+W37+AC37+AI37+AO37+AU37+BA37+BG37),(E37+K37+Q37+W37+AC37+AI37+AO37+AU37+BA37+BG37+BM37),(E37+K37+Q37+W37+AC37+AI37+AO37+AU37+BA37+BG37+BM37+BS37))</f>
        <v>1318.41</v>
      </c>
      <c r="BZ37" s="56"/>
      <c r="CA37" s="56">
        <f t="shared" ref="CA37" si="82">BY37-BW37</f>
        <v>718.41000000000008</v>
      </c>
      <c r="CB37" s="47"/>
      <c r="CC37" s="56">
        <f t="shared" ref="CC37" si="83">C37+I37+O37+U37+AA37+AG37+AM37+AS37+AY37+BE37+BK37+BQ37</f>
        <v>600</v>
      </c>
      <c r="CD37" s="56"/>
      <c r="CE37" s="56">
        <f t="shared" ref="CE37" si="84">E37+K37+Q37+W37+AC37+AI37+AO37+AU37+BA37+BG37+BM37+BS37</f>
        <v>1318.41</v>
      </c>
      <c r="CF37" s="56"/>
      <c r="CG37" s="56">
        <f t="shared" ref="CG37" si="85">CE37-CC37</f>
        <v>718.41000000000008</v>
      </c>
    </row>
    <row r="38" spans="1:85" x14ac:dyDescent="0.25">
      <c r="B38" s="55" t="s">
        <v>202</v>
      </c>
      <c r="C38" s="56">
        <v>0</v>
      </c>
      <c r="D38" s="56"/>
      <c r="E38" s="79">
        <f t="array" ref="E38">SUM(IF(data_2019!$B$5:$B$1056="Jan",IF(data_2019!$F$5:$F$1056=$B38,data_2019!$E$5:$E$1056)))</f>
        <v>183</v>
      </c>
      <c r="F38" s="56"/>
      <c r="G38" s="56">
        <f t="shared" si="14"/>
        <v>183</v>
      </c>
      <c r="H38" s="47"/>
      <c r="I38" s="56">
        <v>0</v>
      </c>
      <c r="J38" s="56"/>
      <c r="K38" s="56">
        <f t="array" ref="K38">SUM(IF(data_2019!$B$5:$B$943="Feb",IF(data_2019!$F$5:$F$943=$B38,data_2019!$E$5:$E$943)))</f>
        <v>120</v>
      </c>
      <c r="L38" s="56"/>
      <c r="M38" s="56">
        <f t="shared" si="15"/>
        <v>120</v>
      </c>
      <c r="N38" s="47"/>
      <c r="O38" s="56">
        <v>0</v>
      </c>
      <c r="P38" s="56"/>
      <c r="Q38" s="56">
        <f t="array" ref="Q38">SUM(IF(data_2019!$B$5:$B$943="Mar",IF(data_2019!$F$5:$F$943=$B38,data_2019!$E$5:$E$943)))</f>
        <v>163.95</v>
      </c>
      <c r="R38" s="56"/>
      <c r="S38" s="56">
        <f t="shared" si="16"/>
        <v>163.95</v>
      </c>
      <c r="T38" s="47"/>
      <c r="U38" s="56">
        <v>0</v>
      </c>
      <c r="V38" s="56"/>
      <c r="W38" s="79">
        <f t="array" ref="W38">SUM(IF(data_2019!$B$5:$B$943="Apr",IF(data_2019!$F$5:$F$943=$B38,data_2019!$E$5:$E$943)))</f>
        <v>260</v>
      </c>
      <c r="X38" s="56"/>
      <c r="Y38" s="56">
        <f t="shared" si="17"/>
        <v>260</v>
      </c>
      <c r="Z38" s="47"/>
      <c r="AA38" s="56">
        <v>0</v>
      </c>
      <c r="AB38" s="56"/>
      <c r="AC38" s="56">
        <f t="array" ref="AC38">SUM(IF(data_2019!$B$5:$B$943="May",IF(data_2019!$F$5:$F$943=$B38,data_2019!$E$5:$E$943)))</f>
        <v>140</v>
      </c>
      <c r="AD38" s="56"/>
      <c r="AE38" s="56">
        <f t="shared" si="18"/>
        <v>140</v>
      </c>
      <c r="AF38" s="47"/>
      <c r="AG38" s="56">
        <v>0</v>
      </c>
      <c r="AH38" s="56"/>
      <c r="AI38" s="56">
        <f t="array" ref="AI38">SUM(IF(data_2019!$B$5:$B$943="Jun",IF(data_2019!$F$5:$F$943=$B38,data_2019!$E$5:$E$943)))</f>
        <v>0</v>
      </c>
      <c r="AJ38" s="56"/>
      <c r="AK38" s="56">
        <f t="shared" si="19"/>
        <v>0</v>
      </c>
      <c r="AL38" s="47"/>
      <c r="AM38" s="56">
        <v>0</v>
      </c>
      <c r="AN38" s="56"/>
      <c r="AO38" s="56">
        <f t="array" ref="AO38">SUM(IF(data_2019!$B$5:$B$943="Jul",IF(data_2019!$F$5:$F$943=$B38,data_2019!$E$5:$E$943)))</f>
        <v>103.95</v>
      </c>
      <c r="AP38" s="56"/>
      <c r="AQ38" s="56">
        <f t="shared" si="20"/>
        <v>103.95</v>
      </c>
      <c r="AR38" s="47"/>
      <c r="AS38" s="56">
        <v>0</v>
      </c>
      <c r="AT38" s="56"/>
      <c r="AU38" s="56">
        <v>0</v>
      </c>
      <c r="AV38" s="56"/>
      <c r="AW38" s="56">
        <f t="shared" si="21"/>
        <v>0</v>
      </c>
      <c r="AX38" s="47"/>
      <c r="AY38" s="56">
        <v>0</v>
      </c>
      <c r="AZ38" s="56"/>
      <c r="BA38" s="56">
        <v>0</v>
      </c>
      <c r="BB38" s="56"/>
      <c r="BC38" s="56">
        <f t="shared" si="22"/>
        <v>0</v>
      </c>
      <c r="BD38" s="47"/>
      <c r="BE38" s="56">
        <v>0</v>
      </c>
      <c r="BF38" s="56"/>
      <c r="BG38" s="56">
        <v>0</v>
      </c>
      <c r="BH38" s="56"/>
      <c r="BI38" s="56">
        <f t="shared" si="23"/>
        <v>0</v>
      </c>
      <c r="BJ38" s="47"/>
      <c r="BK38" s="56">
        <v>0</v>
      </c>
      <c r="BL38" s="56"/>
      <c r="BM38" s="56">
        <v>0</v>
      </c>
      <c r="BN38" s="56"/>
      <c r="BO38" s="56">
        <f t="shared" si="24"/>
        <v>0</v>
      </c>
      <c r="BP38" s="47"/>
      <c r="BQ38" s="56">
        <v>0</v>
      </c>
      <c r="BR38" s="56"/>
      <c r="BS38" s="56">
        <v>0</v>
      </c>
      <c r="BT38" s="56"/>
      <c r="BU38" s="56">
        <f t="shared" si="25"/>
        <v>0</v>
      </c>
      <c r="BV38" s="47"/>
      <c r="BW38" s="56">
        <f t="shared" si="26"/>
        <v>0</v>
      </c>
      <c r="BX38" s="56"/>
      <c r="BY38" s="56">
        <f t="shared" si="27"/>
        <v>970.90000000000009</v>
      </c>
      <c r="BZ38" s="56"/>
      <c r="CA38" s="56">
        <f t="shared" si="28"/>
        <v>970.90000000000009</v>
      </c>
      <c r="CB38" s="47"/>
      <c r="CC38" s="56">
        <f t="shared" si="29"/>
        <v>0</v>
      </c>
      <c r="CD38" s="56"/>
      <c r="CE38" s="56">
        <f t="shared" si="30"/>
        <v>970.90000000000009</v>
      </c>
      <c r="CF38" s="56"/>
      <c r="CG38" s="56">
        <f t="shared" si="31"/>
        <v>970.90000000000009</v>
      </c>
    </row>
    <row r="39" spans="1:85" x14ac:dyDescent="0.25">
      <c r="B39" s="55" t="s">
        <v>195</v>
      </c>
      <c r="C39" s="56">
        <v>20</v>
      </c>
      <c r="D39" s="56"/>
      <c r="E39" s="56">
        <f t="array" ref="E39">SUM(IF(data_2019!$B$5:$B$1056="Jan",IF(data_2019!$F$5:$F$1056=$B39,data_2019!$E$5:$E$1056)))</f>
        <v>17.72</v>
      </c>
      <c r="F39" s="56"/>
      <c r="G39" s="56">
        <f t="shared" si="14"/>
        <v>-2.2800000000000011</v>
      </c>
      <c r="H39" s="47"/>
      <c r="I39" s="56">
        <v>20</v>
      </c>
      <c r="J39" s="56"/>
      <c r="K39" s="56">
        <f t="array" ref="K39">SUM(IF(data_2019!$B$5:$B$943="Feb",IF(data_2019!$F$5:$F$943=$B39,data_2019!$E$5:$E$943)))</f>
        <v>31.17</v>
      </c>
      <c r="L39" s="56"/>
      <c r="M39" s="56">
        <f t="shared" si="15"/>
        <v>11.170000000000002</v>
      </c>
      <c r="N39" s="47"/>
      <c r="O39" s="56">
        <v>20</v>
      </c>
      <c r="P39" s="56"/>
      <c r="Q39" s="56">
        <f t="array" ref="Q39">SUM(IF(data_2019!$B$5:$B$943="Mar",IF(data_2019!$F$5:$F$943=$B39,data_2019!$E$5:$E$943)))</f>
        <v>16.03</v>
      </c>
      <c r="R39" s="56"/>
      <c r="S39" s="56">
        <f t="shared" si="16"/>
        <v>-3.9699999999999989</v>
      </c>
      <c r="T39" s="47"/>
      <c r="U39" s="56">
        <v>20</v>
      </c>
      <c r="V39" s="56"/>
      <c r="W39" s="56">
        <f t="array" ref="W39">SUM(IF(data_2019!$B$5:$B$943="Apr",IF(data_2019!$F$5:$F$943=$B39,data_2019!$E$5:$E$943)))</f>
        <v>0</v>
      </c>
      <c r="X39" s="56"/>
      <c r="Y39" s="56">
        <f t="shared" si="17"/>
        <v>-20</v>
      </c>
      <c r="Z39" s="47"/>
      <c r="AA39" s="56">
        <v>20</v>
      </c>
      <c r="AB39" s="56"/>
      <c r="AC39" s="56">
        <f t="array" ref="AC39">SUM(IF(data_2019!$B$5:$B$943="May",IF(data_2019!$F$5:$F$943=$B39,data_2019!$E$5:$E$943)))</f>
        <v>16.03</v>
      </c>
      <c r="AD39" s="56"/>
      <c r="AE39" s="56">
        <f t="shared" si="18"/>
        <v>-3.9699999999999989</v>
      </c>
      <c r="AF39" s="47"/>
      <c r="AG39" s="56">
        <v>20</v>
      </c>
      <c r="AH39" s="56"/>
      <c r="AI39" s="56">
        <f t="array" ref="AI39">SUM(IF(data_2019!$B$5:$B$943="Jun",IF(data_2019!$F$5:$F$943=$B39,data_2019!$E$5:$E$943)))</f>
        <v>11.45</v>
      </c>
      <c r="AJ39" s="56"/>
      <c r="AK39" s="56">
        <f t="shared" si="19"/>
        <v>-8.5500000000000007</v>
      </c>
      <c r="AL39" s="47"/>
      <c r="AM39" s="56">
        <v>20</v>
      </c>
      <c r="AN39" s="56"/>
      <c r="AO39" s="56">
        <f t="array" ref="AO39">SUM(IF(data_2019!$B$5:$B$943="Jul",IF(data_2019!$F$5:$F$943=$B39,data_2019!$E$5:$E$943)))</f>
        <v>0</v>
      </c>
      <c r="AP39" s="56"/>
      <c r="AQ39" s="56">
        <f t="shared" si="20"/>
        <v>-20</v>
      </c>
      <c r="AR39" s="47"/>
      <c r="AS39" s="56">
        <v>20</v>
      </c>
      <c r="AT39" s="56"/>
      <c r="AU39" s="56">
        <v>0</v>
      </c>
      <c r="AV39" s="56"/>
      <c r="AW39" s="56">
        <f t="shared" si="21"/>
        <v>-20</v>
      </c>
      <c r="AX39" s="47"/>
      <c r="AY39" s="56">
        <v>20</v>
      </c>
      <c r="AZ39" s="56"/>
      <c r="BA39" s="56">
        <v>0</v>
      </c>
      <c r="BB39" s="56"/>
      <c r="BC39" s="56">
        <f t="shared" si="22"/>
        <v>-20</v>
      </c>
      <c r="BD39" s="47"/>
      <c r="BE39" s="56">
        <v>20</v>
      </c>
      <c r="BF39" s="56"/>
      <c r="BG39" s="56">
        <v>0</v>
      </c>
      <c r="BH39" s="56"/>
      <c r="BI39" s="56">
        <f t="shared" si="23"/>
        <v>-20</v>
      </c>
      <c r="BJ39" s="47"/>
      <c r="BK39" s="56">
        <v>20</v>
      </c>
      <c r="BL39" s="56"/>
      <c r="BM39" s="56">
        <v>0</v>
      </c>
      <c r="BN39" s="56"/>
      <c r="BO39" s="56">
        <f t="shared" si="24"/>
        <v>-20</v>
      </c>
      <c r="BP39" s="47"/>
      <c r="BQ39" s="56">
        <v>20</v>
      </c>
      <c r="BR39" s="56"/>
      <c r="BS39" s="56">
        <v>0</v>
      </c>
      <c r="BT39" s="56"/>
      <c r="BU39" s="56">
        <f t="shared" si="25"/>
        <v>-20</v>
      </c>
      <c r="BV39" s="47"/>
      <c r="BW39" s="56">
        <f t="shared" si="26"/>
        <v>220</v>
      </c>
      <c r="BX39" s="56"/>
      <c r="BY39" s="56">
        <f t="shared" si="27"/>
        <v>92.4</v>
      </c>
      <c r="BZ39" s="56"/>
      <c r="CA39" s="56">
        <f t="shared" si="28"/>
        <v>-127.6</v>
      </c>
      <c r="CB39" s="47"/>
      <c r="CC39" s="56">
        <f t="shared" si="29"/>
        <v>240</v>
      </c>
      <c r="CD39" s="56"/>
      <c r="CE39" s="56">
        <f t="shared" si="30"/>
        <v>92.4</v>
      </c>
      <c r="CF39" s="56"/>
      <c r="CG39" s="56">
        <f t="shared" si="31"/>
        <v>-147.6</v>
      </c>
    </row>
    <row r="40" spans="1:85" ht="17.25" x14ac:dyDescent="0.4">
      <c r="B40" t="s">
        <v>194</v>
      </c>
      <c r="C40" s="48">
        <v>0</v>
      </c>
      <c r="D40" s="47"/>
      <c r="E40" s="48">
        <f t="array" ref="E40">SUM(IF(data_2019!$B$5:$B$1056="Jan",IF(data_2019!$F$5:$F$1056=$B40,data_2019!$E$5:$E$1056)))</f>
        <v>92.4</v>
      </c>
      <c r="F40" s="47"/>
      <c r="G40" s="48">
        <f t="shared" si="14"/>
        <v>92.4</v>
      </c>
      <c r="H40" s="47"/>
      <c r="I40" s="48">
        <v>0</v>
      </c>
      <c r="J40" s="47"/>
      <c r="K40" s="48">
        <f t="array" ref="K40">SUM(IF(data_2019!$B$5:$B$943="Feb",IF(data_2019!$F$5:$F$943=$B40,data_2019!$E$5:$E$943)))</f>
        <v>0</v>
      </c>
      <c r="L40" s="47"/>
      <c r="M40" s="48">
        <f t="shared" si="15"/>
        <v>0</v>
      </c>
      <c r="N40" s="47"/>
      <c r="O40" s="48">
        <v>0</v>
      </c>
      <c r="P40" s="47"/>
      <c r="Q40" s="48">
        <f t="array" ref="Q40">SUM(IF(data_2019!$B$5:$B$943="Mar",IF(data_2019!$F$5:$F$943=$B40,data_2019!$E$5:$E$943)))</f>
        <v>0</v>
      </c>
      <c r="R40" s="47"/>
      <c r="S40" s="48">
        <f t="shared" si="16"/>
        <v>0</v>
      </c>
      <c r="T40" s="47"/>
      <c r="U40" s="48">
        <v>0</v>
      </c>
      <c r="V40" s="47"/>
      <c r="W40" s="48">
        <f t="array" ref="W40">SUM(IF(data_2019!$B$5:$B$943="Apr",IF(data_2019!$F$5:$F$943=$B40,data_2019!$E$5:$E$943)))</f>
        <v>0</v>
      </c>
      <c r="X40" s="47"/>
      <c r="Y40" s="48">
        <f t="shared" si="17"/>
        <v>0</v>
      </c>
      <c r="Z40" s="47"/>
      <c r="AA40" s="48">
        <v>0</v>
      </c>
      <c r="AB40" s="47"/>
      <c r="AC40" s="48">
        <f t="array" ref="AC40">SUM(IF(data_2019!$B$5:$B$943="May",IF(data_2019!$F$5:$F$943=$B40,data_2019!$E$5:$E$943)))</f>
        <v>80</v>
      </c>
      <c r="AD40" s="47"/>
      <c r="AE40" s="48">
        <f t="shared" si="18"/>
        <v>80</v>
      </c>
      <c r="AF40" s="47"/>
      <c r="AG40" s="48">
        <v>0</v>
      </c>
      <c r="AH40" s="47"/>
      <c r="AI40" s="48">
        <f t="array" ref="AI40">SUM(IF(data_2019!$B$5:$B$943="Jun",IF(data_2019!$F$5:$F$943=$B40,data_2019!$E$5:$E$943)))</f>
        <v>1711.1599999999999</v>
      </c>
      <c r="AJ40" s="47"/>
      <c r="AK40" s="48">
        <f t="shared" si="19"/>
        <v>1711.1599999999999</v>
      </c>
      <c r="AL40" s="47"/>
      <c r="AM40" s="48">
        <v>0</v>
      </c>
      <c r="AN40" s="47"/>
      <c r="AO40" s="48">
        <f t="array" ref="AO40">SUM(IF(data_2019!$B$5:$B$943="Jul",IF(data_2019!$F$5:$F$943=$B40,data_2019!$E$5:$E$943)))</f>
        <v>0</v>
      </c>
      <c r="AP40" s="47"/>
      <c r="AQ40" s="48">
        <f t="shared" si="20"/>
        <v>0</v>
      </c>
      <c r="AR40" s="47"/>
      <c r="AS40" s="48">
        <v>0</v>
      </c>
      <c r="AT40" s="47"/>
      <c r="AU40" s="48">
        <v>0</v>
      </c>
      <c r="AV40" s="47"/>
      <c r="AW40" s="48">
        <f t="shared" si="21"/>
        <v>0</v>
      </c>
      <c r="AX40" s="47"/>
      <c r="AY40" s="48">
        <v>0</v>
      </c>
      <c r="AZ40" s="47"/>
      <c r="BA40" s="48">
        <v>0</v>
      </c>
      <c r="BB40" s="47"/>
      <c r="BC40" s="48">
        <f t="shared" si="22"/>
        <v>0</v>
      </c>
      <c r="BD40" s="47"/>
      <c r="BE40" s="48">
        <v>0</v>
      </c>
      <c r="BF40" s="47"/>
      <c r="BG40" s="48">
        <v>0</v>
      </c>
      <c r="BH40" s="47"/>
      <c r="BI40" s="48">
        <f t="shared" si="23"/>
        <v>0</v>
      </c>
      <c r="BJ40" s="47"/>
      <c r="BK40" s="48">
        <v>0</v>
      </c>
      <c r="BL40" s="47"/>
      <c r="BM40" s="48">
        <v>0</v>
      </c>
      <c r="BN40" s="47"/>
      <c r="BO40" s="48">
        <f t="shared" si="24"/>
        <v>0</v>
      </c>
      <c r="BP40" s="47"/>
      <c r="BQ40" s="48">
        <v>0</v>
      </c>
      <c r="BR40" s="47"/>
      <c r="BS40" s="48">
        <v>0</v>
      </c>
      <c r="BT40" s="47"/>
      <c r="BU40" s="48">
        <f t="shared" si="25"/>
        <v>0</v>
      </c>
      <c r="BV40" s="47"/>
      <c r="BW40" s="48">
        <f t="shared" si="26"/>
        <v>0</v>
      </c>
      <c r="BX40" s="47"/>
      <c r="BY40" s="48">
        <f t="shared" si="27"/>
        <v>1883.56</v>
      </c>
      <c r="BZ40" s="47"/>
      <c r="CA40" s="48">
        <f t="shared" si="28"/>
        <v>1883.56</v>
      </c>
      <c r="CB40" s="47"/>
      <c r="CC40" s="48">
        <f t="shared" si="29"/>
        <v>0</v>
      </c>
      <c r="CD40" s="47"/>
      <c r="CE40" s="48">
        <f t="shared" si="30"/>
        <v>1883.56</v>
      </c>
      <c r="CF40" s="47"/>
      <c r="CG40" s="48">
        <f t="shared" si="31"/>
        <v>1883.56</v>
      </c>
    </row>
    <row r="41" spans="1:85" x14ac:dyDescent="0.25">
      <c r="B41" s="4" t="s">
        <v>9</v>
      </c>
      <c r="C41" s="49">
        <f>SUM(C14:C40)</f>
        <v>4688.9100000000008</v>
      </c>
      <c r="D41" s="49"/>
      <c r="E41" s="49">
        <f>SUM(E14:E40)</f>
        <v>5453.89</v>
      </c>
      <c r="F41" s="49"/>
      <c r="G41" s="49">
        <f>SUM(G14:G40)</f>
        <v>764.98000000000013</v>
      </c>
      <c r="H41" s="49"/>
      <c r="I41" s="49">
        <f>SUM(I14:I40)</f>
        <v>4634.9100000000008</v>
      </c>
      <c r="J41" s="49"/>
      <c r="K41" s="49">
        <f>SUM(K14:K40)</f>
        <v>8029.85</v>
      </c>
      <c r="L41" s="49"/>
      <c r="M41" s="49">
        <f>SUM(M14:M40)</f>
        <v>3394.9400000000005</v>
      </c>
      <c r="N41" s="49"/>
      <c r="O41" s="49">
        <f>SUM(O14:O40)</f>
        <v>4871.17</v>
      </c>
      <c r="P41" s="49"/>
      <c r="Q41" s="49">
        <f>SUM(Q14:Q40)</f>
        <v>6400.6100000000006</v>
      </c>
      <c r="R41" s="49"/>
      <c r="S41" s="49">
        <f>SUM(S14:S40)</f>
        <v>1529.44</v>
      </c>
      <c r="T41" s="49"/>
      <c r="U41" s="49">
        <f>SUM(U14:U40)</f>
        <v>4951.17</v>
      </c>
      <c r="V41" s="49"/>
      <c r="W41" s="49">
        <f>SUM(W14:W40)</f>
        <v>5657.85</v>
      </c>
      <c r="X41" s="49"/>
      <c r="Y41" s="49">
        <f>SUM(Y14:Y40)</f>
        <v>706.68000000000006</v>
      </c>
      <c r="Z41" s="49"/>
      <c r="AA41" s="49">
        <f>SUM(AA14:AA40)</f>
        <v>5211.17</v>
      </c>
      <c r="AB41" s="49"/>
      <c r="AC41" s="49">
        <f>SUM(AC14:AC40)</f>
        <v>5965.9919999999984</v>
      </c>
      <c r="AD41" s="49"/>
      <c r="AE41" s="49">
        <f>SUM(AE14:AE40)</f>
        <v>754.822</v>
      </c>
      <c r="AF41" s="49"/>
      <c r="AG41" s="49">
        <f>SUM(AG14:AG40)</f>
        <v>4661.17</v>
      </c>
      <c r="AH41" s="49"/>
      <c r="AI41" s="49">
        <f>SUM(AI14:AI40)</f>
        <v>6212.03</v>
      </c>
      <c r="AJ41" s="49"/>
      <c r="AK41" s="49">
        <f>SUM(AK14:AK40)</f>
        <v>1550.8599999999997</v>
      </c>
      <c r="AL41" s="49"/>
      <c r="AM41" s="49">
        <f>SUM(AM14:AM40)</f>
        <v>4791.17</v>
      </c>
      <c r="AN41" s="49"/>
      <c r="AO41" s="49">
        <f>SUM(AO14:AO40)</f>
        <v>5740.9999999999982</v>
      </c>
      <c r="AP41" s="49"/>
      <c r="AQ41" s="49">
        <f>SUM(AQ14:AQ40)</f>
        <v>949.83</v>
      </c>
      <c r="AR41" s="49"/>
      <c r="AS41" s="49">
        <f>SUM(AS14:AS40)</f>
        <v>4491.17</v>
      </c>
      <c r="AT41" s="49"/>
      <c r="AU41" s="49">
        <f>SUM(AU14:AU40)</f>
        <v>2913.1699999999996</v>
      </c>
      <c r="AV41" s="49"/>
      <c r="AW41" s="49">
        <f>SUM(AW14:AW40)</f>
        <v>-1578</v>
      </c>
      <c r="AX41" s="49"/>
      <c r="AY41" s="49">
        <f>SUM(AY14:AY40)</f>
        <v>4426.17</v>
      </c>
      <c r="AZ41" s="49"/>
      <c r="BA41" s="49">
        <f>SUM(BA14:BA40)</f>
        <v>2848.1699999999996</v>
      </c>
      <c r="BB41" s="49"/>
      <c r="BC41" s="49">
        <f>SUM(BC14:BC40)</f>
        <v>-1578</v>
      </c>
      <c r="BD41" s="49"/>
      <c r="BE41" s="49">
        <f>SUM(BE14:BE40)</f>
        <v>4426.17</v>
      </c>
      <c r="BF41" s="49"/>
      <c r="BG41" s="49">
        <f>SUM(BG14:BG40)</f>
        <v>2848.1699999999996</v>
      </c>
      <c r="BH41" s="49"/>
      <c r="BI41" s="49">
        <f>SUM(BI14:BI40)</f>
        <v>-1578</v>
      </c>
      <c r="BJ41" s="49"/>
      <c r="BK41" s="49">
        <f>SUM(BK14:BK40)</f>
        <v>4976.17</v>
      </c>
      <c r="BL41" s="49"/>
      <c r="BM41" s="49">
        <f>SUM(BM14:BM40)</f>
        <v>3398.1699999999996</v>
      </c>
      <c r="BN41" s="49"/>
      <c r="BO41" s="49">
        <f>SUM(BO14:BO40)</f>
        <v>-1578</v>
      </c>
      <c r="BP41" s="49"/>
      <c r="BQ41" s="49">
        <f>SUM(BQ14:BQ40)</f>
        <v>4426.17</v>
      </c>
      <c r="BR41" s="49"/>
      <c r="BS41" s="49">
        <f>SUM(BS14:BS40)</f>
        <v>2848.1699999999996</v>
      </c>
      <c r="BT41" s="49"/>
      <c r="BU41" s="49">
        <f>SUM(BU14:BU40)</f>
        <v>-1578</v>
      </c>
      <c r="BV41" s="49"/>
      <c r="BW41" s="49">
        <f>SUM(BW14:BW40)</f>
        <v>52129.350000000006</v>
      </c>
      <c r="BX41" s="49"/>
      <c r="BY41" s="49">
        <f>SUM(BY14:BY40)</f>
        <v>55468.901999999995</v>
      </c>
      <c r="BZ41" s="49"/>
      <c r="CA41" s="49">
        <f>SUM(CA14:CA40)</f>
        <v>3339.5519999999983</v>
      </c>
      <c r="CB41" s="49"/>
      <c r="CC41" s="49">
        <f>SUM(CC14:CC40)</f>
        <v>56555.519999999997</v>
      </c>
      <c r="CD41" s="49"/>
      <c r="CE41" s="49">
        <f>SUM(CE14:CE40)</f>
        <v>58317.071999999993</v>
      </c>
      <c r="CF41" s="49"/>
      <c r="CG41" s="49">
        <f>SUM(CG14:CG40)</f>
        <v>1761.5519999999995</v>
      </c>
    </row>
    <row r="42" spans="1:85" x14ac:dyDescent="0.25"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</row>
    <row r="43" spans="1:85" ht="18" x14ac:dyDescent="0.4">
      <c r="A43" s="59" t="s">
        <v>211</v>
      </c>
      <c r="B43" s="4"/>
      <c r="C43" s="51">
        <f>C11-C41</f>
        <v>3232.2</v>
      </c>
      <c r="D43" s="49"/>
      <c r="E43" s="51">
        <f>E11-E41</f>
        <v>2467.2200000000003</v>
      </c>
      <c r="F43" s="49"/>
      <c r="G43" s="51">
        <f>G11-G41</f>
        <v>-764.98000000000013</v>
      </c>
      <c r="H43" s="49"/>
      <c r="I43" s="51">
        <f>I11-I41</f>
        <v>3286.2</v>
      </c>
      <c r="J43" s="49"/>
      <c r="K43" s="51">
        <f>K11-K41</f>
        <v>-108.73999999999978</v>
      </c>
      <c r="L43" s="49"/>
      <c r="M43" s="51">
        <f>M11-M41</f>
        <v>-3394.9400000000005</v>
      </c>
      <c r="N43" s="49"/>
      <c r="O43" s="51">
        <f>O11-O41</f>
        <v>3049.9400000000005</v>
      </c>
      <c r="P43" s="49"/>
      <c r="Q43" s="51">
        <f>Q11-Q41</f>
        <v>1520.5</v>
      </c>
      <c r="R43" s="49"/>
      <c r="S43" s="51">
        <f>S11-S41</f>
        <v>-1529.44</v>
      </c>
      <c r="T43" s="49"/>
      <c r="U43" s="51">
        <f>U11-U41</f>
        <v>2969.9400000000005</v>
      </c>
      <c r="V43" s="49"/>
      <c r="W43" s="51">
        <f>W11-W41</f>
        <v>2263.2600000000002</v>
      </c>
      <c r="X43" s="49"/>
      <c r="Y43" s="51">
        <f>Y11-Y41</f>
        <v>-706.68000000000006</v>
      </c>
      <c r="Z43" s="49"/>
      <c r="AA43" s="51">
        <f>AA11-AA41</f>
        <v>6195.01</v>
      </c>
      <c r="AB43" s="49"/>
      <c r="AC43" s="51">
        <f>AC11-AC41</f>
        <v>5440.1880000000019</v>
      </c>
      <c r="AD43" s="49"/>
      <c r="AE43" s="51">
        <f>AE11-AE41</f>
        <v>-754.822</v>
      </c>
      <c r="AF43" s="49"/>
      <c r="AG43" s="51">
        <f>AG11-AG41</f>
        <v>3277.5300000000007</v>
      </c>
      <c r="AH43" s="49"/>
      <c r="AI43" s="51">
        <f>AI11-AI41</f>
        <v>1726.670000000001</v>
      </c>
      <c r="AJ43" s="49"/>
      <c r="AK43" s="51">
        <f>AK11-AK41</f>
        <v>-1550.8599999999997</v>
      </c>
      <c r="AL43" s="49"/>
      <c r="AM43" s="51">
        <f>AM11-AM41</f>
        <v>3147.5300000000007</v>
      </c>
      <c r="AN43" s="49"/>
      <c r="AO43" s="51">
        <f>AO11-AO41</f>
        <v>505.4900000000016</v>
      </c>
      <c r="AP43" s="49"/>
      <c r="AQ43" s="51">
        <f>AQ11-AQ41</f>
        <v>-1757.62</v>
      </c>
      <c r="AR43" s="49"/>
      <c r="AS43" s="51">
        <f>AS11-AS41</f>
        <v>3447.5300000000007</v>
      </c>
      <c r="AT43" s="49"/>
      <c r="AU43" s="51">
        <f>AU11-AU41</f>
        <v>5025.5300000000007</v>
      </c>
      <c r="AV43" s="49"/>
      <c r="AW43" s="51">
        <f>AW11-AW41</f>
        <v>1578</v>
      </c>
      <c r="AX43" s="49"/>
      <c r="AY43" s="51">
        <f>AY11-AY41</f>
        <v>3512.5300000000007</v>
      </c>
      <c r="AZ43" s="49"/>
      <c r="BA43" s="51">
        <f>BA11-BA41</f>
        <v>5090.5300000000007</v>
      </c>
      <c r="BB43" s="49"/>
      <c r="BC43" s="51">
        <f>BC11-BC41</f>
        <v>1578</v>
      </c>
      <c r="BD43" s="49"/>
      <c r="BE43" s="51">
        <f>BE11-BE41</f>
        <v>3512.5300000000007</v>
      </c>
      <c r="BF43" s="49"/>
      <c r="BG43" s="51">
        <f>BG11-BG41</f>
        <v>5090.5300000000007</v>
      </c>
      <c r="BH43" s="49"/>
      <c r="BI43" s="51">
        <f>BI11-BI41</f>
        <v>1578</v>
      </c>
      <c r="BJ43" s="49"/>
      <c r="BK43" s="51">
        <f>BK11-BK41</f>
        <v>6456.3799999999992</v>
      </c>
      <c r="BL43" s="49"/>
      <c r="BM43" s="51">
        <f>BM11-BM41</f>
        <v>8034.3799999999992</v>
      </c>
      <c r="BN43" s="49"/>
      <c r="BO43" s="51">
        <f>BO11-BO41</f>
        <v>1578</v>
      </c>
      <c r="BP43" s="49"/>
      <c r="BQ43" s="51">
        <f>BQ11-BQ41</f>
        <v>3512.5300000000007</v>
      </c>
      <c r="BR43" s="49"/>
      <c r="BS43" s="51">
        <f>BS11-BS41</f>
        <v>5090.5300000000007</v>
      </c>
      <c r="BT43" s="49"/>
      <c r="BU43" s="51">
        <f>BU11-BU41</f>
        <v>1578</v>
      </c>
      <c r="BV43" s="49"/>
      <c r="BW43" s="51">
        <f>BW11-BW41</f>
        <v>42087.319999999992</v>
      </c>
      <c r="BX43" s="49"/>
      <c r="BY43" s="51">
        <f>BY11-BY41</f>
        <v>37055.557999999997</v>
      </c>
      <c r="BZ43" s="49"/>
      <c r="CA43" s="51">
        <f>CA11-CA41</f>
        <v>-4147.3419999999987</v>
      </c>
      <c r="CB43" s="49"/>
      <c r="CC43" s="51">
        <f>CC11-CC41</f>
        <v>45599.85</v>
      </c>
      <c r="CD43" s="49"/>
      <c r="CE43" s="51">
        <f>CE11-CE41</f>
        <v>42146.087999999996</v>
      </c>
      <c r="CF43" s="49"/>
      <c r="CG43" s="51">
        <f>CG11-CG41</f>
        <v>-2569.3419999999996</v>
      </c>
    </row>
    <row r="44" spans="1:85" x14ac:dyDescent="0.25"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</row>
    <row r="45" spans="1:85" x14ac:dyDescent="0.25">
      <c r="C45" s="60" t="s">
        <v>213</v>
      </c>
      <c r="D45" s="47"/>
      <c r="E45" s="60" t="s">
        <v>214</v>
      </c>
      <c r="F45" s="47"/>
      <c r="G45" s="60" t="s">
        <v>512</v>
      </c>
      <c r="H45" s="47"/>
      <c r="I45" s="60" t="s">
        <v>213</v>
      </c>
      <c r="J45" s="47"/>
      <c r="K45" s="60" t="s">
        <v>214</v>
      </c>
      <c r="L45" s="47"/>
      <c r="M45" s="60" t="s">
        <v>512</v>
      </c>
      <c r="N45" s="47"/>
      <c r="O45" s="60" t="s">
        <v>213</v>
      </c>
      <c r="P45" s="47"/>
      <c r="Q45" s="60" t="s">
        <v>214</v>
      </c>
      <c r="R45" s="47"/>
      <c r="S45" s="60" t="s">
        <v>512</v>
      </c>
      <c r="T45" s="47"/>
      <c r="U45" s="60" t="s">
        <v>213</v>
      </c>
      <c r="V45" s="47"/>
      <c r="W45" s="60" t="s">
        <v>214</v>
      </c>
      <c r="X45" s="47"/>
      <c r="Y45" s="60" t="s">
        <v>512</v>
      </c>
      <c r="Z45" s="47"/>
      <c r="AA45" s="47"/>
      <c r="AB45" s="47"/>
      <c r="AC45" s="47"/>
      <c r="AD45" s="47"/>
      <c r="AE45" s="60" t="s">
        <v>512</v>
      </c>
      <c r="AF45" s="47"/>
      <c r="AG45" s="60" t="s">
        <v>213</v>
      </c>
      <c r="AH45" s="47"/>
      <c r="AI45" s="60" t="s">
        <v>214</v>
      </c>
      <c r="AJ45" s="47"/>
      <c r="AK45" s="60" t="s">
        <v>512</v>
      </c>
      <c r="AL45" s="47"/>
      <c r="AM45" s="60" t="s">
        <v>213</v>
      </c>
      <c r="AN45" s="47"/>
      <c r="AO45" s="60" t="s">
        <v>214</v>
      </c>
      <c r="AP45" s="47"/>
      <c r="AQ45" s="60" t="s">
        <v>512</v>
      </c>
      <c r="AR45" s="47"/>
      <c r="AS45" s="60" t="s">
        <v>213</v>
      </c>
      <c r="AT45" s="47"/>
      <c r="AU45" s="60" t="s">
        <v>214</v>
      </c>
      <c r="AV45" s="47"/>
      <c r="AW45" s="60" t="s">
        <v>512</v>
      </c>
      <c r="AX45" s="47"/>
      <c r="AY45" s="60" t="s">
        <v>213</v>
      </c>
      <c r="AZ45" s="47"/>
      <c r="BA45" s="60" t="s">
        <v>214</v>
      </c>
      <c r="BB45" s="47"/>
      <c r="BC45" s="60" t="s">
        <v>512</v>
      </c>
      <c r="BD45" s="47"/>
      <c r="BE45" s="60" t="s">
        <v>213</v>
      </c>
      <c r="BF45" s="47"/>
      <c r="BG45" s="60" t="s">
        <v>214</v>
      </c>
      <c r="BH45" s="47"/>
      <c r="BI45" s="60" t="s">
        <v>512</v>
      </c>
      <c r="BJ45" s="47"/>
      <c r="BK45" s="60" t="s">
        <v>213</v>
      </c>
      <c r="BL45" s="47"/>
      <c r="BM45" s="60" t="s">
        <v>214</v>
      </c>
      <c r="BN45" s="47"/>
      <c r="BO45" s="60" t="s">
        <v>512</v>
      </c>
      <c r="BP45" s="47"/>
      <c r="BQ45" s="60" t="s">
        <v>213</v>
      </c>
      <c r="BR45" s="47"/>
      <c r="BS45" s="60" t="s">
        <v>214</v>
      </c>
      <c r="BT45" s="47"/>
      <c r="BU45" s="60" t="s">
        <v>512</v>
      </c>
      <c r="BV45" s="47"/>
      <c r="BW45" s="47"/>
      <c r="BX45" s="47"/>
      <c r="BY45" s="47"/>
      <c r="BZ45" s="47"/>
      <c r="CA45" s="60" t="s">
        <v>512</v>
      </c>
      <c r="CB45" s="47"/>
      <c r="CC45" s="47"/>
      <c r="CD45" s="47"/>
      <c r="CE45" s="47"/>
      <c r="CF45" s="47"/>
      <c r="CG45" s="60" t="s">
        <v>512</v>
      </c>
    </row>
    <row r="46" spans="1:85" x14ac:dyDescent="0.25">
      <c r="A46" s="12" t="s">
        <v>24</v>
      </c>
      <c r="B46" s="13"/>
      <c r="C46" s="123">
        <f>Cash!W58-500</f>
        <v>17514</v>
      </c>
      <c r="D46" s="52"/>
      <c r="E46" s="52">
        <f>C46</f>
        <v>17514</v>
      </c>
      <c r="F46" s="52"/>
      <c r="G46" s="52">
        <f>E46-C46</f>
        <v>0</v>
      </c>
      <c r="H46" s="58"/>
      <c r="I46" s="123">
        <f>C47</f>
        <v>20746.2</v>
      </c>
      <c r="J46" s="52"/>
      <c r="K46" s="52">
        <v>21114</v>
      </c>
      <c r="L46" s="52"/>
      <c r="M46" s="52">
        <f>K46-I46</f>
        <v>367.79999999999927</v>
      </c>
      <c r="N46" s="58"/>
      <c r="O46" s="123">
        <f>I47</f>
        <v>24469.940000000002</v>
      </c>
      <c r="P46" s="52"/>
      <c r="Q46" s="52">
        <f>K47</f>
        <v>21000</v>
      </c>
      <c r="R46" s="52"/>
      <c r="S46" s="52">
        <f>Q46-O46</f>
        <v>-3469.9400000000023</v>
      </c>
      <c r="T46" s="58"/>
      <c r="U46" s="123">
        <f>O47</f>
        <v>27957.420000000006</v>
      </c>
      <c r="V46" s="52"/>
      <c r="W46" s="52">
        <f>Q47</f>
        <v>22958.04</v>
      </c>
      <c r="X46" s="52"/>
      <c r="Y46" s="52">
        <f>W46-U46</f>
        <v>-4999.3800000000047</v>
      </c>
      <c r="Z46" s="58"/>
      <c r="AA46" s="123">
        <f>U47</f>
        <v>31364.900000000009</v>
      </c>
      <c r="AB46" s="52"/>
      <c r="AC46" s="52">
        <f>W47</f>
        <v>25658.840000000004</v>
      </c>
      <c r="AD46" s="52"/>
      <c r="AE46" s="52">
        <f>AC46-AA46</f>
        <v>-5706.0600000000049</v>
      </c>
      <c r="AF46" s="58"/>
      <c r="AG46" s="123">
        <f>AA47</f>
        <v>37997.450000000012</v>
      </c>
      <c r="AH46" s="52"/>
      <c r="AI46" s="52">
        <f>AC47</f>
        <v>31536.568000000007</v>
      </c>
      <c r="AJ46" s="52"/>
      <c r="AK46" s="52">
        <f>AI46-AG46</f>
        <v>-6460.8820000000051</v>
      </c>
      <c r="AL46" s="58"/>
      <c r="AM46" s="123">
        <f>AG47</f>
        <v>41712.520000000011</v>
      </c>
      <c r="AN46" s="52"/>
      <c r="AO46" s="52">
        <f>AI47</f>
        <v>33700.778000000006</v>
      </c>
      <c r="AP46" s="52"/>
      <c r="AQ46" s="52">
        <f>AO46-AM46</f>
        <v>-8011.7420000000056</v>
      </c>
      <c r="AR46" s="58"/>
      <c r="AS46" s="123">
        <f>AM47</f>
        <v>45297.590000000011</v>
      </c>
      <c r="AT46" s="52"/>
      <c r="AU46" s="52">
        <f>AO47</f>
        <v>34643.808000000012</v>
      </c>
      <c r="AV46" s="52"/>
      <c r="AW46" s="52">
        <f>AU46-AS46</f>
        <v>-10653.781999999999</v>
      </c>
      <c r="AX46" s="58"/>
      <c r="AY46" s="123">
        <f>AS47</f>
        <v>49182.660000000011</v>
      </c>
      <c r="AZ46" s="52"/>
      <c r="BA46" s="52">
        <f>AU47</f>
        <v>40106.878000000012</v>
      </c>
      <c r="BB46" s="52"/>
      <c r="BC46" s="52">
        <f>BA46-AY46</f>
        <v>-9075.7819999999992</v>
      </c>
      <c r="BD46" s="58"/>
      <c r="BE46" s="123">
        <f>AY47</f>
        <v>53132.73000000001</v>
      </c>
      <c r="BF46" s="52"/>
      <c r="BG46" s="52">
        <f>BA47</f>
        <v>45634.948000000011</v>
      </c>
      <c r="BH46" s="52"/>
      <c r="BI46" s="52">
        <f>BG46-BE46</f>
        <v>-7497.7819999999992</v>
      </c>
      <c r="BJ46" s="58"/>
      <c r="BK46" s="123">
        <f>BE47</f>
        <v>57082.80000000001</v>
      </c>
      <c r="BL46" s="52"/>
      <c r="BM46" s="52">
        <f>BG47</f>
        <v>51163.018000000011</v>
      </c>
      <c r="BN46" s="52"/>
      <c r="BO46" s="52">
        <f>BM46-BK46</f>
        <v>-5919.7819999999992</v>
      </c>
      <c r="BP46" s="58"/>
      <c r="BQ46" s="123">
        <f>BK47</f>
        <v>63976.720000000008</v>
      </c>
      <c r="BR46" s="52"/>
      <c r="BS46" s="52">
        <f>BM47</f>
        <v>59634.938000000009</v>
      </c>
      <c r="BT46" s="52"/>
      <c r="BU46" s="52">
        <f>BS46-BQ46</f>
        <v>-4341.7819999999992</v>
      </c>
      <c r="BV46" s="58"/>
      <c r="BW46" s="123">
        <f>CHOOSE($CK$7,C46,I46,O46,U46,AA46,AG46,AM46,AS46,AY46,BE46,BK46,BQ46)</f>
        <v>57082.80000000001</v>
      </c>
      <c r="BX46" s="52"/>
      <c r="BY46" s="52">
        <f>CHOOSE($CK$7,E46,K46,Q46,W46,AC46,AI46,AO46,AU46,BA46,BG46,BM46,BS46)</f>
        <v>51163.018000000011</v>
      </c>
      <c r="BZ46" s="52"/>
      <c r="CA46" s="52">
        <f>BY46-BW46</f>
        <v>-5919.7819999999992</v>
      </c>
      <c r="CB46" s="58"/>
      <c r="CC46" s="123">
        <f>BQ46</f>
        <v>63976.720000000008</v>
      </c>
      <c r="CD46" s="52"/>
      <c r="CE46" s="52">
        <f>BS46</f>
        <v>59634.938000000009</v>
      </c>
      <c r="CF46" s="52"/>
      <c r="CG46" s="52">
        <f>CE46-CC46</f>
        <v>-4341.7819999999992</v>
      </c>
    </row>
    <row r="47" spans="1:85" x14ac:dyDescent="0.25">
      <c r="A47" s="12" t="s">
        <v>25</v>
      </c>
      <c r="B47" s="13"/>
      <c r="C47" s="53">
        <f>C46+C43</f>
        <v>20746.2</v>
      </c>
      <c r="D47" s="52"/>
      <c r="E47" s="52">
        <f>E46+E43</f>
        <v>19981.22</v>
      </c>
      <c r="F47" s="52"/>
      <c r="G47" s="52">
        <f>E47-C47</f>
        <v>-764.97999999999956</v>
      </c>
      <c r="H47" s="58"/>
      <c r="I47" s="53">
        <f>I46+I43+I15</f>
        <v>24469.940000000002</v>
      </c>
      <c r="J47" s="52"/>
      <c r="K47" s="52">
        <v>21000</v>
      </c>
      <c r="L47" s="52"/>
      <c r="M47" s="52">
        <f>K47-I47</f>
        <v>-3469.9400000000023</v>
      </c>
      <c r="N47" s="58"/>
      <c r="O47" s="53">
        <f>O46+O43+O15</f>
        <v>27957.420000000006</v>
      </c>
      <c r="P47" s="52"/>
      <c r="Q47" s="52">
        <f>Q46+Q43+Q15</f>
        <v>22958.04</v>
      </c>
      <c r="R47" s="52"/>
      <c r="S47" s="52">
        <f>Q47-O47</f>
        <v>-4999.3800000000047</v>
      </c>
      <c r="T47" s="58"/>
      <c r="U47" s="53">
        <f>U46+U43+U15</f>
        <v>31364.900000000009</v>
      </c>
      <c r="V47" s="52"/>
      <c r="W47" s="52">
        <f>W46+W43+W15</f>
        <v>25658.840000000004</v>
      </c>
      <c r="X47" s="52"/>
      <c r="Y47" s="52">
        <f>W47-U47</f>
        <v>-5706.0600000000049</v>
      </c>
      <c r="Z47" s="58"/>
      <c r="AA47" s="53">
        <f>AA46+AA43+AA15</f>
        <v>37997.450000000012</v>
      </c>
      <c r="AB47" s="52"/>
      <c r="AC47" s="52">
        <f>AC46+AC43+AC15</f>
        <v>31536.568000000007</v>
      </c>
      <c r="AD47" s="52"/>
      <c r="AE47" s="52">
        <f>AC47-AA47</f>
        <v>-6460.8820000000051</v>
      </c>
      <c r="AF47" s="58"/>
      <c r="AG47" s="53">
        <f>AG46+AG43+AG15</f>
        <v>41712.520000000011</v>
      </c>
      <c r="AH47" s="52"/>
      <c r="AI47" s="52">
        <f>AI46+AI43+AI15</f>
        <v>33700.778000000006</v>
      </c>
      <c r="AJ47" s="52"/>
      <c r="AK47" s="52">
        <f>AI47-AG47</f>
        <v>-8011.7420000000056</v>
      </c>
      <c r="AL47" s="58"/>
      <c r="AM47" s="53">
        <f>AM46+AM43+AM15</f>
        <v>45297.590000000011</v>
      </c>
      <c r="AN47" s="52"/>
      <c r="AO47" s="52">
        <f>AO46+AO43+AO15</f>
        <v>34643.808000000012</v>
      </c>
      <c r="AP47" s="52"/>
      <c r="AQ47" s="52">
        <f>AO47-AM47</f>
        <v>-10653.781999999999</v>
      </c>
      <c r="AR47" s="58"/>
      <c r="AS47" s="53">
        <f>AS46+AS43+AS15</f>
        <v>49182.660000000011</v>
      </c>
      <c r="AT47" s="52"/>
      <c r="AU47" s="52">
        <f>AU46+AU43+AU15</f>
        <v>40106.878000000012</v>
      </c>
      <c r="AV47" s="52"/>
      <c r="AW47" s="52">
        <f>AU47-AS47</f>
        <v>-9075.7819999999992</v>
      </c>
      <c r="AX47" s="58"/>
      <c r="AY47" s="53">
        <f>AY46+AY43+AY15</f>
        <v>53132.73000000001</v>
      </c>
      <c r="AZ47" s="52"/>
      <c r="BA47" s="52">
        <f>BA46+BA43+BA15</f>
        <v>45634.948000000011</v>
      </c>
      <c r="BB47" s="52"/>
      <c r="BC47" s="52">
        <f>BA47-AY47</f>
        <v>-7497.7819999999992</v>
      </c>
      <c r="BD47" s="58"/>
      <c r="BE47" s="53">
        <f>BE46+BE43+BE15</f>
        <v>57082.80000000001</v>
      </c>
      <c r="BF47" s="52"/>
      <c r="BG47" s="52">
        <f>BG46+BG43+BG15</f>
        <v>51163.018000000011</v>
      </c>
      <c r="BH47" s="52"/>
      <c r="BI47" s="52">
        <f>BG47-BE47</f>
        <v>-5919.7819999999992</v>
      </c>
      <c r="BJ47" s="58"/>
      <c r="BK47" s="53">
        <f>BK46+BK43+BK15</f>
        <v>63976.720000000008</v>
      </c>
      <c r="BL47" s="52"/>
      <c r="BM47" s="52">
        <f>BM46+BM43+BM15</f>
        <v>59634.938000000009</v>
      </c>
      <c r="BN47" s="52"/>
      <c r="BO47" s="52">
        <f>BM47-BK47</f>
        <v>-4341.7819999999992</v>
      </c>
      <c r="BP47" s="58"/>
      <c r="BQ47" s="53">
        <f>BQ46+BQ43+BQ15</f>
        <v>67926.790000000008</v>
      </c>
      <c r="BR47" s="52"/>
      <c r="BS47" s="52">
        <f>BS46+BS43+BS15</f>
        <v>65163.008000000009</v>
      </c>
      <c r="BT47" s="52"/>
      <c r="BU47" s="52">
        <f>BS47-BQ47</f>
        <v>-2763.7819999999992</v>
      </c>
      <c r="BV47" s="58"/>
      <c r="BW47" s="53">
        <f>CHOOSE($CK$7,C47,I47,O47,U47,AA47,AG47,AM47,AS47,AY47,BE47,BK47,BQ47)</f>
        <v>63976.720000000008</v>
      </c>
      <c r="BX47" s="52"/>
      <c r="BY47" s="52">
        <f>CHOOSE($CK$7,E47,K47,Q47,W47,AC47,AI47,AO47,AU47,BA47,BG47,BM47,BS47)</f>
        <v>59634.938000000009</v>
      </c>
      <c r="BZ47" s="52"/>
      <c r="CA47" s="52">
        <f>BY47-BW47</f>
        <v>-4341.7819999999992</v>
      </c>
      <c r="CB47" s="58"/>
      <c r="CC47" s="53">
        <f>BQ47</f>
        <v>67926.790000000008</v>
      </c>
      <c r="CD47" s="52"/>
      <c r="CE47" s="52">
        <f>BS47</f>
        <v>65163.008000000009</v>
      </c>
      <c r="CF47" s="52"/>
      <c r="CG47" s="52">
        <f>CE47-CC47</f>
        <v>-2763.7819999999992</v>
      </c>
    </row>
    <row r="49" spans="1:69" x14ac:dyDescent="0.25">
      <c r="A49" s="14"/>
      <c r="B49" s="15" t="s">
        <v>139</v>
      </c>
    </row>
    <row r="52" spans="1:69" ht="17.25" x14ac:dyDescent="0.4">
      <c r="A52" t="s">
        <v>231</v>
      </c>
      <c r="C52" s="73" t="str">
        <f>C3</f>
        <v>Jan, 19</v>
      </c>
      <c r="I52" s="73" t="str">
        <f>I3</f>
        <v>Feb</v>
      </c>
      <c r="O52" s="73" t="str">
        <f>O3</f>
        <v>Mar</v>
      </c>
      <c r="U52" s="73" t="str">
        <f>U3</f>
        <v>Apr</v>
      </c>
      <c r="AA52" s="73" t="str">
        <f>AA3</f>
        <v>May</v>
      </c>
      <c r="AG52" s="73" t="str">
        <f>AG3</f>
        <v>Jun</v>
      </c>
      <c r="AM52" s="73" t="str">
        <f>AM3</f>
        <v>Jul</v>
      </c>
      <c r="AS52" s="73" t="str">
        <f>AS3</f>
        <v>Aug</v>
      </c>
      <c r="AY52" s="73" t="str">
        <f>AY3</f>
        <v>Sep</v>
      </c>
      <c r="BE52" s="73" t="str">
        <f>BE3</f>
        <v>Oct</v>
      </c>
      <c r="BK52" s="73" t="str">
        <f>BK3</f>
        <v>Nov</v>
      </c>
      <c r="BQ52" s="73" t="str">
        <f>BQ3</f>
        <v>Dec</v>
      </c>
    </row>
    <row r="56" spans="1:69" ht="17.25" x14ac:dyDescent="0.4">
      <c r="C56" s="73" t="s">
        <v>649</v>
      </c>
      <c r="G56" s="73" t="s">
        <v>650</v>
      </c>
    </row>
    <row r="57" spans="1:69" x14ac:dyDescent="0.25">
      <c r="A57" t="s">
        <v>635</v>
      </c>
      <c r="C57" s="40">
        <v>21114</v>
      </c>
      <c r="G57" s="40">
        <v>2170</v>
      </c>
      <c r="H57" t="s">
        <v>847</v>
      </c>
    </row>
    <row r="58" spans="1:69" x14ac:dyDescent="0.25">
      <c r="B58" t="s">
        <v>644</v>
      </c>
      <c r="C58" s="130">
        <v>-2000</v>
      </c>
      <c r="G58" s="130">
        <v>0</v>
      </c>
    </row>
    <row r="59" spans="1:69" x14ac:dyDescent="0.25">
      <c r="B59" t="s">
        <v>644</v>
      </c>
      <c r="C59" s="130">
        <v>0</v>
      </c>
      <c r="G59" s="130">
        <v>0</v>
      </c>
    </row>
    <row r="60" spans="1:69" x14ac:dyDescent="0.25">
      <c r="B60" t="s">
        <v>644</v>
      </c>
      <c r="C60" s="130">
        <v>0</v>
      </c>
      <c r="G60" s="130">
        <v>0</v>
      </c>
    </row>
    <row r="61" spans="1:69" x14ac:dyDescent="0.25">
      <c r="B61" t="s">
        <v>644</v>
      </c>
      <c r="C61" s="130">
        <v>0</v>
      </c>
      <c r="G61" s="130">
        <v>0</v>
      </c>
    </row>
    <row r="62" spans="1:69" x14ac:dyDescent="0.25">
      <c r="B62" t="s">
        <v>644</v>
      </c>
      <c r="C62" s="130">
        <v>0</v>
      </c>
      <c r="G62" s="130">
        <v>0</v>
      </c>
    </row>
    <row r="63" spans="1:69" x14ac:dyDescent="0.25">
      <c r="C63" s="130"/>
      <c r="G63" s="130">
        <v>0</v>
      </c>
    </row>
    <row r="64" spans="1:69" x14ac:dyDescent="0.25">
      <c r="C64" s="130"/>
      <c r="G64" s="130">
        <v>0</v>
      </c>
    </row>
    <row r="65" spans="1:7" x14ac:dyDescent="0.25">
      <c r="C65" s="130"/>
      <c r="G65" s="130">
        <v>0</v>
      </c>
    </row>
    <row r="66" spans="1:7" ht="17.25" x14ac:dyDescent="0.4">
      <c r="B66" t="s">
        <v>644</v>
      </c>
      <c r="C66" s="133">
        <v>0</v>
      </c>
      <c r="G66" s="133">
        <v>0</v>
      </c>
    </row>
    <row r="67" spans="1:7" x14ac:dyDescent="0.25">
      <c r="A67" t="s">
        <v>645</v>
      </c>
      <c r="C67" s="40">
        <f>SUM(C57:C66)</f>
        <v>19114</v>
      </c>
      <c r="G67" s="40">
        <f>SUM(G57:G66)</f>
        <v>2170</v>
      </c>
    </row>
  </sheetData>
  <mergeCells count="14">
    <mergeCell ref="BK3:BO3"/>
    <mergeCell ref="BQ3:BU3"/>
    <mergeCell ref="CC3:CG3"/>
    <mergeCell ref="C3:G3"/>
    <mergeCell ref="I3:M3"/>
    <mergeCell ref="O3:S3"/>
    <mergeCell ref="U3:Y3"/>
    <mergeCell ref="AA3:AE3"/>
    <mergeCell ref="AG3:AK3"/>
    <mergeCell ref="AM3:AQ3"/>
    <mergeCell ref="AS3:AW3"/>
    <mergeCell ref="AY3:BC3"/>
    <mergeCell ref="BE3:BI3"/>
    <mergeCell ref="BW3:CA3"/>
  </mergeCells>
  <pageMargins left="0.5" right="0.5" top="0.75" bottom="0.5" header="0.3" footer="0.3"/>
  <pageSetup paperSize="5" scale="6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61" r:id="rId4" name="List Box 17">
              <controlPr defaultSize="0" autoLine="0" autoPict="0">
                <anchor moveWithCells="1">
                  <from>
                    <xdr:col>78</xdr:col>
                    <xdr:colOff>95250</xdr:colOff>
                    <xdr:row>0</xdr:row>
                    <xdr:rowOff>9525</xdr:rowOff>
                  </from>
                  <to>
                    <xdr:col>79</xdr:col>
                    <xdr:colOff>142875</xdr:colOff>
                    <xdr:row>1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A9BD-44E0-489F-AB18-DB330EFDE9D0}">
  <sheetPr>
    <tabColor rgb="FFFFC000"/>
  </sheetPr>
  <dimension ref="A1:H56"/>
  <sheetViews>
    <sheetView showGridLines="0" zoomScale="90" zoomScaleNormal="9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42" sqref="L42"/>
    </sheetView>
  </sheetViews>
  <sheetFormatPr defaultRowHeight="15" x14ac:dyDescent="0.25"/>
  <cols>
    <col min="1" max="1" width="79.85546875" bestFit="1" customWidth="1"/>
    <col min="2" max="9" width="10.7109375" customWidth="1"/>
  </cols>
  <sheetData>
    <row r="1" spans="1:8" x14ac:dyDescent="0.25">
      <c r="A1" s="39" t="s">
        <v>613</v>
      </c>
      <c r="B1" t="s">
        <v>754</v>
      </c>
    </row>
    <row r="3" spans="1:8" x14ac:dyDescent="0.25">
      <c r="A3" s="39" t="s">
        <v>205</v>
      </c>
      <c r="B3" s="39" t="s">
        <v>199</v>
      </c>
    </row>
    <row r="4" spans="1:8" x14ac:dyDescent="0.25">
      <c r="A4" s="39" t="s">
        <v>28</v>
      </c>
      <c r="B4" s="1" t="s">
        <v>607</v>
      </c>
      <c r="C4" s="1" t="s">
        <v>509</v>
      </c>
      <c r="D4" s="1" t="s">
        <v>510</v>
      </c>
      <c r="E4" s="1" t="s">
        <v>201</v>
      </c>
      <c r="F4" s="1" t="s">
        <v>200</v>
      </c>
      <c r="G4" s="1" t="s">
        <v>232</v>
      </c>
      <c r="H4" s="1" t="s">
        <v>204</v>
      </c>
    </row>
    <row r="5" spans="1:8" x14ac:dyDescent="0.25">
      <c r="A5" t="s">
        <v>43</v>
      </c>
      <c r="B5" s="40"/>
      <c r="C5" s="40"/>
      <c r="D5" s="40">
        <v>17.11</v>
      </c>
      <c r="E5" s="40"/>
      <c r="F5" s="40"/>
      <c r="G5" s="40"/>
      <c r="H5" s="40">
        <v>17.11</v>
      </c>
    </row>
    <row r="6" spans="1:8" x14ac:dyDescent="0.25">
      <c r="A6" t="s">
        <v>777</v>
      </c>
      <c r="B6" s="40"/>
      <c r="C6" s="40"/>
      <c r="D6" s="40">
        <v>869.88</v>
      </c>
      <c r="E6" s="40">
        <v>42.78</v>
      </c>
      <c r="F6" s="40"/>
      <c r="G6" s="40"/>
      <c r="H6" s="40">
        <v>912.66</v>
      </c>
    </row>
    <row r="7" spans="1:8" x14ac:dyDescent="0.25">
      <c r="A7" t="s">
        <v>798</v>
      </c>
      <c r="B7" s="40"/>
      <c r="C7" s="40">
        <v>3.9800000000000004</v>
      </c>
      <c r="D7" s="40"/>
      <c r="E7" s="40"/>
      <c r="F7" s="40"/>
      <c r="G7" s="40"/>
      <c r="H7" s="40">
        <v>3.9800000000000004</v>
      </c>
    </row>
    <row r="8" spans="1:8" x14ac:dyDescent="0.25">
      <c r="A8" t="s">
        <v>773</v>
      </c>
      <c r="B8" s="40"/>
      <c r="C8" s="40">
        <v>3.9800000000000004</v>
      </c>
      <c r="D8" s="40">
        <v>11.84</v>
      </c>
      <c r="E8" s="40"/>
      <c r="F8" s="40"/>
      <c r="G8" s="40"/>
      <c r="H8" s="40">
        <v>15.82</v>
      </c>
    </row>
    <row r="9" spans="1:8" x14ac:dyDescent="0.25">
      <c r="A9" t="s">
        <v>814</v>
      </c>
      <c r="B9" s="40"/>
      <c r="C9" s="40"/>
      <c r="D9" s="40">
        <v>18.18</v>
      </c>
      <c r="E9" s="40"/>
      <c r="F9" s="40"/>
      <c r="G9" s="40"/>
      <c r="H9" s="40">
        <v>18.18</v>
      </c>
    </row>
    <row r="10" spans="1:8" x14ac:dyDescent="0.25">
      <c r="A10" t="s">
        <v>652</v>
      </c>
      <c r="B10" s="40">
        <v>14.97</v>
      </c>
      <c r="C10" s="40"/>
      <c r="D10" s="40"/>
      <c r="E10" s="40"/>
      <c r="F10" s="40"/>
      <c r="G10" s="40"/>
      <c r="H10" s="40">
        <v>14.97</v>
      </c>
    </row>
    <row r="11" spans="1:8" x14ac:dyDescent="0.25">
      <c r="A11" t="s">
        <v>701</v>
      </c>
      <c r="B11" s="40">
        <v>27.8</v>
      </c>
      <c r="C11" s="40"/>
      <c r="D11" s="40"/>
      <c r="E11" s="40"/>
      <c r="F11" s="40"/>
      <c r="G11" s="40"/>
      <c r="H11" s="40">
        <v>27.8</v>
      </c>
    </row>
    <row r="12" spans="1:8" x14ac:dyDescent="0.25">
      <c r="A12" t="s">
        <v>750</v>
      </c>
      <c r="B12" s="40"/>
      <c r="C12" s="40">
        <v>17.11</v>
      </c>
      <c r="D12" s="40"/>
      <c r="E12" s="40"/>
      <c r="F12" s="40"/>
      <c r="G12" s="40"/>
      <c r="H12" s="40">
        <v>17.11</v>
      </c>
    </row>
    <row r="13" spans="1:8" x14ac:dyDescent="0.25">
      <c r="A13" t="s">
        <v>655</v>
      </c>
      <c r="B13" s="40">
        <v>42.79</v>
      </c>
      <c r="C13" s="40">
        <v>25.66</v>
      </c>
      <c r="D13" s="40">
        <v>42.79</v>
      </c>
      <c r="E13" s="40"/>
      <c r="F13" s="40"/>
      <c r="G13" s="40"/>
      <c r="H13" s="40">
        <v>111.24000000000001</v>
      </c>
    </row>
    <row r="14" spans="1:8" x14ac:dyDescent="0.25">
      <c r="A14" t="s">
        <v>656</v>
      </c>
      <c r="B14" s="40">
        <v>18.170000000000002</v>
      </c>
      <c r="C14" s="40"/>
      <c r="D14" s="40"/>
      <c r="E14" s="40">
        <v>8.5399999999999991</v>
      </c>
      <c r="F14" s="40"/>
      <c r="G14" s="40"/>
      <c r="H14" s="40">
        <v>26.71</v>
      </c>
    </row>
    <row r="15" spans="1:8" x14ac:dyDescent="0.25">
      <c r="A15" t="s">
        <v>622</v>
      </c>
      <c r="B15" s="40">
        <v>6.24</v>
      </c>
      <c r="C15" s="40">
        <v>2.58</v>
      </c>
      <c r="D15" s="40"/>
      <c r="E15" s="40"/>
      <c r="F15" s="40">
        <v>11.61</v>
      </c>
      <c r="G15" s="40"/>
      <c r="H15" s="40">
        <v>20.43</v>
      </c>
    </row>
    <row r="16" spans="1:8" x14ac:dyDescent="0.25">
      <c r="A16" t="s">
        <v>646</v>
      </c>
      <c r="B16" s="40">
        <v>3.57</v>
      </c>
      <c r="C16" s="40"/>
      <c r="D16" s="40"/>
      <c r="E16" s="40"/>
      <c r="F16" s="40"/>
      <c r="G16" s="40"/>
      <c r="H16" s="40">
        <v>3.57</v>
      </c>
    </row>
    <row r="17" spans="1:8" x14ac:dyDescent="0.25">
      <c r="A17" t="s">
        <v>668</v>
      </c>
      <c r="B17" s="40">
        <v>6.86</v>
      </c>
      <c r="C17" s="40"/>
      <c r="D17" s="40"/>
      <c r="E17" s="40"/>
      <c r="F17" s="40"/>
      <c r="G17" s="40"/>
      <c r="H17" s="40">
        <v>6.86</v>
      </c>
    </row>
    <row r="18" spans="1:8" x14ac:dyDescent="0.25">
      <c r="A18" t="s">
        <v>612</v>
      </c>
      <c r="B18" s="40">
        <v>8.57</v>
      </c>
      <c r="C18" s="40"/>
      <c r="D18" s="40"/>
      <c r="E18" s="40"/>
      <c r="F18" s="40"/>
      <c r="G18" s="40"/>
      <c r="H18" s="40">
        <v>8.57</v>
      </c>
    </row>
    <row r="19" spans="1:8" x14ac:dyDescent="0.25">
      <c r="A19" t="s">
        <v>803</v>
      </c>
      <c r="B19" s="40"/>
      <c r="C19" s="40"/>
      <c r="D19" s="40">
        <v>21.39</v>
      </c>
      <c r="E19" s="40"/>
      <c r="F19" s="40"/>
      <c r="G19" s="40"/>
      <c r="H19" s="40">
        <v>21.39</v>
      </c>
    </row>
    <row r="20" spans="1:8" x14ac:dyDescent="0.25">
      <c r="A20" t="s">
        <v>931</v>
      </c>
      <c r="B20" s="40"/>
      <c r="C20" s="40"/>
      <c r="D20" s="40"/>
      <c r="E20" s="40">
        <v>2.99</v>
      </c>
      <c r="F20" s="40"/>
      <c r="G20" s="40"/>
      <c r="H20" s="40">
        <v>2.99</v>
      </c>
    </row>
    <row r="21" spans="1:8" x14ac:dyDescent="0.25">
      <c r="A21" t="s">
        <v>924</v>
      </c>
      <c r="B21" s="40"/>
      <c r="C21" s="40"/>
      <c r="D21" s="40"/>
      <c r="E21" s="40">
        <v>145.74</v>
      </c>
      <c r="F21" s="40">
        <v>29.1</v>
      </c>
      <c r="G21" s="40"/>
      <c r="H21" s="40">
        <v>174.84</v>
      </c>
    </row>
    <row r="22" spans="1:8" x14ac:dyDescent="0.25">
      <c r="A22" t="s">
        <v>910</v>
      </c>
      <c r="B22" s="40"/>
      <c r="C22" s="40"/>
      <c r="D22" s="40"/>
      <c r="E22" s="40">
        <v>2.2799999999999998</v>
      </c>
      <c r="F22" s="40"/>
      <c r="G22" s="40"/>
      <c r="H22" s="40">
        <v>2.2799999999999998</v>
      </c>
    </row>
    <row r="23" spans="1:8" x14ac:dyDescent="0.25">
      <c r="A23" t="s">
        <v>870</v>
      </c>
      <c r="B23" s="40"/>
      <c r="C23" s="40"/>
      <c r="D23" s="40">
        <v>0.99</v>
      </c>
      <c r="E23" s="40"/>
      <c r="F23" s="40"/>
      <c r="G23" s="40"/>
      <c r="H23" s="40">
        <v>0.99</v>
      </c>
    </row>
    <row r="24" spans="1:8" x14ac:dyDescent="0.25">
      <c r="A24" t="s">
        <v>853</v>
      </c>
      <c r="B24" s="40"/>
      <c r="C24" s="40"/>
      <c r="D24" s="40">
        <v>17.11</v>
      </c>
      <c r="E24" s="40"/>
      <c r="F24" s="40"/>
      <c r="G24" s="40"/>
      <c r="H24" s="40">
        <v>17.11</v>
      </c>
    </row>
    <row r="25" spans="1:8" x14ac:dyDescent="0.25">
      <c r="A25" t="s">
        <v>972</v>
      </c>
      <c r="B25" s="40"/>
      <c r="C25" s="40"/>
      <c r="D25" s="40"/>
      <c r="E25" s="40">
        <v>21.25</v>
      </c>
      <c r="F25" s="40"/>
      <c r="G25" s="40"/>
      <c r="H25" s="40">
        <v>21.25</v>
      </c>
    </row>
    <row r="26" spans="1:8" x14ac:dyDescent="0.25">
      <c r="A26" t="s">
        <v>977</v>
      </c>
      <c r="B26" s="40"/>
      <c r="C26" s="40"/>
      <c r="D26" s="40"/>
      <c r="E26" s="40">
        <v>41.71</v>
      </c>
      <c r="F26" s="40"/>
      <c r="G26" s="40"/>
      <c r="H26" s="40">
        <v>41.71</v>
      </c>
    </row>
    <row r="27" spans="1:8" x14ac:dyDescent="0.25">
      <c r="A27" t="s">
        <v>979</v>
      </c>
      <c r="B27" s="40"/>
      <c r="C27" s="40"/>
      <c r="D27" s="40"/>
      <c r="E27" s="40">
        <v>3.9800000000000004</v>
      </c>
      <c r="F27" s="40"/>
      <c r="G27" s="40"/>
      <c r="H27" s="40">
        <v>3.9800000000000004</v>
      </c>
    </row>
    <row r="28" spans="1:8" x14ac:dyDescent="0.25">
      <c r="A28" t="s">
        <v>982</v>
      </c>
      <c r="B28" s="40"/>
      <c r="C28" s="40"/>
      <c r="D28" s="40"/>
      <c r="E28" s="40">
        <v>39.770000000000003</v>
      </c>
      <c r="F28" s="40"/>
      <c r="G28" s="40"/>
      <c r="H28" s="40">
        <v>39.770000000000003</v>
      </c>
    </row>
    <row r="29" spans="1:8" x14ac:dyDescent="0.25">
      <c r="A29" t="s">
        <v>988</v>
      </c>
      <c r="B29" s="40"/>
      <c r="C29" s="40"/>
      <c r="D29" s="40"/>
      <c r="E29" s="40">
        <v>3.49</v>
      </c>
      <c r="F29" s="40"/>
      <c r="G29" s="40"/>
      <c r="H29" s="40">
        <v>3.49</v>
      </c>
    </row>
    <row r="30" spans="1:8" x14ac:dyDescent="0.25">
      <c r="A30" t="s">
        <v>993</v>
      </c>
      <c r="B30" s="40"/>
      <c r="C30" s="40"/>
      <c r="D30" s="40"/>
      <c r="E30" s="40">
        <v>21.39</v>
      </c>
      <c r="F30" s="40"/>
      <c r="G30" s="40"/>
      <c r="H30" s="40">
        <v>21.39</v>
      </c>
    </row>
    <row r="31" spans="1:8" x14ac:dyDescent="0.25">
      <c r="A31" t="s">
        <v>939</v>
      </c>
      <c r="B31" s="40"/>
      <c r="C31" s="40"/>
      <c r="D31" s="40"/>
      <c r="E31" s="40">
        <v>2.2799999999999998</v>
      </c>
      <c r="F31" s="40"/>
      <c r="G31" s="40"/>
      <c r="H31" s="40">
        <v>2.2799999999999998</v>
      </c>
    </row>
    <row r="32" spans="1:8" x14ac:dyDescent="0.25">
      <c r="A32" t="s">
        <v>952</v>
      </c>
      <c r="B32" s="40"/>
      <c r="C32" s="40"/>
      <c r="D32" s="40"/>
      <c r="E32" s="40">
        <v>9.6199999999999992</v>
      </c>
      <c r="F32" s="40"/>
      <c r="G32" s="40"/>
      <c r="H32" s="40">
        <v>9.6199999999999992</v>
      </c>
    </row>
    <row r="33" spans="1:8" x14ac:dyDescent="0.25">
      <c r="A33" t="s">
        <v>953</v>
      </c>
      <c r="B33" s="40"/>
      <c r="C33" s="40"/>
      <c r="D33" s="40"/>
      <c r="E33" s="40">
        <v>220.47</v>
      </c>
      <c r="F33" s="40"/>
      <c r="G33" s="40"/>
      <c r="H33" s="40">
        <v>220.47</v>
      </c>
    </row>
    <row r="34" spans="1:8" x14ac:dyDescent="0.25">
      <c r="A34" t="s">
        <v>958</v>
      </c>
      <c r="B34" s="40"/>
      <c r="C34" s="40"/>
      <c r="D34" s="40"/>
      <c r="E34" s="40">
        <v>2.99</v>
      </c>
      <c r="F34" s="40"/>
      <c r="G34" s="40"/>
      <c r="H34" s="40">
        <v>2.99</v>
      </c>
    </row>
    <row r="35" spans="1:8" x14ac:dyDescent="0.25">
      <c r="A35" t="s">
        <v>961</v>
      </c>
      <c r="B35" s="40"/>
      <c r="C35" s="40"/>
      <c r="D35" s="40"/>
      <c r="E35" s="40">
        <v>5.85</v>
      </c>
      <c r="F35" s="40"/>
      <c r="G35" s="40"/>
      <c r="H35" s="40">
        <v>5.85</v>
      </c>
    </row>
    <row r="36" spans="1:8" x14ac:dyDescent="0.25">
      <c r="A36" t="s">
        <v>1193</v>
      </c>
      <c r="B36" s="40"/>
      <c r="C36" s="40"/>
      <c r="D36" s="40"/>
      <c r="E36" s="40"/>
      <c r="F36" s="40"/>
      <c r="G36" s="40">
        <v>2.9699999999999998</v>
      </c>
      <c r="H36" s="40">
        <v>2.9699999999999998</v>
      </c>
    </row>
    <row r="37" spans="1:8" x14ac:dyDescent="0.25">
      <c r="A37" t="s">
        <v>1205</v>
      </c>
      <c r="B37" s="40"/>
      <c r="C37" s="40"/>
      <c r="D37" s="40"/>
      <c r="E37" s="40"/>
      <c r="F37" s="40"/>
      <c r="G37" s="40">
        <v>1.98</v>
      </c>
      <c r="H37" s="40">
        <v>1.98</v>
      </c>
    </row>
    <row r="38" spans="1:8" x14ac:dyDescent="0.25">
      <c r="A38" t="s">
        <v>1206</v>
      </c>
      <c r="B38" s="40"/>
      <c r="C38" s="40"/>
      <c r="D38" s="40"/>
      <c r="E38" s="40"/>
      <c r="F38" s="40"/>
      <c r="G38" s="40">
        <v>19.02</v>
      </c>
      <c r="H38" s="40">
        <v>19.02</v>
      </c>
    </row>
    <row r="39" spans="1:8" x14ac:dyDescent="0.25">
      <c r="A39" t="s">
        <v>1208</v>
      </c>
      <c r="B39" s="40"/>
      <c r="C39" s="40"/>
      <c r="D39" s="40"/>
      <c r="E39" s="40"/>
      <c r="F39" s="40"/>
      <c r="G39" s="40">
        <v>3.87</v>
      </c>
      <c r="H39" s="40">
        <v>3.87</v>
      </c>
    </row>
    <row r="40" spans="1:8" x14ac:dyDescent="0.25">
      <c r="A40" t="s">
        <v>1209</v>
      </c>
      <c r="B40" s="40"/>
      <c r="C40" s="40"/>
      <c r="D40" s="40"/>
      <c r="E40" s="40"/>
      <c r="F40" s="40"/>
      <c r="G40" s="40">
        <v>10.43</v>
      </c>
      <c r="H40" s="40">
        <v>10.43</v>
      </c>
    </row>
    <row r="41" spans="1:8" x14ac:dyDescent="0.25">
      <c r="A41" t="s">
        <v>1211</v>
      </c>
      <c r="B41" s="40"/>
      <c r="C41" s="40"/>
      <c r="D41" s="40"/>
      <c r="E41" s="40"/>
      <c r="F41" s="40"/>
      <c r="G41" s="40">
        <v>50</v>
      </c>
      <c r="H41" s="40">
        <v>50</v>
      </c>
    </row>
    <row r="42" spans="1:8" x14ac:dyDescent="0.25">
      <c r="A42" t="s">
        <v>1157</v>
      </c>
      <c r="B42" s="40"/>
      <c r="C42" s="40"/>
      <c r="D42" s="40"/>
      <c r="E42" s="40"/>
      <c r="F42" s="40"/>
      <c r="G42" s="40">
        <v>32.08</v>
      </c>
      <c r="H42" s="40">
        <v>32.08</v>
      </c>
    </row>
    <row r="43" spans="1:8" x14ac:dyDescent="0.25">
      <c r="A43" t="s">
        <v>1169</v>
      </c>
      <c r="B43" s="40"/>
      <c r="C43" s="40"/>
      <c r="D43" s="40"/>
      <c r="E43" s="40"/>
      <c r="F43" s="40"/>
      <c r="G43" s="40">
        <v>5.16</v>
      </c>
      <c r="H43" s="40">
        <v>5.16</v>
      </c>
    </row>
    <row r="44" spans="1:8" x14ac:dyDescent="0.25">
      <c r="A44" t="s">
        <v>1177</v>
      </c>
      <c r="B44" s="40"/>
      <c r="C44" s="40"/>
      <c r="D44" s="40"/>
      <c r="E44" s="40"/>
      <c r="F44" s="40"/>
      <c r="G44" s="40">
        <v>44.92</v>
      </c>
      <c r="H44" s="40">
        <v>44.92</v>
      </c>
    </row>
    <row r="45" spans="1:8" x14ac:dyDescent="0.25">
      <c r="A45" t="s">
        <v>1178</v>
      </c>
      <c r="B45" s="40"/>
      <c r="C45" s="40"/>
      <c r="D45" s="40"/>
      <c r="E45" s="40"/>
      <c r="F45" s="40"/>
      <c r="G45" s="40">
        <v>118.93</v>
      </c>
      <c r="H45" s="40">
        <v>118.93</v>
      </c>
    </row>
    <row r="46" spans="1:8" x14ac:dyDescent="0.25">
      <c r="A46" t="s">
        <v>1180</v>
      </c>
      <c r="B46" s="40"/>
      <c r="C46" s="40"/>
      <c r="D46" s="40"/>
      <c r="E46" s="40"/>
      <c r="F46" s="40"/>
      <c r="G46" s="40">
        <v>10.32</v>
      </c>
      <c r="H46" s="40">
        <v>10.32</v>
      </c>
    </row>
    <row r="47" spans="1:8" x14ac:dyDescent="0.25">
      <c r="A47" t="s">
        <v>1124</v>
      </c>
      <c r="B47" s="40"/>
      <c r="C47" s="40"/>
      <c r="D47" s="40"/>
      <c r="E47" s="40"/>
      <c r="F47" s="40"/>
      <c r="G47" s="40">
        <v>11.61</v>
      </c>
      <c r="H47" s="40">
        <v>11.61</v>
      </c>
    </row>
    <row r="48" spans="1:8" x14ac:dyDescent="0.25">
      <c r="A48" t="s">
        <v>1059</v>
      </c>
      <c r="B48" s="40"/>
      <c r="C48" s="40"/>
      <c r="D48" s="40"/>
      <c r="E48" s="40"/>
      <c r="F48" s="40">
        <v>2.58</v>
      </c>
      <c r="G48" s="40"/>
      <c r="H48" s="40">
        <v>2.58</v>
      </c>
    </row>
    <row r="49" spans="1:8" x14ac:dyDescent="0.25">
      <c r="A49" t="s">
        <v>1068</v>
      </c>
      <c r="B49" s="40"/>
      <c r="C49" s="40"/>
      <c r="D49" s="40"/>
      <c r="E49" s="40"/>
      <c r="F49" s="40">
        <v>9.14</v>
      </c>
      <c r="G49" s="40"/>
      <c r="H49" s="40">
        <v>9.14</v>
      </c>
    </row>
    <row r="50" spans="1:8" x14ac:dyDescent="0.25">
      <c r="A50" t="s">
        <v>1093</v>
      </c>
      <c r="B50" s="40"/>
      <c r="C50" s="40"/>
      <c r="D50" s="40"/>
      <c r="E50" s="40"/>
      <c r="F50" s="40">
        <v>38.99</v>
      </c>
      <c r="G50" s="40"/>
      <c r="H50" s="40">
        <v>38.99</v>
      </c>
    </row>
    <row r="51" spans="1:8" x14ac:dyDescent="0.25">
      <c r="A51" t="s">
        <v>1096</v>
      </c>
      <c r="B51" s="40"/>
      <c r="C51" s="40"/>
      <c r="D51" s="40"/>
      <c r="E51" s="40"/>
      <c r="F51" s="40">
        <v>1.29</v>
      </c>
      <c r="G51" s="40"/>
      <c r="H51" s="40">
        <v>1.29</v>
      </c>
    </row>
    <row r="52" spans="1:8" x14ac:dyDescent="0.25">
      <c r="A52" t="s">
        <v>1037</v>
      </c>
      <c r="B52" s="40"/>
      <c r="C52" s="40"/>
      <c r="D52" s="40"/>
      <c r="E52" s="40"/>
      <c r="F52" s="40">
        <v>1.29</v>
      </c>
      <c r="G52" s="40"/>
      <c r="H52" s="40">
        <v>1.29</v>
      </c>
    </row>
    <row r="53" spans="1:8" x14ac:dyDescent="0.25">
      <c r="A53" t="s">
        <v>1048</v>
      </c>
      <c r="B53" s="40"/>
      <c r="C53" s="40"/>
      <c r="D53" s="40"/>
      <c r="E53" s="40"/>
      <c r="F53" s="40">
        <v>17.11</v>
      </c>
      <c r="G53" s="40"/>
      <c r="H53" s="40">
        <v>17.11</v>
      </c>
    </row>
    <row r="54" spans="1:8" x14ac:dyDescent="0.25">
      <c r="A54" t="s">
        <v>1017</v>
      </c>
      <c r="B54" s="40"/>
      <c r="C54" s="40"/>
      <c r="D54" s="40"/>
      <c r="E54" s="40"/>
      <c r="F54" s="40">
        <v>-103.35</v>
      </c>
      <c r="G54" s="40"/>
      <c r="H54" s="40">
        <v>-103.35</v>
      </c>
    </row>
    <row r="55" spans="1:8" x14ac:dyDescent="0.25">
      <c r="A55" t="s">
        <v>1004</v>
      </c>
      <c r="B55" s="40"/>
      <c r="C55" s="40"/>
      <c r="D55" s="40"/>
      <c r="E55" s="40">
        <v>-42.78</v>
      </c>
      <c r="F55" s="40"/>
      <c r="G55" s="40"/>
      <c r="H55" s="40">
        <v>-42.78</v>
      </c>
    </row>
    <row r="56" spans="1:8" x14ac:dyDescent="0.25">
      <c r="A56" t="s">
        <v>204</v>
      </c>
      <c r="B56" s="40">
        <v>128.97</v>
      </c>
      <c r="C56" s="40">
        <v>53.31</v>
      </c>
      <c r="D56" s="40">
        <v>999.29</v>
      </c>
      <c r="E56" s="40">
        <v>532.35</v>
      </c>
      <c r="F56" s="40">
        <v>7.7600000000000193</v>
      </c>
      <c r="G56" s="40">
        <v>311.29000000000002</v>
      </c>
      <c r="H56" s="40">
        <v>2032.9699999999996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7484-2CAE-43B2-B357-DE8D415D37A7}">
  <dimension ref="A2:G1499"/>
  <sheetViews>
    <sheetView tabSelected="1" zoomScale="90" zoomScaleNormal="90" workbookViewId="0">
      <pane ySplit="3" topLeftCell="A132" activePane="bottomLeft" state="frozen"/>
      <selection pane="bottomLeft" activeCell="I141" sqref="I141"/>
    </sheetView>
  </sheetViews>
  <sheetFormatPr defaultRowHeight="15" x14ac:dyDescent="0.25"/>
  <cols>
    <col min="2" max="2" width="12.140625" bestFit="1" customWidth="1"/>
    <col min="3" max="3" width="78.7109375" customWidth="1"/>
    <col min="4" max="4" width="10.5703125" bestFit="1" customWidth="1"/>
    <col min="5" max="5" width="13.5703125" bestFit="1" customWidth="1"/>
    <col min="7" max="7" width="12.140625" bestFit="1" customWidth="1"/>
  </cols>
  <sheetData>
    <row r="2" spans="1:7" x14ac:dyDescent="0.25">
      <c r="G2" t="s">
        <v>2143</v>
      </c>
    </row>
    <row r="3" spans="1:7" x14ac:dyDescent="0.25">
      <c r="A3" s="154" t="s">
        <v>26</v>
      </c>
      <c r="B3" s="154" t="s">
        <v>27</v>
      </c>
      <c r="C3" s="154" t="s">
        <v>28</v>
      </c>
      <c r="D3" s="154" t="s">
        <v>29</v>
      </c>
      <c r="E3" s="154" t="s">
        <v>30</v>
      </c>
    </row>
    <row r="4" spans="1:7" x14ac:dyDescent="0.25">
      <c r="A4" t="s">
        <v>33</v>
      </c>
      <c r="B4" s="93">
        <v>43796</v>
      </c>
      <c r="C4" t="s">
        <v>1447</v>
      </c>
      <c r="D4" s="5">
        <v>0.8</v>
      </c>
      <c r="E4" t="s">
        <v>35</v>
      </c>
    </row>
    <row r="5" spans="1:7" x14ac:dyDescent="0.25">
      <c r="A5" t="s">
        <v>33</v>
      </c>
      <c r="B5" s="93">
        <v>43796</v>
      </c>
      <c r="C5" t="s">
        <v>717</v>
      </c>
      <c r="D5" s="5">
        <v>11.77</v>
      </c>
      <c r="E5" t="s">
        <v>35</v>
      </c>
    </row>
    <row r="6" spans="1:7" x14ac:dyDescent="0.25">
      <c r="A6" t="s">
        <v>33</v>
      </c>
      <c r="B6" s="93">
        <v>43796</v>
      </c>
      <c r="C6" t="s">
        <v>669</v>
      </c>
      <c r="D6" s="5">
        <v>5.62</v>
      </c>
      <c r="E6" t="s">
        <v>35</v>
      </c>
    </row>
    <row r="7" spans="1:7" x14ac:dyDescent="0.25">
      <c r="A7" t="s">
        <v>33</v>
      </c>
      <c r="B7" s="93">
        <v>43795</v>
      </c>
      <c r="C7" t="s">
        <v>1448</v>
      </c>
      <c r="D7" s="5">
        <v>45.32</v>
      </c>
      <c r="E7" t="s">
        <v>46</v>
      </c>
    </row>
    <row r="8" spans="1:7" x14ac:dyDescent="0.25">
      <c r="A8" t="s">
        <v>33</v>
      </c>
      <c r="B8" s="93">
        <v>43794</v>
      </c>
      <c r="C8" t="s">
        <v>1449</v>
      </c>
      <c r="D8" s="5">
        <v>0.99</v>
      </c>
      <c r="E8" t="s">
        <v>46</v>
      </c>
    </row>
    <row r="9" spans="1:7" x14ac:dyDescent="0.25">
      <c r="A9" t="s">
        <v>33</v>
      </c>
      <c r="B9" s="93">
        <v>43794</v>
      </c>
      <c r="C9" t="s">
        <v>1449</v>
      </c>
      <c r="D9" s="5">
        <v>2.99</v>
      </c>
      <c r="E9" t="s">
        <v>46</v>
      </c>
    </row>
    <row r="10" spans="1:7" x14ac:dyDescent="0.25">
      <c r="A10" t="s">
        <v>33</v>
      </c>
      <c r="B10" s="93">
        <v>43794</v>
      </c>
      <c r="C10" t="s">
        <v>1450</v>
      </c>
      <c r="D10" s="5">
        <v>29.85</v>
      </c>
      <c r="E10" t="s">
        <v>107</v>
      </c>
    </row>
    <row r="11" spans="1:7" x14ac:dyDescent="0.25">
      <c r="A11" t="s">
        <v>33</v>
      </c>
      <c r="B11" s="93">
        <v>43794</v>
      </c>
      <c r="C11" t="s">
        <v>1451</v>
      </c>
      <c r="D11" s="5">
        <v>86.07</v>
      </c>
      <c r="E11" t="s">
        <v>46</v>
      </c>
    </row>
    <row r="12" spans="1:7" x14ac:dyDescent="0.25">
      <c r="A12" t="s">
        <v>33</v>
      </c>
      <c r="B12" s="93">
        <v>43794</v>
      </c>
      <c r="C12" t="s">
        <v>1452</v>
      </c>
      <c r="D12" s="5">
        <v>11.87</v>
      </c>
      <c r="E12" t="s">
        <v>46</v>
      </c>
    </row>
    <row r="13" spans="1:7" x14ac:dyDescent="0.25">
      <c r="A13" t="s">
        <v>33</v>
      </c>
      <c r="B13" s="93">
        <v>43794</v>
      </c>
      <c r="C13" t="s">
        <v>1453</v>
      </c>
      <c r="D13" s="5">
        <v>45.25</v>
      </c>
      <c r="E13" t="s">
        <v>46</v>
      </c>
    </row>
    <row r="14" spans="1:7" x14ac:dyDescent="0.25">
      <c r="A14" t="s">
        <v>33</v>
      </c>
      <c r="B14" s="93">
        <v>43794</v>
      </c>
      <c r="C14" t="s">
        <v>1454</v>
      </c>
      <c r="D14" s="5">
        <v>17.329999999999998</v>
      </c>
      <c r="E14" t="s">
        <v>46</v>
      </c>
    </row>
    <row r="15" spans="1:7" x14ac:dyDescent="0.25">
      <c r="A15" t="s">
        <v>33</v>
      </c>
      <c r="B15" s="93">
        <v>43794</v>
      </c>
      <c r="C15" t="s">
        <v>1455</v>
      </c>
      <c r="D15" s="5">
        <v>23.23</v>
      </c>
      <c r="E15" t="s">
        <v>46</v>
      </c>
    </row>
    <row r="16" spans="1:7" x14ac:dyDescent="0.25">
      <c r="A16" t="s">
        <v>33</v>
      </c>
      <c r="B16" s="93">
        <v>43794</v>
      </c>
      <c r="C16" t="s">
        <v>1456</v>
      </c>
      <c r="D16" s="5">
        <v>16.850000000000001</v>
      </c>
      <c r="E16" t="s">
        <v>46</v>
      </c>
    </row>
    <row r="17" spans="1:5" x14ac:dyDescent="0.25">
      <c r="A17" t="s">
        <v>33</v>
      </c>
      <c r="B17" s="93">
        <v>43794</v>
      </c>
      <c r="C17" t="s">
        <v>1457</v>
      </c>
      <c r="D17" s="5">
        <v>21.12</v>
      </c>
      <c r="E17" t="s">
        <v>46</v>
      </c>
    </row>
    <row r="18" spans="1:5" x14ac:dyDescent="0.25">
      <c r="A18" t="s">
        <v>33</v>
      </c>
      <c r="B18" s="93">
        <v>43794</v>
      </c>
      <c r="C18" t="s">
        <v>1458</v>
      </c>
      <c r="D18" s="5">
        <v>16.18</v>
      </c>
      <c r="E18" t="s">
        <v>46</v>
      </c>
    </row>
    <row r="19" spans="1:5" x14ac:dyDescent="0.25">
      <c r="A19" t="s">
        <v>33</v>
      </c>
      <c r="B19" s="93">
        <v>43794</v>
      </c>
      <c r="C19" t="s">
        <v>1459</v>
      </c>
      <c r="D19" s="5">
        <v>20.52</v>
      </c>
      <c r="E19" t="s">
        <v>46</v>
      </c>
    </row>
    <row r="20" spans="1:5" x14ac:dyDescent="0.25">
      <c r="A20" t="s">
        <v>33</v>
      </c>
      <c r="B20" s="93">
        <v>43794</v>
      </c>
      <c r="C20" t="s">
        <v>1460</v>
      </c>
      <c r="D20" s="5">
        <v>10</v>
      </c>
      <c r="E20" t="s">
        <v>46</v>
      </c>
    </row>
    <row r="21" spans="1:5" x14ac:dyDescent="0.25">
      <c r="A21" t="s">
        <v>33</v>
      </c>
      <c r="B21" s="93">
        <v>43794</v>
      </c>
      <c r="C21" t="s">
        <v>1461</v>
      </c>
      <c r="D21" s="5">
        <v>29.33</v>
      </c>
      <c r="E21" t="s">
        <v>46</v>
      </c>
    </row>
    <row r="22" spans="1:5" x14ac:dyDescent="0.25">
      <c r="A22" t="s">
        <v>33</v>
      </c>
      <c r="B22" s="93">
        <v>43794</v>
      </c>
      <c r="C22" t="s">
        <v>1462</v>
      </c>
      <c r="D22" s="5">
        <v>20</v>
      </c>
      <c r="E22" t="s">
        <v>46</v>
      </c>
    </row>
    <row r="23" spans="1:5" x14ac:dyDescent="0.25">
      <c r="A23" t="s">
        <v>33</v>
      </c>
      <c r="B23" s="93">
        <v>43790</v>
      </c>
      <c r="C23" t="s">
        <v>1463</v>
      </c>
      <c r="D23" s="5">
        <v>27.47</v>
      </c>
      <c r="E23" t="s">
        <v>46</v>
      </c>
    </row>
    <row r="24" spans="1:5" x14ac:dyDescent="0.25">
      <c r="A24" t="s">
        <v>33</v>
      </c>
      <c r="B24" s="93">
        <v>43789</v>
      </c>
      <c r="C24" t="s">
        <v>1464</v>
      </c>
      <c r="D24" s="5">
        <v>47.93</v>
      </c>
      <c r="E24" t="s">
        <v>46</v>
      </c>
    </row>
    <row r="25" spans="1:5" x14ac:dyDescent="0.25">
      <c r="A25" t="s">
        <v>33</v>
      </c>
      <c r="B25" s="93">
        <v>43789</v>
      </c>
      <c r="C25" t="s">
        <v>1465</v>
      </c>
      <c r="D25" s="5">
        <v>243</v>
      </c>
      <c r="E25" t="s">
        <v>58</v>
      </c>
    </row>
    <row r="26" spans="1:5" x14ac:dyDescent="0.25">
      <c r="A26" t="s">
        <v>33</v>
      </c>
      <c r="B26" s="93">
        <v>43789</v>
      </c>
      <c r="C26" t="s">
        <v>1466</v>
      </c>
      <c r="D26" s="5">
        <v>85</v>
      </c>
      <c r="E26" t="s">
        <v>46</v>
      </c>
    </row>
    <row r="27" spans="1:5" x14ac:dyDescent="0.25">
      <c r="A27" t="s">
        <v>49</v>
      </c>
      <c r="B27" s="93">
        <v>43789</v>
      </c>
      <c r="C27" t="s">
        <v>1467</v>
      </c>
      <c r="D27" s="5">
        <v>-3</v>
      </c>
      <c r="E27" t="s">
        <v>105</v>
      </c>
    </row>
    <row r="28" spans="1:5" x14ac:dyDescent="0.25">
      <c r="A28" t="s">
        <v>33</v>
      </c>
      <c r="B28" s="93">
        <v>43788</v>
      </c>
      <c r="C28" t="s">
        <v>1468</v>
      </c>
      <c r="D28" s="5">
        <v>7.58</v>
      </c>
      <c r="E28" t="s">
        <v>46</v>
      </c>
    </row>
    <row r="29" spans="1:5" x14ac:dyDescent="0.25">
      <c r="A29" t="s">
        <v>33</v>
      </c>
      <c r="B29" s="93">
        <v>43788</v>
      </c>
      <c r="C29" t="s">
        <v>1469</v>
      </c>
      <c r="D29" s="5">
        <v>13.27</v>
      </c>
      <c r="E29" t="s">
        <v>46</v>
      </c>
    </row>
    <row r="30" spans="1:5" x14ac:dyDescent="0.25">
      <c r="A30" t="s">
        <v>33</v>
      </c>
      <c r="B30" s="93">
        <v>43788</v>
      </c>
      <c r="C30" t="s">
        <v>1470</v>
      </c>
      <c r="D30" s="5">
        <v>27.3</v>
      </c>
      <c r="E30" t="s">
        <v>46</v>
      </c>
    </row>
    <row r="31" spans="1:5" x14ac:dyDescent="0.25">
      <c r="A31" t="s">
        <v>33</v>
      </c>
      <c r="B31" s="93">
        <v>43788</v>
      </c>
      <c r="C31" t="s">
        <v>1471</v>
      </c>
      <c r="D31" s="5">
        <v>884.75</v>
      </c>
      <c r="E31" t="s">
        <v>46</v>
      </c>
    </row>
    <row r="32" spans="1:5" x14ac:dyDescent="0.25">
      <c r="A32" t="s">
        <v>33</v>
      </c>
      <c r="B32" s="93">
        <v>43787</v>
      </c>
      <c r="C32" t="s">
        <v>1472</v>
      </c>
      <c r="D32" s="5">
        <v>32.76</v>
      </c>
      <c r="E32" t="s">
        <v>46</v>
      </c>
    </row>
    <row r="33" spans="1:5" x14ac:dyDescent="0.25">
      <c r="A33" t="s">
        <v>33</v>
      </c>
      <c r="B33" s="93">
        <v>43787</v>
      </c>
      <c r="C33" t="s">
        <v>1473</v>
      </c>
      <c r="D33" s="5">
        <v>20</v>
      </c>
      <c r="E33" t="s">
        <v>46</v>
      </c>
    </row>
    <row r="34" spans="1:5" x14ac:dyDescent="0.25">
      <c r="A34" t="s">
        <v>33</v>
      </c>
      <c r="B34" s="93">
        <v>43787</v>
      </c>
      <c r="C34" t="s">
        <v>1474</v>
      </c>
      <c r="D34" s="5">
        <v>32.71</v>
      </c>
      <c r="E34" t="s">
        <v>46</v>
      </c>
    </row>
    <row r="35" spans="1:5" x14ac:dyDescent="0.25">
      <c r="A35" t="s">
        <v>33</v>
      </c>
      <c r="B35" s="93">
        <v>43787</v>
      </c>
      <c r="C35" t="s">
        <v>1475</v>
      </c>
      <c r="D35" s="5">
        <v>3.91</v>
      </c>
      <c r="E35" t="s">
        <v>46</v>
      </c>
    </row>
    <row r="36" spans="1:5" x14ac:dyDescent="0.25">
      <c r="A36" t="s">
        <v>33</v>
      </c>
      <c r="B36" s="93">
        <v>43787</v>
      </c>
      <c r="C36" t="s">
        <v>1475</v>
      </c>
      <c r="D36" s="5">
        <v>57</v>
      </c>
      <c r="E36" t="s">
        <v>46</v>
      </c>
    </row>
    <row r="37" spans="1:5" x14ac:dyDescent="0.25">
      <c r="A37" t="s">
        <v>33</v>
      </c>
      <c r="B37" s="93">
        <v>43787</v>
      </c>
      <c r="C37" t="s">
        <v>1476</v>
      </c>
      <c r="D37" s="5">
        <v>53.47</v>
      </c>
      <c r="E37" t="s">
        <v>46</v>
      </c>
    </row>
    <row r="38" spans="1:5" x14ac:dyDescent="0.25">
      <c r="A38" t="s">
        <v>33</v>
      </c>
      <c r="B38" s="93">
        <v>43787</v>
      </c>
      <c r="C38" t="s">
        <v>1477</v>
      </c>
      <c r="D38" s="5">
        <v>59.41</v>
      </c>
      <c r="E38" t="s">
        <v>46</v>
      </c>
    </row>
    <row r="39" spans="1:5" x14ac:dyDescent="0.25">
      <c r="A39" t="s">
        <v>33</v>
      </c>
      <c r="B39" s="93">
        <v>43787</v>
      </c>
      <c r="C39" t="s">
        <v>1478</v>
      </c>
      <c r="D39" s="5">
        <v>3.8</v>
      </c>
      <c r="E39" t="s">
        <v>46</v>
      </c>
    </row>
    <row r="40" spans="1:5" x14ac:dyDescent="0.25">
      <c r="A40" t="s">
        <v>33</v>
      </c>
      <c r="B40" s="93">
        <v>43787</v>
      </c>
      <c r="C40" t="s">
        <v>1479</v>
      </c>
      <c r="D40" s="5">
        <v>77.97</v>
      </c>
      <c r="E40" t="s">
        <v>46</v>
      </c>
    </row>
    <row r="41" spans="1:5" x14ac:dyDescent="0.25">
      <c r="A41" t="s">
        <v>33</v>
      </c>
      <c r="B41" s="93">
        <v>43787</v>
      </c>
      <c r="C41" t="s">
        <v>1480</v>
      </c>
      <c r="D41" s="5">
        <v>15.01</v>
      </c>
      <c r="E41" t="s">
        <v>46</v>
      </c>
    </row>
    <row r="42" spans="1:5" x14ac:dyDescent="0.25">
      <c r="A42" t="s">
        <v>33</v>
      </c>
      <c r="B42" s="93">
        <v>43787</v>
      </c>
      <c r="C42" t="s">
        <v>1481</v>
      </c>
      <c r="D42" s="5">
        <v>14.43</v>
      </c>
      <c r="E42" t="s">
        <v>46</v>
      </c>
    </row>
    <row r="43" spans="1:5" x14ac:dyDescent="0.25">
      <c r="A43" t="s">
        <v>33</v>
      </c>
      <c r="B43" s="93">
        <v>43787</v>
      </c>
      <c r="C43" t="s">
        <v>1482</v>
      </c>
      <c r="D43" s="5">
        <v>198.58</v>
      </c>
      <c r="E43" t="s">
        <v>46</v>
      </c>
    </row>
    <row r="44" spans="1:5" x14ac:dyDescent="0.25">
      <c r="A44" t="s">
        <v>33</v>
      </c>
      <c r="B44" s="93">
        <v>43787</v>
      </c>
      <c r="C44" t="s">
        <v>1483</v>
      </c>
      <c r="D44" s="5">
        <v>4.17</v>
      </c>
      <c r="E44" t="s">
        <v>46</v>
      </c>
    </row>
    <row r="45" spans="1:5" x14ac:dyDescent="0.25">
      <c r="A45" t="s">
        <v>33</v>
      </c>
      <c r="B45" s="93">
        <v>43784</v>
      </c>
      <c r="C45" t="s">
        <v>1484</v>
      </c>
      <c r="D45" s="5">
        <v>86.37</v>
      </c>
      <c r="E45" t="s">
        <v>107</v>
      </c>
    </row>
    <row r="46" spans="1:5" x14ac:dyDescent="0.25">
      <c r="A46" t="s">
        <v>33</v>
      </c>
      <c r="B46" s="93">
        <v>43784</v>
      </c>
      <c r="C46" t="s">
        <v>1485</v>
      </c>
      <c r="D46" s="5">
        <v>19.77</v>
      </c>
      <c r="E46" t="s">
        <v>46</v>
      </c>
    </row>
    <row r="47" spans="1:5" x14ac:dyDescent="0.25">
      <c r="A47" t="s">
        <v>33</v>
      </c>
      <c r="B47" s="93">
        <v>43784</v>
      </c>
      <c r="C47" t="s">
        <v>1486</v>
      </c>
      <c r="D47" s="5">
        <v>53.02</v>
      </c>
      <c r="E47" t="s">
        <v>46</v>
      </c>
    </row>
    <row r="48" spans="1:5" x14ac:dyDescent="0.25">
      <c r="A48" t="s">
        <v>33</v>
      </c>
      <c r="B48" s="93">
        <v>43784</v>
      </c>
      <c r="C48" t="s">
        <v>1487</v>
      </c>
      <c r="D48" s="5">
        <v>3.2</v>
      </c>
      <c r="E48" t="s">
        <v>46</v>
      </c>
    </row>
    <row r="49" spans="1:5" x14ac:dyDescent="0.25">
      <c r="A49" t="s">
        <v>33</v>
      </c>
      <c r="B49" s="93">
        <v>43784</v>
      </c>
      <c r="C49" t="s">
        <v>1487</v>
      </c>
      <c r="D49" s="5">
        <v>12.07</v>
      </c>
      <c r="E49" t="s">
        <v>46</v>
      </c>
    </row>
    <row r="50" spans="1:5" x14ac:dyDescent="0.25">
      <c r="A50" t="s">
        <v>49</v>
      </c>
      <c r="B50" s="93">
        <v>43784</v>
      </c>
      <c r="C50" t="s">
        <v>50</v>
      </c>
      <c r="D50" s="5">
        <v>-3485.05</v>
      </c>
      <c r="E50" t="s">
        <v>51</v>
      </c>
    </row>
    <row r="51" spans="1:5" x14ac:dyDescent="0.25">
      <c r="A51" t="s">
        <v>33</v>
      </c>
      <c r="B51" s="93">
        <v>43783</v>
      </c>
      <c r="C51" t="s">
        <v>1488</v>
      </c>
      <c r="D51" s="5">
        <v>4.5999999999999996</v>
      </c>
      <c r="E51" t="s">
        <v>46</v>
      </c>
    </row>
    <row r="52" spans="1:5" x14ac:dyDescent="0.25">
      <c r="A52" t="s">
        <v>33</v>
      </c>
      <c r="B52" s="93">
        <v>43783</v>
      </c>
      <c r="C52" t="s">
        <v>1489</v>
      </c>
      <c r="D52" s="5">
        <v>5.62</v>
      </c>
      <c r="E52" t="s">
        <v>46</v>
      </c>
    </row>
    <row r="53" spans="1:5" x14ac:dyDescent="0.25">
      <c r="A53" t="s">
        <v>33</v>
      </c>
      <c r="B53" s="93">
        <v>43783</v>
      </c>
      <c r="C53" t="s">
        <v>1490</v>
      </c>
      <c r="D53" s="5">
        <v>247.33</v>
      </c>
      <c r="E53" t="s">
        <v>46</v>
      </c>
    </row>
    <row r="54" spans="1:5" x14ac:dyDescent="0.25">
      <c r="A54" t="s">
        <v>33</v>
      </c>
      <c r="B54" s="93">
        <v>43782</v>
      </c>
      <c r="C54" t="s">
        <v>1491</v>
      </c>
      <c r="D54" s="5">
        <v>185.68</v>
      </c>
      <c r="E54" t="s">
        <v>46</v>
      </c>
    </row>
    <row r="55" spans="1:5" x14ac:dyDescent="0.25">
      <c r="A55" t="s">
        <v>33</v>
      </c>
      <c r="B55" s="93">
        <v>43782</v>
      </c>
      <c r="C55" t="s">
        <v>1492</v>
      </c>
      <c r="D55" s="5">
        <v>23.83</v>
      </c>
      <c r="E55" t="s">
        <v>46</v>
      </c>
    </row>
    <row r="56" spans="1:5" x14ac:dyDescent="0.25">
      <c r="A56" t="s">
        <v>33</v>
      </c>
      <c r="B56" s="93">
        <v>43781</v>
      </c>
      <c r="C56" t="s">
        <v>1493</v>
      </c>
      <c r="D56" s="5">
        <v>26</v>
      </c>
      <c r="E56" t="s">
        <v>46</v>
      </c>
    </row>
    <row r="57" spans="1:5" x14ac:dyDescent="0.25">
      <c r="A57" t="s">
        <v>33</v>
      </c>
      <c r="B57" s="93">
        <v>43781</v>
      </c>
      <c r="C57" t="s">
        <v>1494</v>
      </c>
      <c r="D57" s="5">
        <v>32.07</v>
      </c>
      <c r="E57" t="s">
        <v>46</v>
      </c>
    </row>
    <row r="58" spans="1:5" x14ac:dyDescent="0.25">
      <c r="A58" t="s">
        <v>33</v>
      </c>
      <c r="B58" s="93">
        <v>43781</v>
      </c>
      <c r="C58" t="s">
        <v>1495</v>
      </c>
      <c r="D58" s="5">
        <v>12.32</v>
      </c>
      <c r="E58" t="s">
        <v>46</v>
      </c>
    </row>
    <row r="59" spans="1:5" x14ac:dyDescent="0.25">
      <c r="A59" t="s">
        <v>33</v>
      </c>
      <c r="B59" s="93">
        <v>43781</v>
      </c>
      <c r="C59" t="s">
        <v>1496</v>
      </c>
      <c r="D59" s="5">
        <v>20</v>
      </c>
      <c r="E59" t="s">
        <v>46</v>
      </c>
    </row>
    <row r="60" spans="1:5" x14ac:dyDescent="0.25">
      <c r="A60" t="s">
        <v>33</v>
      </c>
      <c r="B60" s="93">
        <v>43781</v>
      </c>
      <c r="C60" t="s">
        <v>1497</v>
      </c>
      <c r="D60" s="5">
        <v>9</v>
      </c>
      <c r="E60" t="s">
        <v>46</v>
      </c>
    </row>
    <row r="61" spans="1:5" x14ac:dyDescent="0.25">
      <c r="A61" t="s">
        <v>33</v>
      </c>
      <c r="B61" s="93">
        <v>43781</v>
      </c>
      <c r="C61" t="s">
        <v>1498</v>
      </c>
      <c r="D61" s="5">
        <v>46.84</v>
      </c>
      <c r="E61" t="s">
        <v>46</v>
      </c>
    </row>
    <row r="62" spans="1:5" x14ac:dyDescent="0.25">
      <c r="A62" t="s">
        <v>33</v>
      </c>
      <c r="B62" s="93">
        <v>43781</v>
      </c>
      <c r="C62" t="s">
        <v>1499</v>
      </c>
      <c r="D62" s="5">
        <v>20.059999999999999</v>
      </c>
      <c r="E62" t="s">
        <v>46</v>
      </c>
    </row>
    <row r="63" spans="1:5" x14ac:dyDescent="0.25">
      <c r="A63" t="s">
        <v>33</v>
      </c>
      <c r="B63" s="93">
        <v>43781</v>
      </c>
      <c r="C63" t="s">
        <v>1500</v>
      </c>
      <c r="D63" s="5">
        <v>60</v>
      </c>
      <c r="E63" t="s">
        <v>58</v>
      </c>
    </row>
    <row r="64" spans="1:5" x14ac:dyDescent="0.25">
      <c r="A64" t="s">
        <v>33</v>
      </c>
      <c r="B64" s="93">
        <v>43781</v>
      </c>
      <c r="C64" t="s">
        <v>1501</v>
      </c>
      <c r="D64" s="5">
        <v>20.07</v>
      </c>
      <c r="E64" t="s">
        <v>46</v>
      </c>
    </row>
    <row r="65" spans="1:5" x14ac:dyDescent="0.25">
      <c r="A65" t="s">
        <v>33</v>
      </c>
      <c r="B65" s="93">
        <v>43781</v>
      </c>
      <c r="C65" t="s">
        <v>1502</v>
      </c>
      <c r="D65" s="5">
        <v>-291.61</v>
      </c>
      <c r="E65" t="s">
        <v>46</v>
      </c>
    </row>
    <row r="66" spans="1:5" x14ac:dyDescent="0.25">
      <c r="A66" t="s">
        <v>33</v>
      </c>
      <c r="B66" s="93">
        <v>43777</v>
      </c>
      <c r="C66" t="s">
        <v>1503</v>
      </c>
      <c r="D66" s="5">
        <v>203</v>
      </c>
      <c r="E66" t="s">
        <v>58</v>
      </c>
    </row>
    <row r="67" spans="1:5" x14ac:dyDescent="0.25">
      <c r="A67" t="s">
        <v>49</v>
      </c>
      <c r="B67" s="93">
        <v>43777</v>
      </c>
      <c r="C67" t="s">
        <v>1504</v>
      </c>
      <c r="D67" s="5">
        <v>-3</v>
      </c>
      <c r="E67" t="s">
        <v>105</v>
      </c>
    </row>
    <row r="68" spans="1:5" x14ac:dyDescent="0.25">
      <c r="A68" t="s">
        <v>33</v>
      </c>
      <c r="B68" s="93">
        <v>43776</v>
      </c>
      <c r="C68" t="s">
        <v>1505</v>
      </c>
      <c r="D68" s="5">
        <v>15.89</v>
      </c>
      <c r="E68" t="s">
        <v>46</v>
      </c>
    </row>
    <row r="69" spans="1:5" x14ac:dyDescent="0.25">
      <c r="A69" t="s">
        <v>33</v>
      </c>
      <c r="B69" s="93">
        <v>43776</v>
      </c>
      <c r="C69" t="s">
        <v>1506</v>
      </c>
      <c r="D69" s="5">
        <v>6.42</v>
      </c>
      <c r="E69" t="s">
        <v>46</v>
      </c>
    </row>
    <row r="70" spans="1:5" x14ac:dyDescent="0.25">
      <c r="A70" t="s">
        <v>33</v>
      </c>
      <c r="B70" s="93">
        <v>43776</v>
      </c>
      <c r="C70" t="s">
        <v>1507</v>
      </c>
      <c r="D70" s="5">
        <v>9.0299999999999994</v>
      </c>
      <c r="E70" t="s">
        <v>46</v>
      </c>
    </row>
    <row r="71" spans="1:5" x14ac:dyDescent="0.25">
      <c r="A71" t="s">
        <v>33</v>
      </c>
      <c r="B71" s="93">
        <v>43776</v>
      </c>
      <c r="C71" t="s">
        <v>1508</v>
      </c>
      <c r="D71" s="5">
        <v>14.74</v>
      </c>
      <c r="E71" t="s">
        <v>46</v>
      </c>
    </row>
    <row r="72" spans="1:5" x14ac:dyDescent="0.25">
      <c r="A72" t="s">
        <v>33</v>
      </c>
      <c r="B72" s="93">
        <v>43776</v>
      </c>
      <c r="C72" t="s">
        <v>1509</v>
      </c>
      <c r="D72" s="5">
        <v>105</v>
      </c>
      <c r="E72" t="s">
        <v>46</v>
      </c>
    </row>
    <row r="73" spans="1:5" x14ac:dyDescent="0.25">
      <c r="A73" t="s">
        <v>33</v>
      </c>
      <c r="B73" s="93">
        <v>43775</v>
      </c>
      <c r="C73" t="s">
        <v>1510</v>
      </c>
      <c r="D73" s="5">
        <v>61.49</v>
      </c>
      <c r="E73" t="s">
        <v>46</v>
      </c>
    </row>
    <row r="74" spans="1:5" x14ac:dyDescent="0.25">
      <c r="A74" t="s">
        <v>33</v>
      </c>
      <c r="B74" s="93">
        <v>43775</v>
      </c>
      <c r="C74" t="s">
        <v>1511</v>
      </c>
      <c r="D74" s="5">
        <v>29.42</v>
      </c>
      <c r="E74" t="s">
        <v>46</v>
      </c>
    </row>
    <row r="75" spans="1:5" x14ac:dyDescent="0.25">
      <c r="A75" t="s">
        <v>33</v>
      </c>
      <c r="B75" s="93">
        <v>43775</v>
      </c>
      <c r="C75" t="s">
        <v>1512</v>
      </c>
      <c r="D75" s="5">
        <v>1228.95</v>
      </c>
      <c r="E75" t="s">
        <v>46</v>
      </c>
    </row>
    <row r="76" spans="1:5" x14ac:dyDescent="0.25">
      <c r="A76" t="s">
        <v>33</v>
      </c>
      <c r="B76" s="93">
        <v>43775</v>
      </c>
      <c r="C76" t="s">
        <v>1513</v>
      </c>
      <c r="D76" s="5">
        <v>26.99</v>
      </c>
      <c r="E76" t="s">
        <v>46</v>
      </c>
    </row>
    <row r="77" spans="1:5" x14ac:dyDescent="0.25">
      <c r="A77" t="s">
        <v>33</v>
      </c>
      <c r="B77" s="93">
        <v>43775</v>
      </c>
      <c r="C77" t="s">
        <v>1514</v>
      </c>
      <c r="D77" s="5">
        <v>6.28</v>
      </c>
      <c r="E77" t="s">
        <v>46</v>
      </c>
    </row>
    <row r="78" spans="1:5" x14ac:dyDescent="0.25">
      <c r="A78" t="s">
        <v>33</v>
      </c>
      <c r="B78" s="93">
        <v>43775</v>
      </c>
      <c r="C78" t="s">
        <v>1515</v>
      </c>
      <c r="D78" s="5">
        <v>34.99</v>
      </c>
      <c r="E78" t="s">
        <v>46</v>
      </c>
    </row>
    <row r="79" spans="1:5" x14ac:dyDescent="0.25">
      <c r="A79" t="s">
        <v>33</v>
      </c>
      <c r="B79" s="93">
        <v>43774</v>
      </c>
      <c r="C79" t="s">
        <v>724</v>
      </c>
      <c r="D79" s="5">
        <v>89.44</v>
      </c>
      <c r="E79" t="s">
        <v>107</v>
      </c>
    </row>
    <row r="80" spans="1:5" x14ac:dyDescent="0.25">
      <c r="A80" t="s">
        <v>33</v>
      </c>
      <c r="B80" s="93">
        <v>43774</v>
      </c>
      <c r="C80" t="s">
        <v>364</v>
      </c>
      <c r="D80" s="5">
        <v>299</v>
      </c>
      <c r="E80" t="s">
        <v>107</v>
      </c>
    </row>
    <row r="81" spans="1:5" x14ac:dyDescent="0.25">
      <c r="A81" t="s">
        <v>33</v>
      </c>
      <c r="B81" s="93">
        <v>43774</v>
      </c>
      <c r="C81" t="s">
        <v>1516</v>
      </c>
      <c r="D81" s="5">
        <v>14.86</v>
      </c>
      <c r="E81" t="s">
        <v>46</v>
      </c>
    </row>
    <row r="82" spans="1:5" x14ac:dyDescent="0.25">
      <c r="A82" t="s">
        <v>33</v>
      </c>
      <c r="B82" s="93">
        <v>43774</v>
      </c>
      <c r="C82" t="s">
        <v>1517</v>
      </c>
      <c r="D82" s="5">
        <v>16.399999999999999</v>
      </c>
      <c r="E82" t="s">
        <v>46</v>
      </c>
    </row>
    <row r="83" spans="1:5" x14ac:dyDescent="0.25">
      <c r="A83" t="s">
        <v>33</v>
      </c>
      <c r="B83" s="93">
        <v>43774</v>
      </c>
      <c r="C83" t="s">
        <v>1518</v>
      </c>
      <c r="D83" s="5">
        <v>341.59</v>
      </c>
      <c r="E83" t="s">
        <v>46</v>
      </c>
    </row>
    <row r="84" spans="1:5" x14ac:dyDescent="0.25">
      <c r="A84" t="s">
        <v>33</v>
      </c>
      <c r="B84" s="93">
        <v>43774</v>
      </c>
      <c r="C84" t="s">
        <v>1519</v>
      </c>
      <c r="D84" s="5">
        <v>10</v>
      </c>
      <c r="E84" t="s">
        <v>46</v>
      </c>
    </row>
    <row r="85" spans="1:5" x14ac:dyDescent="0.25">
      <c r="A85" t="s">
        <v>33</v>
      </c>
      <c r="B85" s="93">
        <v>43774</v>
      </c>
      <c r="C85" t="s">
        <v>1520</v>
      </c>
      <c r="D85" s="5">
        <v>46.1</v>
      </c>
      <c r="E85" t="s">
        <v>46</v>
      </c>
    </row>
    <row r="86" spans="1:5" x14ac:dyDescent="0.25">
      <c r="A86" t="s">
        <v>33</v>
      </c>
      <c r="B86" s="93">
        <v>43773</v>
      </c>
      <c r="C86" t="s">
        <v>1521</v>
      </c>
      <c r="D86" s="5">
        <v>14.08</v>
      </c>
      <c r="E86" t="s">
        <v>46</v>
      </c>
    </row>
    <row r="87" spans="1:5" x14ac:dyDescent="0.25">
      <c r="A87" t="s">
        <v>33</v>
      </c>
      <c r="B87" s="93">
        <v>43773</v>
      </c>
      <c r="C87" t="s">
        <v>1522</v>
      </c>
      <c r="D87" s="5">
        <v>65</v>
      </c>
      <c r="E87" t="s">
        <v>46</v>
      </c>
    </row>
    <row r="88" spans="1:5" x14ac:dyDescent="0.25">
      <c r="A88" t="s">
        <v>33</v>
      </c>
      <c r="B88" s="93">
        <v>43773</v>
      </c>
      <c r="C88" t="s">
        <v>1523</v>
      </c>
      <c r="D88" s="5">
        <v>97.43</v>
      </c>
      <c r="E88" t="s">
        <v>46</v>
      </c>
    </row>
    <row r="89" spans="1:5" x14ac:dyDescent="0.25">
      <c r="A89" t="s">
        <v>33</v>
      </c>
      <c r="B89" s="93">
        <v>43773</v>
      </c>
      <c r="C89" t="s">
        <v>377</v>
      </c>
      <c r="D89" s="5">
        <v>832.24</v>
      </c>
      <c r="E89" t="s">
        <v>107</v>
      </c>
    </row>
    <row r="90" spans="1:5" x14ac:dyDescent="0.25">
      <c r="A90" t="s">
        <v>33</v>
      </c>
      <c r="B90" s="93">
        <v>43773</v>
      </c>
      <c r="C90" t="s">
        <v>1524</v>
      </c>
      <c r="D90" s="5">
        <v>6.41</v>
      </c>
      <c r="E90" t="s">
        <v>46</v>
      </c>
    </row>
    <row r="91" spans="1:5" x14ac:dyDescent="0.25">
      <c r="A91" t="s">
        <v>33</v>
      </c>
      <c r="B91" s="93">
        <v>43773</v>
      </c>
      <c r="C91" t="s">
        <v>1525</v>
      </c>
      <c r="D91" s="5">
        <v>3.8</v>
      </c>
      <c r="E91" t="s">
        <v>46</v>
      </c>
    </row>
    <row r="92" spans="1:5" x14ac:dyDescent="0.25">
      <c r="A92" t="s">
        <v>33</v>
      </c>
      <c r="B92" s="93">
        <v>43773</v>
      </c>
      <c r="C92" t="s">
        <v>1526</v>
      </c>
      <c r="D92" s="5">
        <v>6.45</v>
      </c>
      <c r="E92" t="s">
        <v>46</v>
      </c>
    </row>
    <row r="93" spans="1:5" x14ac:dyDescent="0.25">
      <c r="A93" t="s">
        <v>33</v>
      </c>
      <c r="B93" s="93">
        <v>43773</v>
      </c>
      <c r="C93" t="s">
        <v>1527</v>
      </c>
      <c r="D93" s="5">
        <v>19.579999999999998</v>
      </c>
      <c r="E93" t="s">
        <v>46</v>
      </c>
    </row>
    <row r="94" spans="1:5" x14ac:dyDescent="0.25">
      <c r="A94" t="s">
        <v>33</v>
      </c>
      <c r="B94" s="93">
        <v>43773</v>
      </c>
      <c r="C94" t="s">
        <v>1528</v>
      </c>
      <c r="D94" s="5">
        <v>48.14</v>
      </c>
      <c r="E94" t="s">
        <v>46</v>
      </c>
    </row>
    <row r="95" spans="1:5" x14ac:dyDescent="0.25">
      <c r="A95" t="s">
        <v>33</v>
      </c>
      <c r="B95" s="93">
        <v>43773</v>
      </c>
      <c r="C95" t="s">
        <v>1529</v>
      </c>
      <c r="D95" s="5">
        <v>5.49</v>
      </c>
      <c r="E95" t="s">
        <v>46</v>
      </c>
    </row>
    <row r="96" spans="1:5" x14ac:dyDescent="0.25">
      <c r="A96" t="s">
        <v>33</v>
      </c>
      <c r="B96" s="93">
        <v>43773</v>
      </c>
      <c r="C96" t="s">
        <v>1530</v>
      </c>
      <c r="D96" s="5">
        <v>20.23</v>
      </c>
      <c r="E96" t="s">
        <v>46</v>
      </c>
    </row>
    <row r="97" spans="1:5" x14ac:dyDescent="0.25">
      <c r="A97" t="s">
        <v>33</v>
      </c>
      <c r="B97" s="93">
        <v>43773</v>
      </c>
      <c r="C97" t="s">
        <v>1531</v>
      </c>
      <c r="D97" s="5">
        <v>6.77</v>
      </c>
      <c r="E97" t="s">
        <v>46</v>
      </c>
    </row>
    <row r="98" spans="1:5" x14ac:dyDescent="0.25">
      <c r="A98" t="s">
        <v>33</v>
      </c>
      <c r="B98" s="93">
        <v>43773</v>
      </c>
      <c r="C98" t="s">
        <v>1532</v>
      </c>
      <c r="D98" s="5">
        <v>22.49</v>
      </c>
      <c r="E98" t="s">
        <v>46</v>
      </c>
    </row>
    <row r="99" spans="1:5" x14ac:dyDescent="0.25">
      <c r="A99" t="s">
        <v>33</v>
      </c>
      <c r="B99" s="93">
        <v>43773</v>
      </c>
      <c r="C99" t="s">
        <v>1533</v>
      </c>
      <c r="D99" s="5">
        <v>4.92</v>
      </c>
      <c r="E99" t="s">
        <v>46</v>
      </c>
    </row>
    <row r="100" spans="1:5" x14ac:dyDescent="0.25">
      <c r="A100" t="s">
        <v>33</v>
      </c>
      <c r="B100" s="93">
        <v>43773</v>
      </c>
      <c r="C100" t="s">
        <v>1534</v>
      </c>
      <c r="D100" s="5">
        <v>60</v>
      </c>
      <c r="E100" t="s">
        <v>58</v>
      </c>
    </row>
    <row r="101" spans="1:5" x14ac:dyDescent="0.25">
      <c r="A101" t="s">
        <v>33</v>
      </c>
      <c r="B101" s="93">
        <v>43773</v>
      </c>
      <c r="C101" t="s">
        <v>1535</v>
      </c>
      <c r="D101" s="5">
        <v>29.13</v>
      </c>
      <c r="E101" t="s">
        <v>46</v>
      </c>
    </row>
    <row r="102" spans="1:5" x14ac:dyDescent="0.25">
      <c r="A102" t="s">
        <v>33</v>
      </c>
      <c r="B102" s="93">
        <v>43773</v>
      </c>
      <c r="C102" t="s">
        <v>1536</v>
      </c>
      <c r="D102" s="5">
        <v>10</v>
      </c>
      <c r="E102" t="s">
        <v>46</v>
      </c>
    </row>
    <row r="103" spans="1:5" x14ac:dyDescent="0.25">
      <c r="A103" t="s">
        <v>33</v>
      </c>
      <c r="B103" s="93">
        <v>43773</v>
      </c>
      <c r="C103" t="s">
        <v>1537</v>
      </c>
      <c r="D103" s="5">
        <v>6.4</v>
      </c>
      <c r="E103" t="s">
        <v>46</v>
      </c>
    </row>
    <row r="104" spans="1:5" x14ac:dyDescent="0.25">
      <c r="A104" t="s">
        <v>33</v>
      </c>
      <c r="B104" s="93">
        <v>43773</v>
      </c>
      <c r="C104" t="s">
        <v>1538</v>
      </c>
      <c r="D104" s="5">
        <v>8.35</v>
      </c>
      <c r="E104" t="s">
        <v>46</v>
      </c>
    </row>
    <row r="105" spans="1:5" x14ac:dyDescent="0.25">
      <c r="A105" t="s">
        <v>33</v>
      </c>
      <c r="B105" s="93">
        <v>43770</v>
      </c>
      <c r="C105" t="s">
        <v>1539</v>
      </c>
      <c r="D105" s="5">
        <v>15.4</v>
      </c>
      <c r="E105" t="s">
        <v>46</v>
      </c>
    </row>
    <row r="106" spans="1:5" x14ac:dyDescent="0.25">
      <c r="A106" t="s">
        <v>33</v>
      </c>
      <c r="B106" s="93">
        <v>43770</v>
      </c>
      <c r="C106" t="s">
        <v>1540</v>
      </c>
      <c r="D106" s="5">
        <v>10.01</v>
      </c>
      <c r="E106" t="s">
        <v>46</v>
      </c>
    </row>
    <row r="107" spans="1:5" x14ac:dyDescent="0.25">
      <c r="A107" t="s">
        <v>33</v>
      </c>
      <c r="B107" s="93">
        <v>43770</v>
      </c>
      <c r="C107" t="s">
        <v>1541</v>
      </c>
      <c r="D107" s="5">
        <v>103</v>
      </c>
      <c r="E107" t="s">
        <v>58</v>
      </c>
    </row>
    <row r="108" spans="1:5" x14ac:dyDescent="0.25">
      <c r="A108" t="s">
        <v>33</v>
      </c>
      <c r="B108" s="93">
        <v>43770</v>
      </c>
      <c r="C108" t="s">
        <v>1542</v>
      </c>
      <c r="D108" s="5">
        <v>20</v>
      </c>
      <c r="E108" t="s">
        <v>46</v>
      </c>
    </row>
    <row r="109" spans="1:5" x14ac:dyDescent="0.25">
      <c r="A109" t="s">
        <v>49</v>
      </c>
      <c r="B109" s="93">
        <v>43770</v>
      </c>
      <c r="C109" t="s">
        <v>50</v>
      </c>
      <c r="D109" s="5">
        <v>-3485.06</v>
      </c>
      <c r="E109" t="s">
        <v>51</v>
      </c>
    </row>
    <row r="110" spans="1:5" x14ac:dyDescent="0.25">
      <c r="A110" t="s">
        <v>49</v>
      </c>
      <c r="B110" s="93">
        <v>43770</v>
      </c>
      <c r="C110" t="s">
        <v>1543</v>
      </c>
      <c r="D110" s="5">
        <v>-3</v>
      </c>
      <c r="E110" t="s">
        <v>105</v>
      </c>
    </row>
    <row r="111" spans="1:5" x14ac:dyDescent="0.25">
      <c r="A111" t="s">
        <v>49</v>
      </c>
      <c r="B111" s="93">
        <v>43769</v>
      </c>
      <c r="C111" t="s">
        <v>104</v>
      </c>
      <c r="D111" s="5">
        <v>-0.01</v>
      </c>
      <c r="E111" t="s">
        <v>105</v>
      </c>
    </row>
    <row r="112" spans="1:5" x14ac:dyDescent="0.25">
      <c r="A112" t="s">
        <v>33</v>
      </c>
      <c r="B112" s="93">
        <v>43769</v>
      </c>
      <c r="C112" t="s">
        <v>1544</v>
      </c>
      <c r="D112" s="5">
        <v>64.38</v>
      </c>
      <c r="E112" t="s">
        <v>46</v>
      </c>
    </row>
    <row r="113" spans="1:5" x14ac:dyDescent="0.25">
      <c r="A113" t="s">
        <v>33</v>
      </c>
      <c r="B113" s="93">
        <v>43769</v>
      </c>
      <c r="C113" t="s">
        <v>1545</v>
      </c>
      <c r="D113" s="5">
        <v>11.02</v>
      </c>
      <c r="E113" t="s">
        <v>46</v>
      </c>
    </row>
    <row r="114" spans="1:5" x14ac:dyDescent="0.25">
      <c r="A114" t="s">
        <v>33</v>
      </c>
      <c r="B114" s="93">
        <v>43769</v>
      </c>
      <c r="C114" t="s">
        <v>1546</v>
      </c>
      <c r="D114" s="5">
        <v>8.6999999999999993</v>
      </c>
      <c r="E114" t="s">
        <v>46</v>
      </c>
    </row>
    <row r="115" spans="1:5" x14ac:dyDescent="0.25">
      <c r="A115" t="s">
        <v>33</v>
      </c>
      <c r="B115" s="93">
        <v>43769</v>
      </c>
      <c r="C115" t="s">
        <v>1547</v>
      </c>
      <c r="D115" s="5">
        <v>16.04</v>
      </c>
      <c r="E115" t="s">
        <v>46</v>
      </c>
    </row>
    <row r="116" spans="1:5" x14ac:dyDescent="0.25">
      <c r="A116" t="s">
        <v>33</v>
      </c>
      <c r="B116" s="93">
        <v>43769</v>
      </c>
      <c r="C116" t="s">
        <v>1548</v>
      </c>
      <c r="D116" s="5">
        <v>12.07</v>
      </c>
      <c r="E116" t="s">
        <v>46</v>
      </c>
    </row>
    <row r="117" spans="1:5" x14ac:dyDescent="0.25">
      <c r="A117" t="s">
        <v>33</v>
      </c>
      <c r="B117" s="93">
        <v>43768</v>
      </c>
      <c r="C117" t="s">
        <v>1549</v>
      </c>
      <c r="D117" s="5">
        <v>117.54</v>
      </c>
      <c r="E117" t="s">
        <v>46</v>
      </c>
    </row>
    <row r="118" spans="1:5" x14ac:dyDescent="0.25">
      <c r="A118" t="s">
        <v>33</v>
      </c>
      <c r="B118" s="93">
        <v>43767</v>
      </c>
      <c r="C118" t="s">
        <v>1550</v>
      </c>
      <c r="D118" s="5">
        <v>21.39</v>
      </c>
      <c r="E118" t="s">
        <v>46</v>
      </c>
    </row>
    <row r="119" spans="1:5" x14ac:dyDescent="0.25">
      <c r="A119" t="s">
        <v>33</v>
      </c>
      <c r="B119" s="93">
        <v>43767</v>
      </c>
      <c r="C119" t="s">
        <v>106</v>
      </c>
      <c r="D119" s="5">
        <v>437.54</v>
      </c>
      <c r="E119" t="s">
        <v>107</v>
      </c>
    </row>
    <row r="120" spans="1:5" x14ac:dyDescent="0.25">
      <c r="A120" t="s">
        <v>33</v>
      </c>
      <c r="B120" s="93">
        <v>43767</v>
      </c>
      <c r="C120" t="s">
        <v>1551</v>
      </c>
      <c r="D120" s="5">
        <v>8.7799999999999994</v>
      </c>
      <c r="E120" t="s">
        <v>46</v>
      </c>
    </row>
    <row r="121" spans="1:5" x14ac:dyDescent="0.25">
      <c r="A121" t="s">
        <v>33</v>
      </c>
      <c r="B121" s="93">
        <v>43767</v>
      </c>
      <c r="C121" t="s">
        <v>1552</v>
      </c>
      <c r="D121" s="5">
        <v>26</v>
      </c>
      <c r="E121" t="s">
        <v>46</v>
      </c>
    </row>
    <row r="122" spans="1:5" x14ac:dyDescent="0.25">
      <c r="A122" t="s">
        <v>33</v>
      </c>
      <c r="B122" s="93">
        <v>43767</v>
      </c>
      <c r="C122" t="s">
        <v>1553</v>
      </c>
      <c r="D122" s="5">
        <v>14.77</v>
      </c>
      <c r="E122" t="s">
        <v>46</v>
      </c>
    </row>
    <row r="123" spans="1:5" x14ac:dyDescent="0.25">
      <c r="A123" t="s">
        <v>33</v>
      </c>
      <c r="B123" s="93">
        <v>43766</v>
      </c>
      <c r="C123" t="s">
        <v>1554</v>
      </c>
      <c r="D123" s="5">
        <v>25.14</v>
      </c>
      <c r="E123" t="s">
        <v>46</v>
      </c>
    </row>
    <row r="124" spans="1:5" x14ac:dyDescent="0.25">
      <c r="A124" t="s">
        <v>33</v>
      </c>
      <c r="B124" s="93">
        <v>43766</v>
      </c>
      <c r="C124" t="s">
        <v>1555</v>
      </c>
      <c r="D124" s="5">
        <v>34.54</v>
      </c>
      <c r="E124" t="s">
        <v>46</v>
      </c>
    </row>
    <row r="125" spans="1:5" x14ac:dyDescent="0.25">
      <c r="A125" t="s">
        <v>33</v>
      </c>
      <c r="B125" s="93">
        <v>43766</v>
      </c>
      <c r="C125" t="s">
        <v>1556</v>
      </c>
      <c r="D125" s="5">
        <v>68.84</v>
      </c>
      <c r="E125" t="s">
        <v>46</v>
      </c>
    </row>
    <row r="126" spans="1:5" x14ac:dyDescent="0.25">
      <c r="A126" t="s">
        <v>33</v>
      </c>
      <c r="B126" s="93">
        <v>43766</v>
      </c>
      <c r="C126" t="s">
        <v>1557</v>
      </c>
      <c r="D126" s="5">
        <v>13.93</v>
      </c>
      <c r="E126" t="s">
        <v>46</v>
      </c>
    </row>
    <row r="127" spans="1:5" x14ac:dyDescent="0.25">
      <c r="A127" t="s">
        <v>33</v>
      </c>
      <c r="B127" s="93">
        <v>43766</v>
      </c>
      <c r="C127" t="s">
        <v>1558</v>
      </c>
      <c r="D127" s="5">
        <v>38.299999999999997</v>
      </c>
      <c r="E127" t="s">
        <v>46</v>
      </c>
    </row>
    <row r="128" spans="1:5" x14ac:dyDescent="0.25">
      <c r="A128" t="s">
        <v>33</v>
      </c>
      <c r="B128" s="93">
        <v>43766</v>
      </c>
      <c r="C128" t="s">
        <v>1559</v>
      </c>
      <c r="D128" s="5">
        <v>63.34</v>
      </c>
      <c r="E128" t="s">
        <v>46</v>
      </c>
    </row>
    <row r="129" spans="1:7" x14ac:dyDescent="0.25">
      <c r="A129" t="s">
        <v>33</v>
      </c>
      <c r="B129" s="93">
        <v>43766</v>
      </c>
      <c r="C129" t="s">
        <v>1560</v>
      </c>
      <c r="D129" s="5">
        <v>171.07</v>
      </c>
      <c r="E129" t="s">
        <v>46</v>
      </c>
    </row>
    <row r="130" spans="1:7" x14ac:dyDescent="0.25">
      <c r="A130" t="s">
        <v>33</v>
      </c>
      <c r="B130" s="93">
        <v>43766</v>
      </c>
      <c r="C130" t="s">
        <v>1561</v>
      </c>
      <c r="D130" s="5">
        <v>49.13</v>
      </c>
      <c r="E130" t="s">
        <v>46</v>
      </c>
    </row>
    <row r="131" spans="1:7" x14ac:dyDescent="0.25">
      <c r="A131" t="s">
        <v>33</v>
      </c>
      <c r="B131" s="93">
        <v>43766</v>
      </c>
      <c r="C131" t="s">
        <v>1562</v>
      </c>
      <c r="D131" s="5">
        <v>40</v>
      </c>
      <c r="E131" t="s">
        <v>58</v>
      </c>
    </row>
    <row r="132" spans="1:7" x14ac:dyDescent="0.25">
      <c r="A132" t="s">
        <v>33</v>
      </c>
      <c r="B132" s="93">
        <v>43766</v>
      </c>
      <c r="C132" t="s">
        <v>1563</v>
      </c>
      <c r="D132" s="5">
        <v>107.98</v>
      </c>
      <c r="E132" t="s">
        <v>46</v>
      </c>
    </row>
    <row r="133" spans="1:7" x14ac:dyDescent="0.25">
      <c r="A133" t="s">
        <v>33</v>
      </c>
      <c r="B133" s="93">
        <v>43766</v>
      </c>
      <c r="C133" t="s">
        <v>1564</v>
      </c>
      <c r="D133" s="5">
        <v>28.58</v>
      </c>
      <c r="E133" t="s">
        <v>46</v>
      </c>
    </row>
    <row r="134" spans="1:7" x14ac:dyDescent="0.25">
      <c r="A134" t="s">
        <v>33</v>
      </c>
      <c r="B134" s="93">
        <v>43766</v>
      </c>
      <c r="C134" t="s">
        <v>1565</v>
      </c>
      <c r="D134" s="5">
        <v>19.02</v>
      </c>
      <c r="E134" t="s">
        <v>46</v>
      </c>
    </row>
    <row r="135" spans="1:7" x14ac:dyDescent="0.25">
      <c r="A135" t="s">
        <v>33</v>
      </c>
      <c r="B135" s="93">
        <v>43766</v>
      </c>
      <c r="C135" t="s">
        <v>1566</v>
      </c>
      <c r="D135" s="5">
        <v>3.8</v>
      </c>
      <c r="E135" t="s">
        <v>46</v>
      </c>
    </row>
    <row r="136" spans="1:7" x14ac:dyDescent="0.25">
      <c r="A136" t="s">
        <v>33</v>
      </c>
      <c r="B136" s="93">
        <v>43766</v>
      </c>
      <c r="C136" t="s">
        <v>1567</v>
      </c>
      <c r="D136" s="145">
        <v>14.85</v>
      </c>
      <c r="E136" t="s">
        <v>46</v>
      </c>
    </row>
    <row r="137" spans="1:7" x14ac:dyDescent="0.25">
      <c r="A137" t="s">
        <v>33</v>
      </c>
      <c r="B137" s="93">
        <v>43766</v>
      </c>
      <c r="C137" t="s">
        <v>1568</v>
      </c>
      <c r="D137" s="5">
        <v>21.08</v>
      </c>
      <c r="E137" t="s">
        <v>46</v>
      </c>
    </row>
    <row r="138" spans="1:7" x14ac:dyDescent="0.25">
      <c r="A138" t="s">
        <v>33</v>
      </c>
      <c r="B138" s="93">
        <v>43766</v>
      </c>
      <c r="C138" t="s">
        <v>1569</v>
      </c>
      <c r="D138" s="5">
        <v>30</v>
      </c>
      <c r="E138" t="s">
        <v>46</v>
      </c>
    </row>
    <row r="139" spans="1:7" x14ac:dyDescent="0.25">
      <c r="A139" t="s">
        <v>33</v>
      </c>
      <c r="B139" s="93">
        <v>43766</v>
      </c>
      <c r="C139" t="s">
        <v>1570</v>
      </c>
      <c r="D139" s="5">
        <v>5.25</v>
      </c>
      <c r="E139" t="s">
        <v>46</v>
      </c>
    </row>
    <row r="140" spans="1:7" x14ac:dyDescent="0.25">
      <c r="A140" t="s">
        <v>33</v>
      </c>
      <c r="B140" s="93">
        <v>43766</v>
      </c>
      <c r="C140" t="s">
        <v>1571</v>
      </c>
      <c r="D140" s="5">
        <v>8.6</v>
      </c>
      <c r="E140" t="s">
        <v>46</v>
      </c>
    </row>
    <row r="141" spans="1:7" x14ac:dyDescent="0.25">
      <c r="A141" t="s">
        <v>33</v>
      </c>
      <c r="B141" s="93">
        <v>43766</v>
      </c>
      <c r="C141" t="s">
        <v>1572</v>
      </c>
      <c r="D141" s="5">
        <v>15</v>
      </c>
      <c r="E141" t="s">
        <v>46</v>
      </c>
    </row>
    <row r="142" spans="1:7" x14ac:dyDescent="0.25">
      <c r="A142" t="s">
        <v>33</v>
      </c>
      <c r="B142" s="93">
        <v>43766</v>
      </c>
      <c r="C142" t="s">
        <v>1572</v>
      </c>
      <c r="D142" s="155">
        <v>17.25</v>
      </c>
      <c r="E142" t="s">
        <v>46</v>
      </c>
      <c r="G142" s="18">
        <f>D142+D151+D152+D153+D157+D158</f>
        <v>160.69999999999999</v>
      </c>
    </row>
    <row r="143" spans="1:7" x14ac:dyDescent="0.25">
      <c r="A143" t="s">
        <v>33</v>
      </c>
      <c r="B143" s="93">
        <v>43766</v>
      </c>
      <c r="C143" t="s">
        <v>1573</v>
      </c>
      <c r="D143" s="156">
        <v>98.91</v>
      </c>
      <c r="E143" t="s">
        <v>46</v>
      </c>
      <c r="G143" s="161">
        <f>D143</f>
        <v>98.91</v>
      </c>
    </row>
    <row r="144" spans="1:7" x14ac:dyDescent="0.25">
      <c r="A144" t="s">
        <v>33</v>
      </c>
      <c r="B144" s="93">
        <v>43766</v>
      </c>
      <c r="C144" t="s">
        <v>1574</v>
      </c>
      <c r="D144" s="5">
        <v>-48.12</v>
      </c>
      <c r="E144" t="s">
        <v>46</v>
      </c>
      <c r="G144" s="18">
        <f>SUM(G142:G143)</f>
        <v>259.61</v>
      </c>
    </row>
    <row r="145" spans="1:5" x14ac:dyDescent="0.25">
      <c r="A145" t="s">
        <v>33</v>
      </c>
      <c r="B145" s="93">
        <v>43763</v>
      </c>
      <c r="C145" t="s">
        <v>1575</v>
      </c>
      <c r="D145" s="5">
        <v>86.07</v>
      </c>
      <c r="E145" t="s">
        <v>46</v>
      </c>
    </row>
    <row r="146" spans="1:5" x14ac:dyDescent="0.25">
      <c r="A146" t="s">
        <v>33</v>
      </c>
      <c r="B146" s="93">
        <v>43763</v>
      </c>
      <c r="C146" t="s">
        <v>1576</v>
      </c>
      <c r="D146" s="5">
        <v>43</v>
      </c>
      <c r="E146" t="s">
        <v>58</v>
      </c>
    </row>
    <row r="147" spans="1:5" x14ac:dyDescent="0.25">
      <c r="A147" t="s">
        <v>33</v>
      </c>
      <c r="B147" s="93">
        <v>43763</v>
      </c>
      <c r="C147" t="s">
        <v>1577</v>
      </c>
      <c r="D147" s="5">
        <v>15.4</v>
      </c>
      <c r="E147" t="s">
        <v>46</v>
      </c>
    </row>
    <row r="148" spans="1:5" x14ac:dyDescent="0.25">
      <c r="A148" t="s">
        <v>33</v>
      </c>
      <c r="B148" s="93">
        <v>43763</v>
      </c>
      <c r="C148" t="s">
        <v>1578</v>
      </c>
      <c r="D148" s="5">
        <v>18.25</v>
      </c>
      <c r="E148" t="s">
        <v>46</v>
      </c>
    </row>
    <row r="149" spans="1:5" x14ac:dyDescent="0.25">
      <c r="A149" t="s">
        <v>33</v>
      </c>
      <c r="B149" s="93">
        <v>43763</v>
      </c>
      <c r="C149" t="s">
        <v>1579</v>
      </c>
      <c r="D149" s="145">
        <v>20.75</v>
      </c>
      <c r="E149" t="s">
        <v>46</v>
      </c>
    </row>
    <row r="150" spans="1:5" x14ac:dyDescent="0.25">
      <c r="A150" t="s">
        <v>33</v>
      </c>
      <c r="B150" s="93">
        <v>43763</v>
      </c>
      <c r="C150" t="s">
        <v>1580</v>
      </c>
      <c r="D150" s="5">
        <v>107.9</v>
      </c>
      <c r="E150" t="s">
        <v>46</v>
      </c>
    </row>
    <row r="151" spans="1:5" x14ac:dyDescent="0.25">
      <c r="A151" t="s">
        <v>33</v>
      </c>
      <c r="B151" s="93">
        <v>43763</v>
      </c>
      <c r="C151" t="s">
        <v>1581</v>
      </c>
      <c r="D151" s="155">
        <v>25.07</v>
      </c>
      <c r="E151" t="s">
        <v>46</v>
      </c>
    </row>
    <row r="152" spans="1:5" x14ac:dyDescent="0.25">
      <c r="A152" t="s">
        <v>33</v>
      </c>
      <c r="B152" s="93">
        <v>43763</v>
      </c>
      <c r="C152" t="s">
        <v>1582</v>
      </c>
      <c r="D152" s="155">
        <v>21.35</v>
      </c>
      <c r="E152" t="s">
        <v>46</v>
      </c>
    </row>
    <row r="153" spans="1:5" x14ac:dyDescent="0.25">
      <c r="A153" t="s">
        <v>33</v>
      </c>
      <c r="B153" s="93">
        <v>43763</v>
      </c>
      <c r="C153" t="s">
        <v>1583</v>
      </c>
      <c r="D153" s="155">
        <v>21.96</v>
      </c>
      <c r="E153" t="s">
        <v>46</v>
      </c>
    </row>
    <row r="154" spans="1:5" x14ac:dyDescent="0.25">
      <c r="A154" t="s">
        <v>49</v>
      </c>
      <c r="B154" s="93">
        <v>43763</v>
      </c>
      <c r="C154" t="s">
        <v>1584</v>
      </c>
      <c r="D154" s="5">
        <v>-3</v>
      </c>
      <c r="E154" t="s">
        <v>105</v>
      </c>
    </row>
    <row r="155" spans="1:5" x14ac:dyDescent="0.25">
      <c r="A155" t="s">
        <v>33</v>
      </c>
      <c r="B155" s="93">
        <v>43762</v>
      </c>
      <c r="C155" t="s">
        <v>1585</v>
      </c>
      <c r="D155" s="5">
        <v>0.99</v>
      </c>
      <c r="E155" t="s">
        <v>46</v>
      </c>
    </row>
    <row r="156" spans="1:5" x14ac:dyDescent="0.25">
      <c r="A156" t="s">
        <v>33</v>
      </c>
      <c r="B156" s="93">
        <v>43762</v>
      </c>
      <c r="C156" t="s">
        <v>1586</v>
      </c>
      <c r="D156" s="5">
        <v>9.75</v>
      </c>
      <c r="E156" t="s">
        <v>46</v>
      </c>
    </row>
    <row r="157" spans="1:5" x14ac:dyDescent="0.25">
      <c r="A157" t="s">
        <v>33</v>
      </c>
      <c r="B157" s="93">
        <v>43762</v>
      </c>
      <c r="C157" t="s">
        <v>1587</v>
      </c>
      <c r="D157" s="155">
        <v>29.39</v>
      </c>
      <c r="E157" t="s">
        <v>46</v>
      </c>
    </row>
    <row r="158" spans="1:5" x14ac:dyDescent="0.25">
      <c r="A158" t="s">
        <v>33</v>
      </c>
      <c r="B158" s="93">
        <v>43762</v>
      </c>
      <c r="C158" t="s">
        <v>1588</v>
      </c>
      <c r="D158" s="155">
        <v>45.68</v>
      </c>
      <c r="E158" t="s">
        <v>46</v>
      </c>
    </row>
    <row r="159" spans="1:5" x14ac:dyDescent="0.25">
      <c r="A159" t="s">
        <v>33</v>
      </c>
      <c r="B159" s="93">
        <v>43762</v>
      </c>
      <c r="C159" t="s">
        <v>1589</v>
      </c>
      <c r="D159" s="5">
        <v>12.54</v>
      </c>
      <c r="E159" t="s">
        <v>46</v>
      </c>
    </row>
    <row r="160" spans="1:5" x14ac:dyDescent="0.25">
      <c r="A160" t="s">
        <v>33</v>
      </c>
      <c r="B160" s="93">
        <v>43762</v>
      </c>
      <c r="C160" t="s">
        <v>1590</v>
      </c>
      <c r="D160" s="5">
        <v>14.98</v>
      </c>
      <c r="E160" t="s">
        <v>46</v>
      </c>
    </row>
    <row r="161" spans="1:5" x14ac:dyDescent="0.25">
      <c r="A161" t="s">
        <v>33</v>
      </c>
      <c r="B161" s="93">
        <v>43762</v>
      </c>
      <c r="C161" t="s">
        <v>1591</v>
      </c>
      <c r="D161" s="5">
        <v>15.14</v>
      </c>
      <c r="E161" t="s">
        <v>46</v>
      </c>
    </row>
    <row r="162" spans="1:5" x14ac:dyDescent="0.25">
      <c r="A162" t="s">
        <v>33</v>
      </c>
      <c r="B162" s="93">
        <v>43762</v>
      </c>
      <c r="C162" t="s">
        <v>1592</v>
      </c>
      <c r="D162" s="5">
        <v>32.89</v>
      </c>
      <c r="E162" t="s">
        <v>46</v>
      </c>
    </row>
    <row r="163" spans="1:5" x14ac:dyDescent="0.25">
      <c r="A163" t="s">
        <v>33</v>
      </c>
      <c r="B163" s="93">
        <v>43761</v>
      </c>
      <c r="C163" t="s">
        <v>1593</v>
      </c>
      <c r="D163" s="5">
        <v>20</v>
      </c>
      <c r="E163" t="s">
        <v>46</v>
      </c>
    </row>
    <row r="164" spans="1:5" x14ac:dyDescent="0.25">
      <c r="A164" t="s">
        <v>33</v>
      </c>
      <c r="B164" s="93">
        <v>43761</v>
      </c>
      <c r="C164" t="s">
        <v>1594</v>
      </c>
      <c r="D164" s="5">
        <v>21.88</v>
      </c>
      <c r="E164" t="s">
        <v>46</v>
      </c>
    </row>
    <row r="165" spans="1:5" x14ac:dyDescent="0.25">
      <c r="A165" t="s">
        <v>33</v>
      </c>
      <c r="B165" s="93">
        <v>43761</v>
      </c>
      <c r="C165" t="s">
        <v>1595</v>
      </c>
      <c r="D165" s="5">
        <v>19.489999999999998</v>
      </c>
      <c r="E165" t="s">
        <v>46</v>
      </c>
    </row>
    <row r="166" spans="1:5" x14ac:dyDescent="0.25">
      <c r="A166" t="s">
        <v>33</v>
      </c>
      <c r="B166" s="93">
        <v>43760</v>
      </c>
      <c r="C166" t="s">
        <v>1596</v>
      </c>
      <c r="D166" s="5">
        <v>4.37</v>
      </c>
      <c r="E166" t="s">
        <v>46</v>
      </c>
    </row>
    <row r="167" spans="1:5" x14ac:dyDescent="0.25">
      <c r="A167" t="s">
        <v>33</v>
      </c>
      <c r="B167" s="93">
        <v>43760</v>
      </c>
      <c r="C167" t="s">
        <v>1597</v>
      </c>
      <c r="D167" s="5">
        <v>25.33</v>
      </c>
      <c r="E167" t="s">
        <v>46</v>
      </c>
    </row>
    <row r="168" spans="1:5" x14ac:dyDescent="0.25">
      <c r="A168" t="s">
        <v>33</v>
      </c>
      <c r="B168" s="93">
        <v>43760</v>
      </c>
      <c r="C168" t="s">
        <v>1598</v>
      </c>
      <c r="D168" s="5">
        <v>877.35</v>
      </c>
      <c r="E168" t="s">
        <v>46</v>
      </c>
    </row>
    <row r="169" spans="1:5" x14ac:dyDescent="0.25">
      <c r="A169" t="s">
        <v>33</v>
      </c>
      <c r="B169" s="93">
        <v>43759</v>
      </c>
      <c r="C169" t="s">
        <v>1599</v>
      </c>
      <c r="D169" s="5">
        <v>19.940000000000001</v>
      </c>
      <c r="E169" t="s">
        <v>46</v>
      </c>
    </row>
    <row r="170" spans="1:5" x14ac:dyDescent="0.25">
      <c r="A170" t="s">
        <v>33</v>
      </c>
      <c r="B170" s="93">
        <v>43759</v>
      </c>
      <c r="C170" t="s">
        <v>1600</v>
      </c>
      <c r="D170" s="5">
        <v>57</v>
      </c>
      <c r="E170" t="s">
        <v>46</v>
      </c>
    </row>
    <row r="171" spans="1:5" x14ac:dyDescent="0.25">
      <c r="A171" t="s">
        <v>33</v>
      </c>
      <c r="B171" s="93">
        <v>43759</v>
      </c>
      <c r="C171" t="s">
        <v>1601</v>
      </c>
      <c r="D171" s="5">
        <v>14.44</v>
      </c>
      <c r="E171" t="s">
        <v>46</v>
      </c>
    </row>
    <row r="172" spans="1:5" x14ac:dyDescent="0.25">
      <c r="A172" t="s">
        <v>33</v>
      </c>
      <c r="B172" s="93">
        <v>43759</v>
      </c>
      <c r="C172" t="s">
        <v>1602</v>
      </c>
      <c r="D172" s="5">
        <v>34.200000000000003</v>
      </c>
      <c r="E172" t="s">
        <v>46</v>
      </c>
    </row>
    <row r="173" spans="1:5" x14ac:dyDescent="0.25">
      <c r="A173" t="s">
        <v>33</v>
      </c>
      <c r="B173" s="93">
        <v>43759</v>
      </c>
      <c r="C173" t="s">
        <v>1603</v>
      </c>
      <c r="D173" s="5">
        <v>444.41</v>
      </c>
      <c r="E173" t="s">
        <v>46</v>
      </c>
    </row>
    <row r="174" spans="1:5" x14ac:dyDescent="0.25">
      <c r="A174" t="s">
        <v>33</v>
      </c>
      <c r="B174" s="93">
        <v>43759</v>
      </c>
      <c r="C174" t="s">
        <v>1604</v>
      </c>
      <c r="D174" s="5">
        <v>14.77</v>
      </c>
      <c r="E174" t="s">
        <v>46</v>
      </c>
    </row>
    <row r="175" spans="1:5" x14ac:dyDescent="0.25">
      <c r="A175" t="s">
        <v>33</v>
      </c>
      <c r="B175" s="93">
        <v>43759</v>
      </c>
      <c r="C175" t="s">
        <v>1605</v>
      </c>
      <c r="D175" s="5">
        <v>10.78</v>
      </c>
      <c r="E175" t="s">
        <v>46</v>
      </c>
    </row>
    <row r="176" spans="1:5" x14ac:dyDescent="0.25">
      <c r="A176" t="s">
        <v>33</v>
      </c>
      <c r="B176" s="93">
        <v>43759</v>
      </c>
      <c r="C176" t="s">
        <v>1606</v>
      </c>
      <c r="D176" s="5">
        <v>11.24</v>
      </c>
      <c r="E176" t="s">
        <v>46</v>
      </c>
    </row>
    <row r="177" spans="1:5" x14ac:dyDescent="0.25">
      <c r="A177" t="s">
        <v>33</v>
      </c>
      <c r="B177" s="93">
        <v>43759</v>
      </c>
      <c r="C177" t="s">
        <v>1607</v>
      </c>
      <c r="D177" s="5">
        <v>10</v>
      </c>
      <c r="E177" t="s">
        <v>46</v>
      </c>
    </row>
    <row r="178" spans="1:5" x14ac:dyDescent="0.25">
      <c r="A178" t="s">
        <v>33</v>
      </c>
      <c r="B178" s="93">
        <v>43759</v>
      </c>
      <c r="C178" t="s">
        <v>1608</v>
      </c>
      <c r="D178" s="5">
        <v>13.84</v>
      </c>
      <c r="E178" t="s">
        <v>46</v>
      </c>
    </row>
    <row r="179" spans="1:5" x14ac:dyDescent="0.25">
      <c r="A179" t="s">
        <v>33</v>
      </c>
      <c r="B179" s="93">
        <v>43759</v>
      </c>
      <c r="C179" t="s">
        <v>1609</v>
      </c>
      <c r="D179" s="5">
        <v>5.27</v>
      </c>
      <c r="E179" t="s">
        <v>46</v>
      </c>
    </row>
    <row r="180" spans="1:5" x14ac:dyDescent="0.25">
      <c r="A180" t="s">
        <v>33</v>
      </c>
      <c r="B180" s="93">
        <v>43759</v>
      </c>
      <c r="C180" t="s">
        <v>1610</v>
      </c>
      <c r="D180" s="5">
        <v>7.96</v>
      </c>
      <c r="E180" t="s">
        <v>46</v>
      </c>
    </row>
    <row r="181" spans="1:5" x14ac:dyDescent="0.25">
      <c r="A181" t="s">
        <v>33</v>
      </c>
      <c r="B181" s="93">
        <v>43759</v>
      </c>
      <c r="C181" t="s">
        <v>1611</v>
      </c>
      <c r="D181" s="5">
        <v>25.09</v>
      </c>
      <c r="E181" t="s">
        <v>46</v>
      </c>
    </row>
    <row r="182" spans="1:5" x14ac:dyDescent="0.25">
      <c r="A182" t="s">
        <v>33</v>
      </c>
      <c r="B182" s="93">
        <v>43759</v>
      </c>
      <c r="C182" t="s">
        <v>1612</v>
      </c>
      <c r="D182" s="5">
        <v>23.75</v>
      </c>
      <c r="E182" t="s">
        <v>46</v>
      </c>
    </row>
    <row r="183" spans="1:5" x14ac:dyDescent="0.25">
      <c r="A183" t="s">
        <v>33</v>
      </c>
      <c r="B183" s="93">
        <v>43759</v>
      </c>
      <c r="C183" t="s">
        <v>1613</v>
      </c>
      <c r="D183" s="5">
        <v>56.22</v>
      </c>
      <c r="E183" t="s">
        <v>46</v>
      </c>
    </row>
    <row r="184" spans="1:5" x14ac:dyDescent="0.25">
      <c r="A184" t="s">
        <v>33</v>
      </c>
      <c r="B184" s="93">
        <v>43756</v>
      </c>
      <c r="C184" t="s">
        <v>1614</v>
      </c>
      <c r="D184" s="5">
        <v>8.56</v>
      </c>
      <c r="E184" t="s">
        <v>46</v>
      </c>
    </row>
    <row r="185" spans="1:5" x14ac:dyDescent="0.25">
      <c r="A185" t="s">
        <v>49</v>
      </c>
      <c r="B185" s="93">
        <v>43756</v>
      </c>
      <c r="C185" t="s">
        <v>50</v>
      </c>
      <c r="D185" s="5">
        <v>-3485.05</v>
      </c>
      <c r="E185" t="s">
        <v>51</v>
      </c>
    </row>
    <row r="186" spans="1:5" x14ac:dyDescent="0.25">
      <c r="A186" t="s">
        <v>33</v>
      </c>
      <c r="B186" s="93">
        <v>43755</v>
      </c>
      <c r="C186" t="s">
        <v>1615</v>
      </c>
      <c r="D186" s="5">
        <v>150</v>
      </c>
      <c r="E186" t="s">
        <v>107</v>
      </c>
    </row>
    <row r="187" spans="1:5" x14ac:dyDescent="0.25">
      <c r="A187" t="s">
        <v>33</v>
      </c>
      <c r="B187" s="93">
        <v>43755</v>
      </c>
      <c r="C187" t="s">
        <v>1616</v>
      </c>
      <c r="D187" s="5">
        <v>20</v>
      </c>
      <c r="E187" t="s">
        <v>46</v>
      </c>
    </row>
    <row r="188" spans="1:5" x14ac:dyDescent="0.25">
      <c r="A188" t="s">
        <v>33</v>
      </c>
      <c r="B188" s="93">
        <v>43755</v>
      </c>
      <c r="C188" t="s">
        <v>1617</v>
      </c>
      <c r="D188" s="5">
        <v>39.43</v>
      </c>
      <c r="E188" t="s">
        <v>46</v>
      </c>
    </row>
    <row r="189" spans="1:5" x14ac:dyDescent="0.25">
      <c r="A189" t="s">
        <v>33</v>
      </c>
      <c r="B189" s="93">
        <v>43754</v>
      </c>
      <c r="C189" t="s">
        <v>662</v>
      </c>
      <c r="D189" s="5">
        <v>250</v>
      </c>
      <c r="E189" t="s">
        <v>107</v>
      </c>
    </row>
    <row r="190" spans="1:5" x14ac:dyDescent="0.25">
      <c r="A190" t="s">
        <v>33</v>
      </c>
      <c r="B190" s="93">
        <v>43754</v>
      </c>
      <c r="C190" t="s">
        <v>1618</v>
      </c>
      <c r="D190" s="5">
        <v>13.9</v>
      </c>
      <c r="E190" t="s">
        <v>46</v>
      </c>
    </row>
    <row r="191" spans="1:5" x14ac:dyDescent="0.25">
      <c r="A191" t="s">
        <v>33</v>
      </c>
      <c r="B191" s="93">
        <v>43754</v>
      </c>
      <c r="C191" t="s">
        <v>1619</v>
      </c>
      <c r="D191" s="5">
        <v>2.58</v>
      </c>
      <c r="E191" t="s">
        <v>46</v>
      </c>
    </row>
    <row r="192" spans="1:5" x14ac:dyDescent="0.25">
      <c r="A192" t="s">
        <v>33</v>
      </c>
      <c r="B192" s="93">
        <v>43754</v>
      </c>
      <c r="C192" t="s">
        <v>1619</v>
      </c>
      <c r="D192" s="5">
        <v>8.73</v>
      </c>
      <c r="E192" t="s">
        <v>46</v>
      </c>
    </row>
    <row r="193" spans="1:5" x14ac:dyDescent="0.25">
      <c r="A193" t="s">
        <v>33</v>
      </c>
      <c r="B193" s="93">
        <v>43754</v>
      </c>
      <c r="C193" t="s">
        <v>1620</v>
      </c>
      <c r="D193" s="5">
        <v>25.35</v>
      </c>
      <c r="E193" t="s">
        <v>46</v>
      </c>
    </row>
    <row r="194" spans="1:5" x14ac:dyDescent="0.25">
      <c r="A194" t="s">
        <v>33</v>
      </c>
      <c r="B194" s="93">
        <v>43753</v>
      </c>
      <c r="C194" t="s">
        <v>1621</v>
      </c>
      <c r="D194" s="5">
        <v>9.93</v>
      </c>
      <c r="E194" t="s">
        <v>46</v>
      </c>
    </row>
    <row r="195" spans="1:5" x14ac:dyDescent="0.25">
      <c r="A195" t="s">
        <v>33</v>
      </c>
      <c r="B195" s="93">
        <v>43753</v>
      </c>
      <c r="C195" t="s">
        <v>1622</v>
      </c>
      <c r="D195" s="5">
        <v>28</v>
      </c>
      <c r="E195" t="s">
        <v>46</v>
      </c>
    </row>
    <row r="196" spans="1:5" x14ac:dyDescent="0.25">
      <c r="A196" t="s">
        <v>33</v>
      </c>
      <c r="B196" s="93">
        <v>43753</v>
      </c>
      <c r="C196" t="s">
        <v>1623</v>
      </c>
      <c r="D196" s="5">
        <v>13.91</v>
      </c>
      <c r="E196" t="s">
        <v>46</v>
      </c>
    </row>
    <row r="197" spans="1:5" x14ac:dyDescent="0.25">
      <c r="A197" t="s">
        <v>33</v>
      </c>
      <c r="B197" s="93">
        <v>43753</v>
      </c>
      <c r="C197" t="s">
        <v>1624</v>
      </c>
      <c r="D197" s="5">
        <v>12.4</v>
      </c>
      <c r="E197" t="s">
        <v>46</v>
      </c>
    </row>
    <row r="198" spans="1:5" x14ac:dyDescent="0.25">
      <c r="A198" t="s">
        <v>33</v>
      </c>
      <c r="B198" s="93">
        <v>43753</v>
      </c>
      <c r="C198" t="s">
        <v>1625</v>
      </c>
      <c r="D198" s="5">
        <v>3.8</v>
      </c>
      <c r="E198" t="s">
        <v>46</v>
      </c>
    </row>
    <row r="199" spans="1:5" x14ac:dyDescent="0.25">
      <c r="A199" t="s">
        <v>33</v>
      </c>
      <c r="B199" s="93">
        <v>43753</v>
      </c>
      <c r="C199" t="s">
        <v>1626</v>
      </c>
      <c r="D199" s="5">
        <v>14.64</v>
      </c>
      <c r="E199" t="s">
        <v>46</v>
      </c>
    </row>
    <row r="200" spans="1:5" x14ac:dyDescent="0.25">
      <c r="A200" t="s">
        <v>33</v>
      </c>
      <c r="B200" s="93">
        <v>43753</v>
      </c>
      <c r="C200" t="s">
        <v>1627</v>
      </c>
      <c r="D200" s="5">
        <v>3.8</v>
      </c>
      <c r="E200" t="s">
        <v>46</v>
      </c>
    </row>
    <row r="201" spans="1:5" x14ac:dyDescent="0.25">
      <c r="A201" t="s">
        <v>33</v>
      </c>
      <c r="B201" s="93">
        <v>43753</v>
      </c>
      <c r="C201" t="s">
        <v>1628</v>
      </c>
      <c r="D201" s="5">
        <v>247.33</v>
      </c>
      <c r="E201" t="s">
        <v>46</v>
      </c>
    </row>
    <row r="202" spans="1:5" x14ac:dyDescent="0.25">
      <c r="A202" t="s">
        <v>33</v>
      </c>
      <c r="B202" s="93">
        <v>43753</v>
      </c>
      <c r="C202" t="s">
        <v>1629</v>
      </c>
      <c r="D202" s="5">
        <v>16.89</v>
      </c>
      <c r="E202" t="s">
        <v>46</v>
      </c>
    </row>
    <row r="203" spans="1:5" x14ac:dyDescent="0.25">
      <c r="A203" t="s">
        <v>33</v>
      </c>
      <c r="B203" s="93">
        <v>43753</v>
      </c>
      <c r="C203" t="s">
        <v>1630</v>
      </c>
      <c r="D203" s="5">
        <v>12.32</v>
      </c>
      <c r="E203" t="s">
        <v>46</v>
      </c>
    </row>
    <row r="204" spans="1:5" x14ac:dyDescent="0.25">
      <c r="A204" t="s">
        <v>33</v>
      </c>
      <c r="B204" s="93">
        <v>43753</v>
      </c>
      <c r="C204" t="s">
        <v>1631</v>
      </c>
      <c r="D204" s="5">
        <v>30.07</v>
      </c>
      <c r="E204" t="s">
        <v>46</v>
      </c>
    </row>
    <row r="205" spans="1:5" x14ac:dyDescent="0.25">
      <c r="A205" t="s">
        <v>33</v>
      </c>
      <c r="B205" s="93">
        <v>43753</v>
      </c>
      <c r="C205" t="s">
        <v>1632</v>
      </c>
      <c r="D205" s="5">
        <v>5.62</v>
      </c>
      <c r="E205" t="s">
        <v>46</v>
      </c>
    </row>
    <row r="206" spans="1:5" x14ac:dyDescent="0.25">
      <c r="A206" t="s">
        <v>33</v>
      </c>
      <c r="B206" s="93">
        <v>43753</v>
      </c>
      <c r="C206" t="s">
        <v>1633</v>
      </c>
      <c r="D206" s="5">
        <v>20.07</v>
      </c>
      <c r="E206" t="s">
        <v>46</v>
      </c>
    </row>
    <row r="207" spans="1:5" x14ac:dyDescent="0.25">
      <c r="A207" t="s">
        <v>33</v>
      </c>
      <c r="B207" s="93">
        <v>43753</v>
      </c>
      <c r="C207" t="s">
        <v>1634</v>
      </c>
      <c r="D207" s="5">
        <v>3.8</v>
      </c>
      <c r="E207" t="s">
        <v>46</v>
      </c>
    </row>
    <row r="208" spans="1:5" x14ac:dyDescent="0.25">
      <c r="A208" t="s">
        <v>33</v>
      </c>
      <c r="B208" s="93">
        <v>43753</v>
      </c>
      <c r="C208" t="s">
        <v>1635</v>
      </c>
      <c r="D208" s="5">
        <v>24.32</v>
      </c>
      <c r="E208" t="s">
        <v>46</v>
      </c>
    </row>
    <row r="209" spans="1:5" x14ac:dyDescent="0.25">
      <c r="A209" t="s">
        <v>33</v>
      </c>
      <c r="B209" s="93">
        <v>43753</v>
      </c>
      <c r="C209" t="s">
        <v>1636</v>
      </c>
      <c r="D209" s="5">
        <v>5.62</v>
      </c>
      <c r="E209" t="s">
        <v>46</v>
      </c>
    </row>
    <row r="210" spans="1:5" x14ac:dyDescent="0.25">
      <c r="A210" t="s">
        <v>33</v>
      </c>
      <c r="B210" s="93">
        <v>43749</v>
      </c>
      <c r="C210" t="s">
        <v>1637</v>
      </c>
      <c r="D210" s="5">
        <v>55.67</v>
      </c>
      <c r="E210" t="s">
        <v>46</v>
      </c>
    </row>
    <row r="211" spans="1:5" x14ac:dyDescent="0.25">
      <c r="A211" t="s">
        <v>33</v>
      </c>
      <c r="B211" s="93">
        <v>43749</v>
      </c>
      <c r="C211" t="s">
        <v>1638</v>
      </c>
      <c r="D211" s="5">
        <v>23.52</v>
      </c>
      <c r="E211" t="s">
        <v>46</v>
      </c>
    </row>
    <row r="212" spans="1:5" x14ac:dyDescent="0.25">
      <c r="A212" t="s">
        <v>33</v>
      </c>
      <c r="B212" s="93">
        <v>43748</v>
      </c>
      <c r="C212" t="s">
        <v>1639</v>
      </c>
      <c r="D212" s="5">
        <v>5.62</v>
      </c>
      <c r="E212" t="s">
        <v>46</v>
      </c>
    </row>
    <row r="213" spans="1:5" x14ac:dyDescent="0.25">
      <c r="A213" t="s">
        <v>33</v>
      </c>
      <c r="B213" s="93">
        <v>43748</v>
      </c>
      <c r="C213" t="s">
        <v>1640</v>
      </c>
      <c r="D213" s="5">
        <v>60.57</v>
      </c>
      <c r="E213" t="s">
        <v>46</v>
      </c>
    </row>
    <row r="214" spans="1:5" x14ac:dyDescent="0.25">
      <c r="A214" t="s">
        <v>33</v>
      </c>
      <c r="B214" s="93">
        <v>43746</v>
      </c>
      <c r="C214" t="s">
        <v>724</v>
      </c>
      <c r="D214" s="5">
        <v>114.07</v>
      </c>
      <c r="E214" t="s">
        <v>107</v>
      </c>
    </row>
    <row r="215" spans="1:5" x14ac:dyDescent="0.25">
      <c r="A215" t="s">
        <v>33</v>
      </c>
      <c r="B215" s="93">
        <v>43746</v>
      </c>
      <c r="C215" t="s">
        <v>1641</v>
      </c>
      <c r="D215" s="5">
        <v>8.27</v>
      </c>
      <c r="E215" t="s">
        <v>46</v>
      </c>
    </row>
    <row r="216" spans="1:5" x14ac:dyDescent="0.25">
      <c r="A216" t="s">
        <v>33</v>
      </c>
      <c r="B216" s="93">
        <v>43746</v>
      </c>
      <c r="C216" t="s">
        <v>1642</v>
      </c>
      <c r="D216" s="5">
        <v>3.5</v>
      </c>
      <c r="E216" t="s">
        <v>46</v>
      </c>
    </row>
    <row r="217" spans="1:5" x14ac:dyDescent="0.25">
      <c r="A217" t="s">
        <v>33</v>
      </c>
      <c r="B217" s="93">
        <v>43746</v>
      </c>
      <c r="C217" t="s">
        <v>1643</v>
      </c>
      <c r="D217" s="5">
        <v>40.31</v>
      </c>
      <c r="E217" t="s">
        <v>46</v>
      </c>
    </row>
    <row r="218" spans="1:5" x14ac:dyDescent="0.25">
      <c r="A218" t="s">
        <v>33</v>
      </c>
      <c r="B218" s="93">
        <v>43746</v>
      </c>
      <c r="C218" t="s">
        <v>1644</v>
      </c>
      <c r="D218" s="5">
        <v>6.36</v>
      </c>
      <c r="E218" t="s">
        <v>46</v>
      </c>
    </row>
    <row r="219" spans="1:5" x14ac:dyDescent="0.25">
      <c r="A219" t="s">
        <v>33</v>
      </c>
      <c r="B219" s="93">
        <v>43746</v>
      </c>
      <c r="C219" t="s">
        <v>1645</v>
      </c>
      <c r="D219" s="5">
        <v>31.75</v>
      </c>
      <c r="E219" t="s">
        <v>46</v>
      </c>
    </row>
    <row r="220" spans="1:5" x14ac:dyDescent="0.25">
      <c r="A220" t="s">
        <v>33</v>
      </c>
      <c r="B220" s="93">
        <v>43745</v>
      </c>
      <c r="C220" t="s">
        <v>364</v>
      </c>
      <c r="D220" s="5">
        <v>299</v>
      </c>
      <c r="E220" t="s">
        <v>107</v>
      </c>
    </row>
    <row r="221" spans="1:5" x14ac:dyDescent="0.25">
      <c r="A221" t="s">
        <v>33</v>
      </c>
      <c r="B221" s="93">
        <v>43745</v>
      </c>
      <c r="C221" t="s">
        <v>1646</v>
      </c>
      <c r="D221" s="5">
        <v>26</v>
      </c>
      <c r="E221" t="s">
        <v>46</v>
      </c>
    </row>
    <row r="222" spans="1:5" x14ac:dyDescent="0.25">
      <c r="A222" t="s">
        <v>33</v>
      </c>
      <c r="B222" s="93">
        <v>43745</v>
      </c>
      <c r="C222" t="s">
        <v>1647</v>
      </c>
      <c r="D222" s="5">
        <v>23.23</v>
      </c>
      <c r="E222" t="s">
        <v>46</v>
      </c>
    </row>
    <row r="223" spans="1:5" x14ac:dyDescent="0.25">
      <c r="A223" t="s">
        <v>33</v>
      </c>
      <c r="B223" s="93">
        <v>43745</v>
      </c>
      <c r="C223" t="s">
        <v>1648</v>
      </c>
      <c r="D223" s="5">
        <v>1.29</v>
      </c>
      <c r="E223" t="s">
        <v>46</v>
      </c>
    </row>
    <row r="224" spans="1:5" x14ac:dyDescent="0.25">
      <c r="A224" t="s">
        <v>33</v>
      </c>
      <c r="B224" s="93">
        <v>43745</v>
      </c>
      <c r="C224" t="s">
        <v>1649</v>
      </c>
      <c r="D224" s="5">
        <v>1228.95</v>
      </c>
      <c r="E224" t="s">
        <v>46</v>
      </c>
    </row>
    <row r="225" spans="1:5" x14ac:dyDescent="0.25">
      <c r="A225" t="s">
        <v>33</v>
      </c>
      <c r="B225" s="93">
        <v>43745</v>
      </c>
      <c r="C225" t="s">
        <v>1650</v>
      </c>
      <c r="D225" s="5">
        <v>18.86</v>
      </c>
      <c r="E225" t="s">
        <v>46</v>
      </c>
    </row>
    <row r="226" spans="1:5" x14ac:dyDescent="0.25">
      <c r="A226" t="s">
        <v>33</v>
      </c>
      <c r="B226" s="93">
        <v>43745</v>
      </c>
      <c r="C226" t="s">
        <v>1651</v>
      </c>
      <c r="D226" s="5">
        <v>35.56</v>
      </c>
      <c r="E226" t="s">
        <v>46</v>
      </c>
    </row>
    <row r="227" spans="1:5" x14ac:dyDescent="0.25">
      <c r="A227" t="s">
        <v>33</v>
      </c>
      <c r="B227" s="93">
        <v>43745</v>
      </c>
      <c r="C227" t="s">
        <v>1652</v>
      </c>
      <c r="D227" s="5">
        <v>31.32</v>
      </c>
      <c r="E227" t="s">
        <v>46</v>
      </c>
    </row>
    <row r="228" spans="1:5" x14ac:dyDescent="0.25">
      <c r="A228" t="s">
        <v>33</v>
      </c>
      <c r="B228" s="93">
        <v>43745</v>
      </c>
      <c r="C228" t="s">
        <v>1653</v>
      </c>
      <c r="D228" s="5">
        <v>10.28</v>
      </c>
      <c r="E228" t="s">
        <v>46</v>
      </c>
    </row>
    <row r="229" spans="1:5" x14ac:dyDescent="0.25">
      <c r="A229" t="s">
        <v>33</v>
      </c>
      <c r="B229" s="93">
        <v>43745</v>
      </c>
      <c r="C229" t="s">
        <v>1654</v>
      </c>
      <c r="D229" s="5">
        <v>5.62</v>
      </c>
      <c r="E229" t="s">
        <v>46</v>
      </c>
    </row>
    <row r="230" spans="1:5" x14ac:dyDescent="0.25">
      <c r="A230" t="s">
        <v>33</v>
      </c>
      <c r="B230" s="93">
        <v>43745</v>
      </c>
      <c r="C230" t="s">
        <v>1655</v>
      </c>
      <c r="D230" s="5">
        <v>60</v>
      </c>
      <c r="E230" t="s">
        <v>58</v>
      </c>
    </row>
    <row r="231" spans="1:5" x14ac:dyDescent="0.25">
      <c r="A231" t="s">
        <v>33</v>
      </c>
      <c r="B231" s="93">
        <v>43745</v>
      </c>
      <c r="C231" t="s">
        <v>1656</v>
      </c>
      <c r="D231" s="5">
        <v>34.99</v>
      </c>
      <c r="E231" t="s">
        <v>46</v>
      </c>
    </row>
    <row r="232" spans="1:5" x14ac:dyDescent="0.25">
      <c r="A232" t="s">
        <v>33</v>
      </c>
      <c r="B232" s="93">
        <v>43745</v>
      </c>
      <c r="C232" t="s">
        <v>1657</v>
      </c>
      <c r="D232" s="5">
        <v>40.24</v>
      </c>
      <c r="E232" t="s">
        <v>46</v>
      </c>
    </row>
    <row r="233" spans="1:5" x14ac:dyDescent="0.25">
      <c r="A233" t="s">
        <v>33</v>
      </c>
      <c r="B233" s="93">
        <v>43745</v>
      </c>
      <c r="C233" t="s">
        <v>1658</v>
      </c>
      <c r="D233" s="5">
        <v>65.89</v>
      </c>
      <c r="E233" t="s">
        <v>46</v>
      </c>
    </row>
    <row r="234" spans="1:5" x14ac:dyDescent="0.25">
      <c r="A234" t="s">
        <v>33</v>
      </c>
      <c r="B234" s="93">
        <v>43742</v>
      </c>
      <c r="C234" t="s">
        <v>1659</v>
      </c>
      <c r="D234" s="5">
        <v>30.14</v>
      </c>
      <c r="E234" t="s">
        <v>46</v>
      </c>
    </row>
    <row r="235" spans="1:5" x14ac:dyDescent="0.25">
      <c r="A235" t="s">
        <v>33</v>
      </c>
      <c r="B235" s="93">
        <v>43742</v>
      </c>
      <c r="C235" t="s">
        <v>1660</v>
      </c>
      <c r="D235" s="5">
        <v>618.61</v>
      </c>
      <c r="E235" t="s">
        <v>46</v>
      </c>
    </row>
    <row r="236" spans="1:5" x14ac:dyDescent="0.25">
      <c r="A236" t="s">
        <v>49</v>
      </c>
      <c r="B236" s="93">
        <v>43742</v>
      </c>
      <c r="C236" t="s">
        <v>50</v>
      </c>
      <c r="D236" s="5">
        <v>-3485.06</v>
      </c>
      <c r="E236" t="s">
        <v>51</v>
      </c>
    </row>
    <row r="237" spans="1:5" x14ac:dyDescent="0.25">
      <c r="A237" t="s">
        <v>33</v>
      </c>
      <c r="B237" s="93">
        <v>43741</v>
      </c>
      <c r="C237" t="s">
        <v>1661</v>
      </c>
      <c r="D237" s="5">
        <v>14.08</v>
      </c>
      <c r="E237" t="s">
        <v>46</v>
      </c>
    </row>
    <row r="238" spans="1:5" x14ac:dyDescent="0.25">
      <c r="A238" t="s">
        <v>33</v>
      </c>
      <c r="B238" s="93">
        <v>43741</v>
      </c>
      <c r="C238" t="s">
        <v>1662</v>
      </c>
      <c r="D238" s="5">
        <v>65</v>
      </c>
      <c r="E238" t="s">
        <v>46</v>
      </c>
    </row>
    <row r="239" spans="1:5" x14ac:dyDescent="0.25">
      <c r="A239" t="s">
        <v>33</v>
      </c>
      <c r="B239" s="93">
        <v>43741</v>
      </c>
      <c r="C239" t="s">
        <v>1663</v>
      </c>
      <c r="D239" s="5">
        <v>87.82</v>
      </c>
      <c r="E239" t="s">
        <v>46</v>
      </c>
    </row>
    <row r="240" spans="1:5" x14ac:dyDescent="0.25">
      <c r="A240" t="s">
        <v>33</v>
      </c>
      <c r="B240" s="93">
        <v>43740</v>
      </c>
      <c r="C240" t="s">
        <v>377</v>
      </c>
      <c r="D240" s="5">
        <v>832.24</v>
      </c>
      <c r="E240" t="s">
        <v>107</v>
      </c>
    </row>
    <row r="241" spans="1:5" x14ac:dyDescent="0.25">
      <c r="A241" t="s">
        <v>33</v>
      </c>
      <c r="B241" s="93">
        <v>43740</v>
      </c>
      <c r="C241" t="s">
        <v>1664</v>
      </c>
      <c r="D241" s="5">
        <v>4.55</v>
      </c>
      <c r="E241" t="s">
        <v>46</v>
      </c>
    </row>
    <row r="242" spans="1:5" x14ac:dyDescent="0.25">
      <c r="A242" t="s">
        <v>33</v>
      </c>
      <c r="B242" s="93">
        <v>43740</v>
      </c>
      <c r="C242" t="s">
        <v>1665</v>
      </c>
      <c r="D242" s="5">
        <v>1.98</v>
      </c>
      <c r="E242" t="s">
        <v>46</v>
      </c>
    </row>
    <row r="243" spans="1:5" x14ac:dyDescent="0.25">
      <c r="A243" t="s">
        <v>33</v>
      </c>
      <c r="B243" s="93">
        <v>43740</v>
      </c>
      <c r="C243" t="s">
        <v>1666</v>
      </c>
      <c r="D243" s="5">
        <v>12.63</v>
      </c>
      <c r="E243" t="s">
        <v>46</v>
      </c>
    </row>
    <row r="244" spans="1:5" x14ac:dyDescent="0.25">
      <c r="A244" t="s">
        <v>33</v>
      </c>
      <c r="B244" s="93">
        <v>43739</v>
      </c>
      <c r="C244" t="s">
        <v>1667</v>
      </c>
      <c r="D244" s="5">
        <v>21.52</v>
      </c>
      <c r="E244" t="s">
        <v>46</v>
      </c>
    </row>
    <row r="245" spans="1:5" x14ac:dyDescent="0.25">
      <c r="A245" t="s">
        <v>33</v>
      </c>
      <c r="B245" s="93">
        <v>43739</v>
      </c>
      <c r="C245" t="s">
        <v>1668</v>
      </c>
      <c r="D245" s="5">
        <v>25.05</v>
      </c>
      <c r="E245" t="s">
        <v>46</v>
      </c>
    </row>
    <row r="246" spans="1:5" x14ac:dyDescent="0.25">
      <c r="A246" t="s">
        <v>49</v>
      </c>
      <c r="B246" s="93">
        <v>43738</v>
      </c>
      <c r="C246" t="s">
        <v>104</v>
      </c>
      <c r="D246" s="5">
        <v>-0.02</v>
      </c>
      <c r="E246" t="s">
        <v>105</v>
      </c>
    </row>
    <row r="247" spans="1:5" x14ac:dyDescent="0.25">
      <c r="A247" t="s">
        <v>33</v>
      </c>
      <c r="B247" s="93">
        <v>43738</v>
      </c>
      <c r="C247" t="s">
        <v>1669</v>
      </c>
      <c r="D247" s="5">
        <v>21.39</v>
      </c>
      <c r="E247" t="s">
        <v>46</v>
      </c>
    </row>
    <row r="248" spans="1:5" x14ac:dyDescent="0.25">
      <c r="A248" t="s">
        <v>33</v>
      </c>
      <c r="B248" s="93">
        <v>43738</v>
      </c>
      <c r="C248" t="s">
        <v>106</v>
      </c>
      <c r="D248" s="5">
        <v>437.54</v>
      </c>
      <c r="E248" t="s">
        <v>107</v>
      </c>
    </row>
    <row r="249" spans="1:5" x14ac:dyDescent="0.25">
      <c r="A249" t="s">
        <v>33</v>
      </c>
      <c r="B249" s="93">
        <v>43738</v>
      </c>
      <c r="C249" t="s">
        <v>1670</v>
      </c>
      <c r="D249" s="5">
        <v>28.75</v>
      </c>
      <c r="E249" t="s">
        <v>46</v>
      </c>
    </row>
    <row r="250" spans="1:5" x14ac:dyDescent="0.25">
      <c r="A250" t="s">
        <v>33</v>
      </c>
      <c r="B250" s="93">
        <v>43738</v>
      </c>
      <c r="C250" t="s">
        <v>1671</v>
      </c>
      <c r="D250" s="5">
        <v>19.21</v>
      </c>
      <c r="E250" t="s">
        <v>46</v>
      </c>
    </row>
    <row r="251" spans="1:5" x14ac:dyDescent="0.25">
      <c r="A251" t="s">
        <v>33</v>
      </c>
      <c r="B251" s="93">
        <v>43738</v>
      </c>
      <c r="C251" t="s">
        <v>1672</v>
      </c>
      <c r="D251" s="5">
        <v>3.8</v>
      </c>
      <c r="E251" t="s">
        <v>46</v>
      </c>
    </row>
    <row r="252" spans="1:5" x14ac:dyDescent="0.25">
      <c r="A252" t="s">
        <v>33</v>
      </c>
      <c r="B252" s="93">
        <v>43738</v>
      </c>
      <c r="C252" t="s">
        <v>1673</v>
      </c>
      <c r="D252" s="5">
        <v>16.760000000000002</v>
      </c>
      <c r="E252" t="s">
        <v>46</v>
      </c>
    </row>
    <row r="253" spans="1:5" x14ac:dyDescent="0.25">
      <c r="A253" t="s">
        <v>33</v>
      </c>
      <c r="B253" s="93">
        <v>43738</v>
      </c>
      <c r="C253" t="s">
        <v>1674</v>
      </c>
      <c r="D253" s="5">
        <v>44.48</v>
      </c>
      <c r="E253" t="s">
        <v>46</v>
      </c>
    </row>
    <row r="254" spans="1:5" x14ac:dyDescent="0.25">
      <c r="A254" t="s">
        <v>33</v>
      </c>
      <c r="B254" s="93">
        <v>43738</v>
      </c>
      <c r="C254" t="s">
        <v>1675</v>
      </c>
      <c r="D254" s="5">
        <v>34.119999999999997</v>
      </c>
      <c r="E254" t="s">
        <v>46</v>
      </c>
    </row>
    <row r="255" spans="1:5" x14ac:dyDescent="0.25">
      <c r="A255" t="s">
        <v>33</v>
      </c>
      <c r="B255" s="93">
        <v>43738</v>
      </c>
      <c r="C255" t="s">
        <v>1676</v>
      </c>
      <c r="D255" s="5">
        <v>21.05</v>
      </c>
      <c r="E255" t="s">
        <v>46</v>
      </c>
    </row>
    <row r="256" spans="1:5" x14ac:dyDescent="0.25">
      <c r="A256" t="s">
        <v>33</v>
      </c>
      <c r="B256" s="93">
        <v>43738</v>
      </c>
      <c r="C256" t="s">
        <v>1677</v>
      </c>
      <c r="D256" s="5">
        <v>20.07</v>
      </c>
      <c r="E256" t="s">
        <v>46</v>
      </c>
    </row>
    <row r="257" spans="1:5" x14ac:dyDescent="0.25">
      <c r="A257" t="s">
        <v>33</v>
      </c>
      <c r="B257" s="93">
        <v>43738</v>
      </c>
      <c r="C257" t="s">
        <v>1678</v>
      </c>
      <c r="D257" s="5">
        <v>79.62</v>
      </c>
      <c r="E257" t="s">
        <v>46</v>
      </c>
    </row>
    <row r="258" spans="1:5" x14ac:dyDescent="0.25">
      <c r="A258" t="s">
        <v>33</v>
      </c>
      <c r="B258" s="93">
        <v>43738</v>
      </c>
      <c r="C258" t="s">
        <v>1679</v>
      </c>
      <c r="D258" s="5">
        <v>38.520000000000003</v>
      </c>
      <c r="E258" t="s">
        <v>46</v>
      </c>
    </row>
    <row r="259" spans="1:5" x14ac:dyDescent="0.25">
      <c r="A259" t="s">
        <v>33</v>
      </c>
      <c r="B259" s="93">
        <v>43738</v>
      </c>
      <c r="C259" t="s">
        <v>1680</v>
      </c>
      <c r="D259" s="5">
        <v>25.07</v>
      </c>
      <c r="E259" t="s">
        <v>46</v>
      </c>
    </row>
    <row r="260" spans="1:5" x14ac:dyDescent="0.25">
      <c r="A260" t="s">
        <v>33</v>
      </c>
      <c r="B260" s="93">
        <v>43738</v>
      </c>
      <c r="C260" t="s">
        <v>1681</v>
      </c>
      <c r="D260" s="5">
        <v>39.17</v>
      </c>
      <c r="E260" t="s">
        <v>46</v>
      </c>
    </row>
    <row r="261" spans="1:5" x14ac:dyDescent="0.25">
      <c r="A261" t="s">
        <v>33</v>
      </c>
      <c r="B261" s="93">
        <v>43738</v>
      </c>
      <c r="C261" t="s">
        <v>1682</v>
      </c>
      <c r="D261" s="5">
        <v>-20.71</v>
      </c>
      <c r="E261" t="s">
        <v>46</v>
      </c>
    </row>
    <row r="262" spans="1:5" x14ac:dyDescent="0.25">
      <c r="A262" t="s">
        <v>33</v>
      </c>
      <c r="B262" s="93">
        <v>43734</v>
      </c>
      <c r="C262" t="s">
        <v>1683</v>
      </c>
      <c r="D262" s="5">
        <v>23.52</v>
      </c>
      <c r="E262" t="s">
        <v>46</v>
      </c>
    </row>
    <row r="263" spans="1:5" x14ac:dyDescent="0.25">
      <c r="A263" t="s">
        <v>33</v>
      </c>
      <c r="B263" s="93">
        <v>43734</v>
      </c>
      <c r="C263" t="s">
        <v>1684</v>
      </c>
      <c r="D263" s="5">
        <v>13.54</v>
      </c>
      <c r="E263" t="s">
        <v>46</v>
      </c>
    </row>
    <row r="264" spans="1:5" x14ac:dyDescent="0.25">
      <c r="A264" t="s">
        <v>33</v>
      </c>
      <c r="B264" s="93">
        <v>43733</v>
      </c>
      <c r="C264" t="s">
        <v>1685</v>
      </c>
      <c r="D264" s="5">
        <v>86.07</v>
      </c>
      <c r="E264" t="s">
        <v>46</v>
      </c>
    </row>
    <row r="265" spans="1:5" x14ac:dyDescent="0.25">
      <c r="A265" t="s">
        <v>33</v>
      </c>
      <c r="B265" s="93">
        <v>43733</v>
      </c>
      <c r="C265" t="s">
        <v>1686</v>
      </c>
      <c r="D265" s="5">
        <v>29.75</v>
      </c>
      <c r="E265" t="s">
        <v>46</v>
      </c>
    </row>
    <row r="266" spans="1:5" x14ac:dyDescent="0.25">
      <c r="A266" t="s">
        <v>33</v>
      </c>
      <c r="B266" s="93">
        <v>43733</v>
      </c>
      <c r="C266" t="s">
        <v>1687</v>
      </c>
      <c r="D266" s="5">
        <v>23.19</v>
      </c>
      <c r="E266" t="s">
        <v>46</v>
      </c>
    </row>
    <row r="267" spans="1:5" x14ac:dyDescent="0.25">
      <c r="A267" t="s">
        <v>33</v>
      </c>
      <c r="B267" s="93">
        <v>43731</v>
      </c>
      <c r="C267" t="s">
        <v>1688</v>
      </c>
      <c r="D267" s="5">
        <v>0.99</v>
      </c>
      <c r="E267" t="s">
        <v>46</v>
      </c>
    </row>
    <row r="268" spans="1:5" x14ac:dyDescent="0.25">
      <c r="A268" t="s">
        <v>33</v>
      </c>
      <c r="B268" s="93">
        <v>43731</v>
      </c>
      <c r="C268" t="s">
        <v>1689</v>
      </c>
      <c r="D268" s="5">
        <v>9.74</v>
      </c>
      <c r="E268" t="s">
        <v>46</v>
      </c>
    </row>
    <row r="269" spans="1:5" x14ac:dyDescent="0.25">
      <c r="A269" t="s">
        <v>33</v>
      </c>
      <c r="B269" s="93">
        <v>43731</v>
      </c>
      <c r="C269" t="s">
        <v>1690</v>
      </c>
      <c r="D269" s="5">
        <v>18.53</v>
      </c>
      <c r="E269" t="s">
        <v>46</v>
      </c>
    </row>
    <row r="270" spans="1:5" x14ac:dyDescent="0.25">
      <c r="A270" t="s">
        <v>33</v>
      </c>
      <c r="B270" s="93">
        <v>43731</v>
      </c>
      <c r="C270" t="s">
        <v>1691</v>
      </c>
      <c r="D270" s="5">
        <v>34.21</v>
      </c>
      <c r="E270" t="s">
        <v>46</v>
      </c>
    </row>
    <row r="271" spans="1:5" x14ac:dyDescent="0.25">
      <c r="A271" t="s">
        <v>33</v>
      </c>
      <c r="B271" s="93">
        <v>43731</v>
      </c>
      <c r="C271" t="s">
        <v>1692</v>
      </c>
      <c r="D271" s="5">
        <v>23.23</v>
      </c>
      <c r="E271" t="s">
        <v>46</v>
      </c>
    </row>
    <row r="272" spans="1:5" x14ac:dyDescent="0.25">
      <c r="A272" t="s">
        <v>33</v>
      </c>
      <c r="B272" s="93">
        <v>43731</v>
      </c>
      <c r="C272" t="s">
        <v>1693</v>
      </c>
      <c r="D272" s="5">
        <v>98.53</v>
      </c>
      <c r="E272" t="s">
        <v>46</v>
      </c>
    </row>
    <row r="273" spans="1:5" x14ac:dyDescent="0.25">
      <c r="A273" t="s">
        <v>33</v>
      </c>
      <c r="B273" s="93">
        <v>43731</v>
      </c>
      <c r="C273" t="s">
        <v>1694</v>
      </c>
      <c r="D273" s="5">
        <v>15.77</v>
      </c>
      <c r="E273" t="s">
        <v>46</v>
      </c>
    </row>
    <row r="274" spans="1:5" x14ac:dyDescent="0.25">
      <c r="A274" t="s">
        <v>33</v>
      </c>
      <c r="B274" s="93">
        <v>43731</v>
      </c>
      <c r="C274" t="s">
        <v>1695</v>
      </c>
      <c r="D274" s="5">
        <v>39.03</v>
      </c>
      <c r="E274" t="s">
        <v>46</v>
      </c>
    </row>
    <row r="275" spans="1:5" x14ac:dyDescent="0.25">
      <c r="A275" t="s">
        <v>33</v>
      </c>
      <c r="B275" s="93">
        <v>43731</v>
      </c>
      <c r="C275" t="s">
        <v>1696</v>
      </c>
      <c r="D275" s="5">
        <v>30.04</v>
      </c>
      <c r="E275" t="s">
        <v>46</v>
      </c>
    </row>
    <row r="276" spans="1:5" x14ac:dyDescent="0.25">
      <c r="A276" t="s">
        <v>33</v>
      </c>
      <c r="B276" s="93">
        <v>43731</v>
      </c>
      <c r="C276" t="s">
        <v>1697</v>
      </c>
      <c r="D276" s="5">
        <v>331.69</v>
      </c>
      <c r="E276" t="s">
        <v>46</v>
      </c>
    </row>
    <row r="277" spans="1:5" x14ac:dyDescent="0.25">
      <c r="A277" t="s">
        <v>33</v>
      </c>
      <c r="B277" s="93">
        <v>43731</v>
      </c>
      <c r="C277" t="s">
        <v>1698</v>
      </c>
      <c r="D277" s="5">
        <v>800</v>
      </c>
      <c r="E277" t="s">
        <v>35</v>
      </c>
    </row>
    <row r="278" spans="1:5" x14ac:dyDescent="0.25">
      <c r="A278" t="s">
        <v>33</v>
      </c>
      <c r="B278" s="93">
        <v>43731</v>
      </c>
      <c r="C278" t="s">
        <v>1699</v>
      </c>
      <c r="D278" s="5">
        <v>25.12</v>
      </c>
      <c r="E278" t="s">
        <v>46</v>
      </c>
    </row>
    <row r="279" spans="1:5" x14ac:dyDescent="0.25">
      <c r="A279" t="s">
        <v>33</v>
      </c>
      <c r="B279" s="93">
        <v>43731</v>
      </c>
      <c r="C279" t="s">
        <v>1700</v>
      </c>
      <c r="D279" s="5">
        <v>13.91</v>
      </c>
      <c r="E279" t="s">
        <v>46</v>
      </c>
    </row>
    <row r="280" spans="1:5" x14ac:dyDescent="0.25">
      <c r="A280" t="s">
        <v>33</v>
      </c>
      <c r="B280" s="93">
        <v>43731</v>
      </c>
      <c r="C280" t="s">
        <v>1701</v>
      </c>
      <c r="D280" s="5">
        <v>140</v>
      </c>
      <c r="E280" t="s">
        <v>58</v>
      </c>
    </row>
    <row r="281" spans="1:5" x14ac:dyDescent="0.25">
      <c r="A281" t="s">
        <v>33</v>
      </c>
      <c r="B281" s="93">
        <v>43731</v>
      </c>
      <c r="C281" t="s">
        <v>1702</v>
      </c>
      <c r="D281" s="5">
        <v>3.48</v>
      </c>
      <c r="E281" t="s">
        <v>46</v>
      </c>
    </row>
    <row r="282" spans="1:5" x14ac:dyDescent="0.25">
      <c r="A282" t="s">
        <v>33</v>
      </c>
      <c r="B282" s="93">
        <v>43731</v>
      </c>
      <c r="C282" t="s">
        <v>1703</v>
      </c>
      <c r="D282" s="5">
        <v>73.790000000000006</v>
      </c>
      <c r="E282" t="s">
        <v>46</v>
      </c>
    </row>
    <row r="283" spans="1:5" x14ac:dyDescent="0.25">
      <c r="A283" t="s">
        <v>33</v>
      </c>
      <c r="B283" s="93">
        <v>43731</v>
      </c>
      <c r="C283" t="s">
        <v>1704</v>
      </c>
      <c r="D283" s="5">
        <v>13.74</v>
      </c>
      <c r="E283" t="s">
        <v>46</v>
      </c>
    </row>
    <row r="284" spans="1:5" x14ac:dyDescent="0.25">
      <c r="A284" t="s">
        <v>33</v>
      </c>
      <c r="B284" s="93">
        <v>43731</v>
      </c>
      <c r="C284" t="s">
        <v>1705</v>
      </c>
      <c r="D284" s="5">
        <v>33.75</v>
      </c>
      <c r="E284" t="s">
        <v>46</v>
      </c>
    </row>
    <row r="285" spans="1:5" x14ac:dyDescent="0.25">
      <c r="A285" t="s">
        <v>33</v>
      </c>
      <c r="B285" s="93">
        <v>43728</v>
      </c>
      <c r="C285" t="s">
        <v>1706</v>
      </c>
      <c r="D285" s="5">
        <v>17.100000000000001</v>
      </c>
      <c r="E285" t="s">
        <v>46</v>
      </c>
    </row>
    <row r="286" spans="1:5" x14ac:dyDescent="0.25">
      <c r="A286" t="s">
        <v>33</v>
      </c>
      <c r="B286" s="93">
        <v>43728</v>
      </c>
      <c r="C286" t="s">
        <v>1707</v>
      </c>
      <c r="D286" s="5">
        <v>9.56</v>
      </c>
      <c r="E286" t="s">
        <v>46</v>
      </c>
    </row>
    <row r="287" spans="1:5" x14ac:dyDescent="0.25">
      <c r="A287" t="s">
        <v>33</v>
      </c>
      <c r="B287" s="93">
        <v>43728</v>
      </c>
      <c r="C287" t="s">
        <v>1708</v>
      </c>
      <c r="D287" s="5">
        <v>11.17</v>
      </c>
      <c r="E287" t="s">
        <v>46</v>
      </c>
    </row>
    <row r="288" spans="1:5" x14ac:dyDescent="0.25">
      <c r="A288" t="s">
        <v>33</v>
      </c>
      <c r="B288" s="93">
        <v>43728</v>
      </c>
      <c r="C288" t="s">
        <v>1709</v>
      </c>
      <c r="D288" s="5">
        <v>30.07</v>
      </c>
      <c r="E288" t="s">
        <v>46</v>
      </c>
    </row>
    <row r="289" spans="1:5" x14ac:dyDescent="0.25">
      <c r="A289" t="s">
        <v>33</v>
      </c>
      <c r="B289" s="93">
        <v>43728</v>
      </c>
      <c r="C289" t="s">
        <v>1710</v>
      </c>
      <c r="D289" s="5">
        <v>16.46</v>
      </c>
      <c r="E289" t="s">
        <v>46</v>
      </c>
    </row>
    <row r="290" spans="1:5" x14ac:dyDescent="0.25">
      <c r="A290" t="s">
        <v>33</v>
      </c>
      <c r="B290" s="93">
        <v>43728</v>
      </c>
      <c r="C290" t="s">
        <v>1711</v>
      </c>
      <c r="D290" s="5">
        <v>7.25</v>
      </c>
      <c r="E290" t="s">
        <v>46</v>
      </c>
    </row>
    <row r="291" spans="1:5" x14ac:dyDescent="0.25">
      <c r="A291" t="s">
        <v>49</v>
      </c>
      <c r="B291" s="93">
        <v>43728</v>
      </c>
      <c r="C291" t="s">
        <v>50</v>
      </c>
      <c r="D291" s="5">
        <v>-3485.05</v>
      </c>
      <c r="E291" t="s">
        <v>51</v>
      </c>
    </row>
    <row r="292" spans="1:5" x14ac:dyDescent="0.25">
      <c r="A292" t="s">
        <v>33</v>
      </c>
      <c r="B292" s="93">
        <v>43727</v>
      </c>
      <c r="C292" t="s">
        <v>1712</v>
      </c>
      <c r="D292" s="5">
        <v>26</v>
      </c>
      <c r="E292" t="s">
        <v>46</v>
      </c>
    </row>
    <row r="293" spans="1:5" x14ac:dyDescent="0.25">
      <c r="A293" t="s">
        <v>33</v>
      </c>
      <c r="B293" s="93">
        <v>43727</v>
      </c>
      <c r="C293" t="s">
        <v>1713</v>
      </c>
      <c r="D293" s="5">
        <v>23.52</v>
      </c>
      <c r="E293" t="s">
        <v>46</v>
      </c>
    </row>
    <row r="294" spans="1:5" x14ac:dyDescent="0.25">
      <c r="A294" t="s">
        <v>33</v>
      </c>
      <c r="B294" s="93">
        <v>43727</v>
      </c>
      <c r="C294" t="s">
        <v>1676</v>
      </c>
      <c r="D294" s="5">
        <v>33.82</v>
      </c>
      <c r="E294" t="s">
        <v>46</v>
      </c>
    </row>
    <row r="295" spans="1:5" x14ac:dyDescent="0.25">
      <c r="A295" t="s">
        <v>33</v>
      </c>
      <c r="B295" s="93">
        <v>43726</v>
      </c>
      <c r="C295" t="s">
        <v>1714</v>
      </c>
      <c r="D295" s="5">
        <v>20</v>
      </c>
      <c r="E295" t="s">
        <v>46</v>
      </c>
    </row>
    <row r="296" spans="1:5" x14ac:dyDescent="0.25">
      <c r="A296" t="s">
        <v>33</v>
      </c>
      <c r="B296" s="93">
        <v>43725</v>
      </c>
      <c r="C296" t="s">
        <v>1715</v>
      </c>
      <c r="D296" s="5">
        <v>10.69</v>
      </c>
      <c r="E296" t="s">
        <v>46</v>
      </c>
    </row>
    <row r="297" spans="1:5" x14ac:dyDescent="0.25">
      <c r="A297" t="s">
        <v>33</v>
      </c>
      <c r="B297" s="93">
        <v>43725</v>
      </c>
      <c r="C297" t="s">
        <v>1716</v>
      </c>
      <c r="D297" s="5">
        <v>17.940000000000001</v>
      </c>
      <c r="E297" t="s">
        <v>46</v>
      </c>
    </row>
    <row r="298" spans="1:5" x14ac:dyDescent="0.25">
      <c r="A298" t="s">
        <v>33</v>
      </c>
      <c r="B298" s="93">
        <v>43725</v>
      </c>
      <c r="C298" t="s">
        <v>1717</v>
      </c>
      <c r="D298" s="5">
        <v>10.75</v>
      </c>
      <c r="E298" t="s">
        <v>46</v>
      </c>
    </row>
    <row r="299" spans="1:5" x14ac:dyDescent="0.25">
      <c r="A299" t="s">
        <v>33</v>
      </c>
      <c r="B299" s="93">
        <v>43725</v>
      </c>
      <c r="C299" t="s">
        <v>1718</v>
      </c>
      <c r="D299" s="5">
        <v>23.23</v>
      </c>
      <c r="E299" t="s">
        <v>46</v>
      </c>
    </row>
    <row r="300" spans="1:5" x14ac:dyDescent="0.25">
      <c r="A300" t="s">
        <v>33</v>
      </c>
      <c r="B300" s="93">
        <v>43724</v>
      </c>
      <c r="C300" t="s">
        <v>1719</v>
      </c>
      <c r="D300" s="5">
        <v>15</v>
      </c>
      <c r="E300" t="s">
        <v>46</v>
      </c>
    </row>
    <row r="301" spans="1:5" x14ac:dyDescent="0.25">
      <c r="A301" t="s">
        <v>33</v>
      </c>
      <c r="B301" s="93">
        <v>43724</v>
      </c>
      <c r="C301" t="s">
        <v>1720</v>
      </c>
      <c r="D301" s="5">
        <v>42.31</v>
      </c>
      <c r="E301" t="s">
        <v>46</v>
      </c>
    </row>
    <row r="302" spans="1:5" x14ac:dyDescent="0.25">
      <c r="A302" t="s">
        <v>33</v>
      </c>
      <c r="B302" s="93">
        <v>43724</v>
      </c>
      <c r="C302" t="s">
        <v>1721</v>
      </c>
      <c r="D302" s="5">
        <v>74.84</v>
      </c>
      <c r="E302" t="s">
        <v>46</v>
      </c>
    </row>
    <row r="303" spans="1:5" x14ac:dyDescent="0.25">
      <c r="A303" t="s">
        <v>33</v>
      </c>
      <c r="B303" s="93">
        <v>43724</v>
      </c>
      <c r="C303" t="s">
        <v>1722</v>
      </c>
      <c r="D303" s="5">
        <v>16.46</v>
      </c>
      <c r="E303" t="s">
        <v>46</v>
      </c>
    </row>
    <row r="304" spans="1:5" x14ac:dyDescent="0.25">
      <c r="A304" t="s">
        <v>33</v>
      </c>
      <c r="B304" s="93">
        <v>43724</v>
      </c>
      <c r="C304" t="s">
        <v>1723</v>
      </c>
      <c r="D304" s="5">
        <v>23.23</v>
      </c>
      <c r="E304" t="s">
        <v>46</v>
      </c>
    </row>
    <row r="305" spans="1:5" x14ac:dyDescent="0.25">
      <c r="A305" t="s">
        <v>33</v>
      </c>
      <c r="B305" s="93">
        <v>43724</v>
      </c>
      <c r="C305" t="s">
        <v>1724</v>
      </c>
      <c r="D305" s="5">
        <v>43.38</v>
      </c>
      <c r="E305" t="s">
        <v>46</v>
      </c>
    </row>
    <row r="306" spans="1:5" x14ac:dyDescent="0.25">
      <c r="A306" t="s">
        <v>33</v>
      </c>
      <c r="B306" s="93">
        <v>43724</v>
      </c>
      <c r="C306" t="s">
        <v>1725</v>
      </c>
      <c r="D306" s="5">
        <v>257.33</v>
      </c>
      <c r="E306" t="s">
        <v>46</v>
      </c>
    </row>
    <row r="307" spans="1:5" x14ac:dyDescent="0.25">
      <c r="A307" t="s">
        <v>33</v>
      </c>
      <c r="B307" s="93">
        <v>43721</v>
      </c>
      <c r="C307" t="s">
        <v>1726</v>
      </c>
      <c r="D307" s="5">
        <v>200</v>
      </c>
      <c r="E307" t="s">
        <v>107</v>
      </c>
    </row>
    <row r="308" spans="1:5" x14ac:dyDescent="0.25">
      <c r="A308" t="s">
        <v>33</v>
      </c>
      <c r="B308" s="93">
        <v>43721</v>
      </c>
      <c r="C308" t="s">
        <v>1727</v>
      </c>
      <c r="D308" s="5">
        <v>9.15</v>
      </c>
      <c r="E308" t="s">
        <v>46</v>
      </c>
    </row>
    <row r="309" spans="1:5" x14ac:dyDescent="0.25">
      <c r="A309" t="s">
        <v>33</v>
      </c>
      <c r="B309" s="93">
        <v>43721</v>
      </c>
      <c r="C309" t="s">
        <v>1728</v>
      </c>
      <c r="D309" s="5">
        <v>500</v>
      </c>
      <c r="E309" t="s">
        <v>35</v>
      </c>
    </row>
    <row r="310" spans="1:5" x14ac:dyDescent="0.25">
      <c r="A310" t="s">
        <v>33</v>
      </c>
      <c r="B310" s="93">
        <v>43721</v>
      </c>
      <c r="C310" t="s">
        <v>1729</v>
      </c>
      <c r="D310" s="5">
        <v>18.98</v>
      </c>
      <c r="E310" t="s">
        <v>46</v>
      </c>
    </row>
    <row r="311" spans="1:5" x14ac:dyDescent="0.25">
      <c r="A311" t="s">
        <v>33</v>
      </c>
      <c r="B311" s="93">
        <v>43720</v>
      </c>
      <c r="C311" t="s">
        <v>1730</v>
      </c>
      <c r="D311" s="5">
        <v>26.91</v>
      </c>
      <c r="E311" t="s">
        <v>46</v>
      </c>
    </row>
    <row r="312" spans="1:5" x14ac:dyDescent="0.25">
      <c r="A312" t="s">
        <v>33</v>
      </c>
      <c r="B312" s="93">
        <v>43720</v>
      </c>
      <c r="C312" t="s">
        <v>1731</v>
      </c>
      <c r="D312" s="5">
        <v>400</v>
      </c>
      <c r="E312" t="s">
        <v>58</v>
      </c>
    </row>
    <row r="313" spans="1:5" x14ac:dyDescent="0.25">
      <c r="A313" t="s">
        <v>33</v>
      </c>
      <c r="B313" s="93">
        <v>43720</v>
      </c>
      <c r="C313" t="s">
        <v>1732</v>
      </c>
      <c r="D313" s="5">
        <v>16.46</v>
      </c>
      <c r="E313" t="s">
        <v>46</v>
      </c>
    </row>
    <row r="314" spans="1:5" x14ac:dyDescent="0.25">
      <c r="A314" t="s">
        <v>33</v>
      </c>
      <c r="B314" s="93">
        <v>43720</v>
      </c>
      <c r="C314" t="s">
        <v>1733</v>
      </c>
      <c r="D314" s="5">
        <v>21.21</v>
      </c>
      <c r="E314" t="s">
        <v>46</v>
      </c>
    </row>
    <row r="315" spans="1:5" x14ac:dyDescent="0.25">
      <c r="A315" t="s">
        <v>33</v>
      </c>
      <c r="B315" s="93">
        <v>43719</v>
      </c>
      <c r="C315" t="s">
        <v>1734</v>
      </c>
      <c r="D315" s="5">
        <v>23</v>
      </c>
      <c r="E315" t="s">
        <v>46</v>
      </c>
    </row>
    <row r="316" spans="1:5" x14ac:dyDescent="0.25">
      <c r="A316" t="s">
        <v>33</v>
      </c>
      <c r="B316" s="93">
        <v>43719</v>
      </c>
      <c r="C316" t="s">
        <v>1735</v>
      </c>
      <c r="D316" s="5">
        <v>-482.39</v>
      </c>
      <c r="E316" t="s">
        <v>46</v>
      </c>
    </row>
    <row r="317" spans="1:5" x14ac:dyDescent="0.25">
      <c r="A317" t="s">
        <v>33</v>
      </c>
      <c r="B317" s="93">
        <v>43718</v>
      </c>
      <c r="C317" t="s">
        <v>1736</v>
      </c>
      <c r="D317" s="5">
        <v>15.22</v>
      </c>
      <c r="E317" t="s">
        <v>46</v>
      </c>
    </row>
    <row r="318" spans="1:5" x14ac:dyDescent="0.25">
      <c r="A318" t="s">
        <v>33</v>
      </c>
      <c r="B318" s="93">
        <v>43718</v>
      </c>
      <c r="C318" t="s">
        <v>1737</v>
      </c>
      <c r="D318" s="5">
        <v>12.84</v>
      </c>
      <c r="E318" t="s">
        <v>46</v>
      </c>
    </row>
    <row r="319" spans="1:5" x14ac:dyDescent="0.25">
      <c r="A319" t="s">
        <v>33</v>
      </c>
      <c r="B319" s="93">
        <v>43718</v>
      </c>
      <c r="C319" t="s">
        <v>1738</v>
      </c>
      <c r="D319" s="5">
        <v>19.86</v>
      </c>
      <c r="E319" t="s">
        <v>46</v>
      </c>
    </row>
    <row r="320" spans="1:5" x14ac:dyDescent="0.25">
      <c r="A320" t="s">
        <v>33</v>
      </c>
      <c r="B320" s="93">
        <v>43718</v>
      </c>
      <c r="C320" t="s">
        <v>1739</v>
      </c>
      <c r="D320" s="5">
        <v>2.84</v>
      </c>
      <c r="E320" t="s">
        <v>46</v>
      </c>
    </row>
    <row r="321" spans="1:5" x14ac:dyDescent="0.25">
      <c r="A321" t="s">
        <v>33</v>
      </c>
      <c r="B321" s="93">
        <v>43718</v>
      </c>
      <c r="C321" t="s">
        <v>1740</v>
      </c>
      <c r="D321" s="5">
        <v>39.619999999999997</v>
      </c>
      <c r="E321" t="s">
        <v>46</v>
      </c>
    </row>
    <row r="322" spans="1:5" x14ac:dyDescent="0.25">
      <c r="A322" t="s">
        <v>33</v>
      </c>
      <c r="B322" s="93">
        <v>43717</v>
      </c>
      <c r="C322" t="s">
        <v>1741</v>
      </c>
      <c r="D322" s="5">
        <v>10.19</v>
      </c>
      <c r="E322" t="s">
        <v>46</v>
      </c>
    </row>
    <row r="323" spans="1:5" x14ac:dyDescent="0.25">
      <c r="A323" t="s">
        <v>33</v>
      </c>
      <c r="B323" s="93">
        <v>43717</v>
      </c>
      <c r="C323" t="s">
        <v>1742</v>
      </c>
      <c r="D323" s="5">
        <v>2.84</v>
      </c>
      <c r="E323" t="s">
        <v>46</v>
      </c>
    </row>
    <row r="324" spans="1:5" x14ac:dyDescent="0.25">
      <c r="A324" t="s">
        <v>33</v>
      </c>
      <c r="B324" s="93">
        <v>43717</v>
      </c>
      <c r="C324" t="s">
        <v>1743</v>
      </c>
      <c r="D324" s="5">
        <v>3.8</v>
      </c>
      <c r="E324" t="s">
        <v>46</v>
      </c>
    </row>
    <row r="325" spans="1:5" x14ac:dyDescent="0.25">
      <c r="A325" t="s">
        <v>33</v>
      </c>
      <c r="B325" s="93">
        <v>43717</v>
      </c>
      <c r="C325" t="s">
        <v>1744</v>
      </c>
      <c r="D325" s="5">
        <v>52.24</v>
      </c>
      <c r="E325" t="s">
        <v>46</v>
      </c>
    </row>
    <row r="326" spans="1:5" x14ac:dyDescent="0.25">
      <c r="A326" t="s">
        <v>33</v>
      </c>
      <c r="B326" s="93">
        <v>43717</v>
      </c>
      <c r="C326" t="s">
        <v>1745</v>
      </c>
      <c r="D326" s="5">
        <v>9.5299999999999994</v>
      </c>
      <c r="E326" t="s">
        <v>46</v>
      </c>
    </row>
    <row r="327" spans="1:5" x14ac:dyDescent="0.25">
      <c r="A327" t="s">
        <v>33</v>
      </c>
      <c r="B327" s="93">
        <v>43717</v>
      </c>
      <c r="C327" t="s">
        <v>1746</v>
      </c>
      <c r="D327" s="5">
        <v>25.01</v>
      </c>
      <c r="E327" t="s">
        <v>46</v>
      </c>
    </row>
    <row r="328" spans="1:5" x14ac:dyDescent="0.25">
      <c r="A328" t="s">
        <v>33</v>
      </c>
      <c r="B328" s="93">
        <v>43717</v>
      </c>
      <c r="C328" t="s">
        <v>1747</v>
      </c>
      <c r="D328" s="5">
        <v>5</v>
      </c>
      <c r="E328" t="s">
        <v>46</v>
      </c>
    </row>
    <row r="329" spans="1:5" x14ac:dyDescent="0.25">
      <c r="A329" t="s">
        <v>33</v>
      </c>
      <c r="B329" s="93">
        <v>43717</v>
      </c>
      <c r="C329" t="s">
        <v>1748</v>
      </c>
      <c r="D329" s="5">
        <v>42.31</v>
      </c>
      <c r="E329" t="s">
        <v>46</v>
      </c>
    </row>
    <row r="330" spans="1:5" x14ac:dyDescent="0.25">
      <c r="A330" t="s">
        <v>33</v>
      </c>
      <c r="B330" s="93">
        <v>43717</v>
      </c>
      <c r="C330" t="s">
        <v>1749</v>
      </c>
      <c r="D330" s="5">
        <v>17.11</v>
      </c>
      <c r="E330" t="s">
        <v>46</v>
      </c>
    </row>
    <row r="331" spans="1:5" x14ac:dyDescent="0.25">
      <c r="A331" t="s">
        <v>33</v>
      </c>
      <c r="B331" s="93">
        <v>43717</v>
      </c>
      <c r="C331" t="s">
        <v>1750</v>
      </c>
      <c r="D331" s="5">
        <v>30.54</v>
      </c>
      <c r="E331" t="s">
        <v>46</v>
      </c>
    </row>
    <row r="332" spans="1:5" x14ac:dyDescent="0.25">
      <c r="A332" t="s">
        <v>33</v>
      </c>
      <c r="B332" s="93">
        <v>43717</v>
      </c>
      <c r="C332" t="s">
        <v>1751</v>
      </c>
      <c r="D332" s="5">
        <v>23.23</v>
      </c>
      <c r="E332" t="s">
        <v>46</v>
      </c>
    </row>
    <row r="333" spans="1:5" x14ac:dyDescent="0.25">
      <c r="A333" t="s">
        <v>33</v>
      </c>
      <c r="B333" s="93">
        <v>43717</v>
      </c>
      <c r="C333" t="s">
        <v>1752</v>
      </c>
      <c r="D333" s="5">
        <v>1153.95</v>
      </c>
      <c r="E333" t="s">
        <v>46</v>
      </c>
    </row>
    <row r="334" spans="1:5" x14ac:dyDescent="0.25">
      <c r="A334" t="s">
        <v>33</v>
      </c>
      <c r="B334" s="93">
        <v>43717</v>
      </c>
      <c r="C334" t="s">
        <v>1753</v>
      </c>
      <c r="D334" s="5">
        <v>4.7300000000000004</v>
      </c>
      <c r="E334" t="s">
        <v>46</v>
      </c>
    </row>
    <row r="335" spans="1:5" x14ac:dyDescent="0.25">
      <c r="A335" t="s">
        <v>33</v>
      </c>
      <c r="B335" s="93">
        <v>43717</v>
      </c>
      <c r="C335" t="s">
        <v>1754</v>
      </c>
      <c r="D335" s="5">
        <v>50.5</v>
      </c>
      <c r="E335" t="s">
        <v>46</v>
      </c>
    </row>
    <row r="336" spans="1:5" x14ac:dyDescent="0.25">
      <c r="A336" t="s">
        <v>33</v>
      </c>
      <c r="B336" s="93">
        <v>43717</v>
      </c>
      <c r="C336" t="s">
        <v>1755</v>
      </c>
      <c r="D336" s="5">
        <v>16.84</v>
      </c>
      <c r="E336" t="s">
        <v>46</v>
      </c>
    </row>
    <row r="337" spans="1:5" x14ac:dyDescent="0.25">
      <c r="A337" t="s">
        <v>33</v>
      </c>
      <c r="B337" s="93">
        <v>43714</v>
      </c>
      <c r="C337" t="s">
        <v>1756</v>
      </c>
      <c r="D337" s="5">
        <v>20.97</v>
      </c>
      <c r="E337" t="s">
        <v>46</v>
      </c>
    </row>
    <row r="338" spans="1:5" x14ac:dyDescent="0.25">
      <c r="A338" t="s">
        <v>33</v>
      </c>
      <c r="B338" s="93">
        <v>43714</v>
      </c>
      <c r="C338" t="s">
        <v>1757</v>
      </c>
      <c r="D338" s="5">
        <v>6.24</v>
      </c>
      <c r="E338" t="s">
        <v>46</v>
      </c>
    </row>
    <row r="339" spans="1:5" x14ac:dyDescent="0.25">
      <c r="A339" t="s">
        <v>33</v>
      </c>
      <c r="B339" s="93">
        <v>43714</v>
      </c>
      <c r="C339" t="s">
        <v>1758</v>
      </c>
      <c r="D339" s="5">
        <v>34.99</v>
      </c>
      <c r="E339" t="s">
        <v>46</v>
      </c>
    </row>
    <row r="340" spans="1:5" x14ac:dyDescent="0.25">
      <c r="A340" t="s">
        <v>49</v>
      </c>
      <c r="B340" s="93">
        <v>43714</v>
      </c>
      <c r="C340" t="s">
        <v>50</v>
      </c>
      <c r="D340" s="5">
        <v>-3485.06</v>
      </c>
      <c r="E340" t="s">
        <v>51</v>
      </c>
    </row>
    <row r="341" spans="1:5" x14ac:dyDescent="0.25">
      <c r="A341" t="s">
        <v>33</v>
      </c>
      <c r="B341" s="93">
        <v>43713</v>
      </c>
      <c r="C341" t="s">
        <v>364</v>
      </c>
      <c r="D341" s="5">
        <v>299</v>
      </c>
      <c r="E341" t="s">
        <v>107</v>
      </c>
    </row>
    <row r="342" spans="1:5" x14ac:dyDescent="0.25">
      <c r="A342" t="s">
        <v>33</v>
      </c>
      <c r="B342" s="93">
        <v>43713</v>
      </c>
      <c r="C342" t="s">
        <v>1759</v>
      </c>
      <c r="D342" s="5">
        <v>45.52</v>
      </c>
      <c r="E342" t="s">
        <v>46</v>
      </c>
    </row>
    <row r="343" spans="1:5" x14ac:dyDescent="0.25">
      <c r="A343" t="s">
        <v>33</v>
      </c>
      <c r="B343" s="93">
        <v>43712</v>
      </c>
      <c r="C343" t="s">
        <v>724</v>
      </c>
      <c r="D343" s="5">
        <v>94.07</v>
      </c>
      <c r="E343" t="s">
        <v>107</v>
      </c>
    </row>
    <row r="344" spans="1:5" x14ac:dyDescent="0.25">
      <c r="A344" t="s">
        <v>33</v>
      </c>
      <c r="B344" s="93">
        <v>43712</v>
      </c>
      <c r="C344" t="s">
        <v>377</v>
      </c>
      <c r="D344" s="5">
        <v>832.24</v>
      </c>
      <c r="E344" t="s">
        <v>107</v>
      </c>
    </row>
    <row r="345" spans="1:5" x14ac:dyDescent="0.25">
      <c r="A345" t="s">
        <v>33</v>
      </c>
      <c r="B345" s="93">
        <v>43712</v>
      </c>
      <c r="C345" t="s">
        <v>1760</v>
      </c>
      <c r="D345" s="5">
        <v>12.84</v>
      </c>
      <c r="E345" t="s">
        <v>46</v>
      </c>
    </row>
    <row r="346" spans="1:5" x14ac:dyDescent="0.25">
      <c r="A346" t="s">
        <v>33</v>
      </c>
      <c r="B346" s="93">
        <v>43712</v>
      </c>
      <c r="C346" t="s">
        <v>1761</v>
      </c>
      <c r="D346" s="5">
        <v>20.05</v>
      </c>
      <c r="E346" t="s">
        <v>46</v>
      </c>
    </row>
    <row r="347" spans="1:5" x14ac:dyDescent="0.25">
      <c r="A347" t="s">
        <v>33</v>
      </c>
      <c r="B347" s="93">
        <v>43711</v>
      </c>
      <c r="C347" t="s">
        <v>1762</v>
      </c>
      <c r="D347" s="5">
        <v>14.08</v>
      </c>
      <c r="E347" t="s">
        <v>46</v>
      </c>
    </row>
    <row r="348" spans="1:5" x14ac:dyDescent="0.25">
      <c r="A348" t="s">
        <v>33</v>
      </c>
      <c r="B348" s="93">
        <v>43711</v>
      </c>
      <c r="C348" t="s">
        <v>1763</v>
      </c>
      <c r="D348" s="5">
        <v>65</v>
      </c>
      <c r="E348" t="s">
        <v>46</v>
      </c>
    </row>
    <row r="349" spans="1:5" x14ac:dyDescent="0.25">
      <c r="A349" t="s">
        <v>33</v>
      </c>
      <c r="B349" s="93">
        <v>43711</v>
      </c>
      <c r="C349" t="s">
        <v>1764</v>
      </c>
      <c r="D349" s="5">
        <v>87.82</v>
      </c>
      <c r="E349" t="s">
        <v>46</v>
      </c>
    </row>
    <row r="350" spans="1:5" x14ac:dyDescent="0.25">
      <c r="A350" t="s">
        <v>33</v>
      </c>
      <c r="B350" s="93">
        <v>43711</v>
      </c>
      <c r="C350" t="s">
        <v>1765</v>
      </c>
      <c r="D350" s="5">
        <v>31.68</v>
      </c>
      <c r="E350" t="s">
        <v>46</v>
      </c>
    </row>
    <row r="351" spans="1:5" x14ac:dyDescent="0.25">
      <c r="A351" t="s">
        <v>33</v>
      </c>
      <c r="B351" s="93">
        <v>43711</v>
      </c>
      <c r="C351" t="s">
        <v>1766</v>
      </c>
      <c r="D351" s="5">
        <v>5.34</v>
      </c>
      <c r="E351" t="s">
        <v>46</v>
      </c>
    </row>
    <row r="352" spans="1:5" x14ac:dyDescent="0.25">
      <c r="A352" t="s">
        <v>33</v>
      </c>
      <c r="B352" s="93">
        <v>43711</v>
      </c>
      <c r="C352" t="s">
        <v>1766</v>
      </c>
      <c r="D352" s="5">
        <v>10.66</v>
      </c>
      <c r="E352" t="s">
        <v>46</v>
      </c>
    </row>
    <row r="353" spans="1:5" x14ac:dyDescent="0.25">
      <c r="A353" t="s">
        <v>33</v>
      </c>
      <c r="B353" s="93">
        <v>43711</v>
      </c>
      <c r="C353" t="s">
        <v>1767</v>
      </c>
      <c r="D353" s="5">
        <v>97.76</v>
      </c>
      <c r="E353" t="s">
        <v>46</v>
      </c>
    </row>
    <row r="354" spans="1:5" x14ac:dyDescent="0.25">
      <c r="A354" t="s">
        <v>33</v>
      </c>
      <c r="B354" s="93">
        <v>43711</v>
      </c>
      <c r="C354" t="s">
        <v>1768</v>
      </c>
      <c r="D354" s="5">
        <v>4.7699999999999996</v>
      </c>
      <c r="E354" t="s">
        <v>46</v>
      </c>
    </row>
    <row r="355" spans="1:5" x14ac:dyDescent="0.25">
      <c r="A355" t="s">
        <v>33</v>
      </c>
      <c r="B355" s="93">
        <v>43711</v>
      </c>
      <c r="C355" t="s">
        <v>1769</v>
      </c>
      <c r="D355" s="5">
        <v>4.28</v>
      </c>
      <c r="E355" t="s">
        <v>46</v>
      </c>
    </row>
    <row r="356" spans="1:5" x14ac:dyDescent="0.25">
      <c r="A356" t="s">
        <v>33</v>
      </c>
      <c r="B356" s="93">
        <v>43711</v>
      </c>
      <c r="C356" t="s">
        <v>1770</v>
      </c>
      <c r="D356" s="5">
        <v>40.17</v>
      </c>
      <c r="E356" t="s">
        <v>46</v>
      </c>
    </row>
    <row r="357" spans="1:5" x14ac:dyDescent="0.25">
      <c r="A357" t="s">
        <v>49</v>
      </c>
      <c r="B357" s="93">
        <v>43707</v>
      </c>
      <c r="C357" t="s">
        <v>104</v>
      </c>
      <c r="D357" s="5">
        <v>-0.02</v>
      </c>
      <c r="E357" t="s">
        <v>105</v>
      </c>
    </row>
    <row r="358" spans="1:5" x14ac:dyDescent="0.25">
      <c r="A358" t="s">
        <v>33</v>
      </c>
      <c r="B358" s="93">
        <v>43707</v>
      </c>
      <c r="C358" t="s">
        <v>1771</v>
      </c>
      <c r="D358" s="5">
        <v>23.4</v>
      </c>
      <c r="E358" t="s">
        <v>46</v>
      </c>
    </row>
    <row r="359" spans="1:5" x14ac:dyDescent="0.25">
      <c r="A359" t="s">
        <v>33</v>
      </c>
      <c r="B359" s="93">
        <v>43707</v>
      </c>
      <c r="C359" t="s">
        <v>1772</v>
      </c>
      <c r="D359" s="5">
        <v>30.79</v>
      </c>
      <c r="E359" t="s">
        <v>46</v>
      </c>
    </row>
    <row r="360" spans="1:5" x14ac:dyDescent="0.25">
      <c r="A360" t="s">
        <v>33</v>
      </c>
      <c r="B360" s="93">
        <v>43707</v>
      </c>
      <c r="C360" t="s">
        <v>1773</v>
      </c>
      <c r="D360" s="5">
        <v>20.29</v>
      </c>
      <c r="E360" t="s">
        <v>46</v>
      </c>
    </row>
    <row r="361" spans="1:5" x14ac:dyDescent="0.25">
      <c r="A361" t="s">
        <v>33</v>
      </c>
      <c r="B361" s="93">
        <v>43706</v>
      </c>
      <c r="C361" t="s">
        <v>1774</v>
      </c>
      <c r="D361" s="5">
        <v>21.39</v>
      </c>
      <c r="E361" t="s">
        <v>46</v>
      </c>
    </row>
    <row r="362" spans="1:5" x14ac:dyDescent="0.25">
      <c r="A362" t="s">
        <v>33</v>
      </c>
      <c r="B362" s="93">
        <v>43706</v>
      </c>
      <c r="C362" t="s">
        <v>106</v>
      </c>
      <c r="D362" s="5">
        <v>437.54</v>
      </c>
      <c r="E362" t="s">
        <v>107</v>
      </c>
    </row>
    <row r="363" spans="1:5" x14ac:dyDescent="0.25">
      <c r="A363" t="s">
        <v>33</v>
      </c>
      <c r="B363" s="93">
        <v>43706</v>
      </c>
      <c r="C363" s="128" t="s">
        <v>1775</v>
      </c>
      <c r="D363" s="5">
        <v>7.99</v>
      </c>
      <c r="E363" t="s">
        <v>46</v>
      </c>
    </row>
    <row r="364" spans="1:5" x14ac:dyDescent="0.25">
      <c r="A364" t="s">
        <v>33</v>
      </c>
      <c r="B364" s="93">
        <v>43706</v>
      </c>
      <c r="C364" s="128" t="s">
        <v>1775</v>
      </c>
      <c r="D364" s="5">
        <v>20</v>
      </c>
      <c r="E364" t="s">
        <v>46</v>
      </c>
    </row>
    <row r="365" spans="1:5" x14ac:dyDescent="0.25">
      <c r="A365" t="s">
        <v>33</v>
      </c>
      <c r="B365" s="93">
        <v>43706</v>
      </c>
      <c r="C365" s="160" t="s">
        <v>1776</v>
      </c>
      <c r="D365" s="5">
        <v>4.3899999999999997</v>
      </c>
      <c r="E365" t="s">
        <v>46</v>
      </c>
    </row>
    <row r="366" spans="1:5" x14ac:dyDescent="0.25">
      <c r="A366" t="s">
        <v>33</v>
      </c>
      <c r="B366" s="93">
        <v>43706</v>
      </c>
      <c r="C366" s="160" t="s">
        <v>1776</v>
      </c>
      <c r="D366" s="5">
        <v>40</v>
      </c>
      <c r="E366" t="s">
        <v>46</v>
      </c>
    </row>
    <row r="367" spans="1:5" x14ac:dyDescent="0.25">
      <c r="A367" t="s">
        <v>33</v>
      </c>
      <c r="B367" s="93">
        <v>43706</v>
      </c>
      <c r="C367" t="s">
        <v>1777</v>
      </c>
      <c r="D367" s="5">
        <v>12.93</v>
      </c>
      <c r="E367" t="s">
        <v>46</v>
      </c>
    </row>
    <row r="368" spans="1:5" x14ac:dyDescent="0.25">
      <c r="A368" t="s">
        <v>33</v>
      </c>
      <c r="B368" s="93">
        <v>43706</v>
      </c>
      <c r="C368" t="s">
        <v>1778</v>
      </c>
      <c r="D368" s="5">
        <v>35.76</v>
      </c>
      <c r="E368" t="s">
        <v>46</v>
      </c>
    </row>
    <row r="369" spans="1:5" x14ac:dyDescent="0.25">
      <c r="A369" t="s">
        <v>33</v>
      </c>
      <c r="B369" s="93">
        <v>43706</v>
      </c>
      <c r="C369" t="s">
        <v>1779</v>
      </c>
      <c r="D369" s="5">
        <v>11.56</v>
      </c>
      <c r="E369" t="s">
        <v>46</v>
      </c>
    </row>
    <row r="370" spans="1:5" x14ac:dyDescent="0.25">
      <c r="A370" t="s">
        <v>33</v>
      </c>
      <c r="B370" s="93">
        <v>43705</v>
      </c>
      <c r="C370" t="s">
        <v>1780</v>
      </c>
      <c r="D370" s="5">
        <v>21.06</v>
      </c>
      <c r="E370" t="s">
        <v>46</v>
      </c>
    </row>
    <row r="371" spans="1:5" x14ac:dyDescent="0.25">
      <c r="A371" t="s">
        <v>33</v>
      </c>
      <c r="B371" s="93">
        <v>43705</v>
      </c>
      <c r="C371" t="s">
        <v>1781</v>
      </c>
      <c r="D371" s="5">
        <v>32.619999999999997</v>
      </c>
      <c r="E371" t="s">
        <v>46</v>
      </c>
    </row>
    <row r="372" spans="1:5" x14ac:dyDescent="0.25">
      <c r="A372" t="s">
        <v>33</v>
      </c>
      <c r="B372" s="93">
        <v>43705</v>
      </c>
      <c r="C372" t="s">
        <v>1782</v>
      </c>
      <c r="D372" s="5">
        <v>32.08</v>
      </c>
      <c r="E372" t="s">
        <v>46</v>
      </c>
    </row>
    <row r="373" spans="1:5" x14ac:dyDescent="0.25">
      <c r="A373" t="s">
        <v>33</v>
      </c>
      <c r="B373" s="93">
        <v>43704</v>
      </c>
      <c r="C373" t="s">
        <v>662</v>
      </c>
      <c r="D373" s="5">
        <v>211</v>
      </c>
      <c r="E373" t="s">
        <v>107</v>
      </c>
    </row>
    <row r="374" spans="1:5" x14ac:dyDescent="0.25">
      <c r="A374" t="s">
        <v>33</v>
      </c>
      <c r="B374" s="93">
        <v>43704</v>
      </c>
      <c r="C374" t="s">
        <v>1785</v>
      </c>
      <c r="D374" s="5">
        <v>14.69</v>
      </c>
      <c r="E374" t="s">
        <v>46</v>
      </c>
    </row>
    <row r="375" spans="1:5" x14ac:dyDescent="0.25">
      <c r="B375" s="93"/>
      <c r="D375" s="5"/>
    </row>
    <row r="376" spans="1:5" x14ac:dyDescent="0.25">
      <c r="B376" s="93"/>
      <c r="D376" s="5"/>
    </row>
    <row r="377" spans="1:5" x14ac:dyDescent="0.25">
      <c r="B377" s="93"/>
      <c r="D377" s="5"/>
    </row>
    <row r="378" spans="1:5" x14ac:dyDescent="0.25">
      <c r="B378" s="93"/>
      <c r="D378" s="5"/>
    </row>
    <row r="379" spans="1:5" x14ac:dyDescent="0.25">
      <c r="B379" s="93"/>
      <c r="D379" s="5"/>
    </row>
    <row r="380" spans="1:5" x14ac:dyDescent="0.25">
      <c r="B380" s="93"/>
      <c r="D380" s="5"/>
    </row>
    <row r="381" spans="1:5" x14ac:dyDescent="0.25">
      <c r="B381" s="93"/>
      <c r="D381" s="5"/>
    </row>
    <row r="382" spans="1:5" x14ac:dyDescent="0.25">
      <c r="B382" s="93"/>
      <c r="D382" s="5"/>
    </row>
    <row r="383" spans="1:5" x14ac:dyDescent="0.25">
      <c r="A383" t="s">
        <v>33</v>
      </c>
      <c r="B383" s="157">
        <v>43705</v>
      </c>
      <c r="C383" s="158" t="s">
        <v>1783</v>
      </c>
      <c r="D383" s="159">
        <v>668.61</v>
      </c>
      <c r="E383" s="158" t="s">
        <v>46</v>
      </c>
    </row>
    <row r="384" spans="1:5" x14ac:dyDescent="0.25">
      <c r="A384" t="s">
        <v>33</v>
      </c>
      <c r="B384" s="157">
        <v>43705</v>
      </c>
      <c r="C384" s="158" t="s">
        <v>1784</v>
      </c>
      <c r="D384" s="159">
        <v>847.17</v>
      </c>
      <c r="E384" s="158" t="s">
        <v>46</v>
      </c>
    </row>
    <row r="385" spans="1:5" x14ac:dyDescent="0.25">
      <c r="A385" t="s">
        <v>33</v>
      </c>
      <c r="B385" s="157">
        <v>43704</v>
      </c>
      <c r="C385" s="158" t="s">
        <v>1786</v>
      </c>
      <c r="D385" s="159">
        <v>26</v>
      </c>
      <c r="E385" s="158" t="s">
        <v>46</v>
      </c>
    </row>
    <row r="386" spans="1:5" x14ac:dyDescent="0.25">
      <c r="A386" t="s">
        <v>33</v>
      </c>
      <c r="B386" s="157">
        <v>43704</v>
      </c>
      <c r="C386" s="158" t="s">
        <v>1787</v>
      </c>
      <c r="D386" s="159">
        <v>39.17</v>
      </c>
      <c r="E386" s="158" t="s">
        <v>46</v>
      </c>
    </row>
    <row r="387" spans="1:5" x14ac:dyDescent="0.25">
      <c r="A387" t="s">
        <v>33</v>
      </c>
      <c r="B387" s="157">
        <v>43703</v>
      </c>
      <c r="C387" s="158" t="s">
        <v>1288</v>
      </c>
      <c r="D387" s="159">
        <v>0.99</v>
      </c>
      <c r="E387" s="158" t="s">
        <v>46</v>
      </c>
    </row>
    <row r="388" spans="1:5" x14ac:dyDescent="0.25">
      <c r="A388" t="s">
        <v>33</v>
      </c>
      <c r="B388" s="157">
        <v>43703</v>
      </c>
      <c r="C388" s="158" t="s">
        <v>1289</v>
      </c>
      <c r="D388" s="159">
        <v>108.88</v>
      </c>
      <c r="E388" s="158" t="s">
        <v>46</v>
      </c>
    </row>
    <row r="389" spans="1:5" x14ac:dyDescent="0.25">
      <c r="A389" t="s">
        <v>33</v>
      </c>
      <c r="B389" s="157">
        <v>43703</v>
      </c>
      <c r="C389" s="158" t="s">
        <v>1290</v>
      </c>
      <c r="D389" s="159">
        <v>22.73</v>
      </c>
      <c r="E389" s="158" t="s">
        <v>46</v>
      </c>
    </row>
    <row r="390" spans="1:5" x14ac:dyDescent="0.25">
      <c r="A390" t="s">
        <v>33</v>
      </c>
      <c r="B390" s="93">
        <v>43703</v>
      </c>
      <c r="C390" t="s">
        <v>1291</v>
      </c>
      <c r="D390" s="5">
        <v>12.83</v>
      </c>
      <c r="E390" t="s">
        <v>46</v>
      </c>
    </row>
    <row r="391" spans="1:5" x14ac:dyDescent="0.25">
      <c r="A391" t="s">
        <v>33</v>
      </c>
      <c r="B391" s="93">
        <v>43703</v>
      </c>
      <c r="C391" t="s">
        <v>1292</v>
      </c>
      <c r="D391" s="5">
        <v>14.46</v>
      </c>
      <c r="E391" t="s">
        <v>46</v>
      </c>
    </row>
    <row r="392" spans="1:5" x14ac:dyDescent="0.25">
      <c r="A392" t="s">
        <v>33</v>
      </c>
      <c r="B392" s="93">
        <v>43703</v>
      </c>
      <c r="C392" t="s">
        <v>1293</v>
      </c>
      <c r="D392" s="5">
        <v>12</v>
      </c>
      <c r="E392" t="s">
        <v>46</v>
      </c>
    </row>
    <row r="393" spans="1:5" x14ac:dyDescent="0.25">
      <c r="A393" t="s">
        <v>33</v>
      </c>
      <c r="B393" s="93">
        <v>43703</v>
      </c>
      <c r="C393" t="s">
        <v>1294</v>
      </c>
      <c r="D393" s="5">
        <v>20.07</v>
      </c>
      <c r="E393" t="s">
        <v>46</v>
      </c>
    </row>
    <row r="394" spans="1:5" x14ac:dyDescent="0.25">
      <c r="A394" t="s">
        <v>33</v>
      </c>
      <c r="B394" s="93">
        <v>43703</v>
      </c>
      <c r="C394" t="s">
        <v>1295</v>
      </c>
      <c r="D394" s="5">
        <v>250.34</v>
      </c>
      <c r="E394" t="s">
        <v>46</v>
      </c>
    </row>
    <row r="395" spans="1:5" x14ac:dyDescent="0.25">
      <c r="A395" t="s">
        <v>33</v>
      </c>
      <c r="B395" s="93">
        <v>43703</v>
      </c>
      <c r="C395" t="s">
        <v>1296</v>
      </c>
      <c r="D395" s="5">
        <v>17.91</v>
      </c>
      <c r="E395" t="s">
        <v>46</v>
      </c>
    </row>
    <row r="396" spans="1:5" x14ac:dyDescent="0.25">
      <c r="A396" t="s">
        <v>33</v>
      </c>
      <c r="B396" s="93">
        <v>43703</v>
      </c>
      <c r="C396" t="s">
        <v>1297</v>
      </c>
      <c r="D396" s="5">
        <v>16.95</v>
      </c>
      <c r="E396" t="s">
        <v>46</v>
      </c>
    </row>
    <row r="397" spans="1:5" x14ac:dyDescent="0.25">
      <c r="A397" t="s">
        <v>33</v>
      </c>
      <c r="B397" s="93">
        <v>43703</v>
      </c>
      <c r="C397" t="s">
        <v>1298</v>
      </c>
      <c r="D397" s="5">
        <v>24.23</v>
      </c>
      <c r="E397" t="s">
        <v>46</v>
      </c>
    </row>
    <row r="398" spans="1:5" x14ac:dyDescent="0.25">
      <c r="A398" t="s">
        <v>33</v>
      </c>
      <c r="B398" s="93">
        <v>43703</v>
      </c>
      <c r="C398" t="s">
        <v>1299</v>
      </c>
      <c r="D398" s="5">
        <v>68.48</v>
      </c>
      <c r="E398" t="s">
        <v>46</v>
      </c>
    </row>
    <row r="399" spans="1:5" x14ac:dyDescent="0.25">
      <c r="A399" t="s">
        <v>33</v>
      </c>
      <c r="B399" s="93">
        <v>43703</v>
      </c>
      <c r="C399" t="s">
        <v>1288</v>
      </c>
      <c r="D399" s="5">
        <v>4.28</v>
      </c>
      <c r="E399" t="s">
        <v>46</v>
      </c>
    </row>
    <row r="400" spans="1:5" x14ac:dyDescent="0.25">
      <c r="A400" t="s">
        <v>33</v>
      </c>
      <c r="B400" s="93">
        <v>43703</v>
      </c>
      <c r="C400" t="s">
        <v>1300</v>
      </c>
      <c r="D400" s="5">
        <v>39.17</v>
      </c>
      <c r="E400" t="s">
        <v>46</v>
      </c>
    </row>
    <row r="401" spans="1:5" x14ac:dyDescent="0.25">
      <c r="A401" t="s">
        <v>49</v>
      </c>
      <c r="B401" s="93">
        <v>43700</v>
      </c>
      <c r="C401" t="s">
        <v>50</v>
      </c>
      <c r="D401" s="5">
        <v>-3485.05</v>
      </c>
      <c r="E401" t="s">
        <v>51</v>
      </c>
    </row>
    <row r="402" spans="1:5" x14ac:dyDescent="0.25">
      <c r="A402" t="s">
        <v>33</v>
      </c>
      <c r="B402" s="93">
        <v>43699</v>
      </c>
      <c r="C402" t="s">
        <v>1301</v>
      </c>
      <c r="D402" s="5">
        <v>5.4</v>
      </c>
      <c r="E402" t="s">
        <v>46</v>
      </c>
    </row>
    <row r="403" spans="1:5" x14ac:dyDescent="0.25">
      <c r="A403" t="s">
        <v>33</v>
      </c>
      <c r="B403" s="93">
        <v>43699</v>
      </c>
      <c r="C403" t="s">
        <v>1302</v>
      </c>
      <c r="D403" s="5">
        <v>18.98</v>
      </c>
      <c r="E403" t="s">
        <v>46</v>
      </c>
    </row>
    <row r="404" spans="1:5" x14ac:dyDescent="0.25">
      <c r="A404" t="s">
        <v>33</v>
      </c>
      <c r="B404" s="93">
        <v>43698</v>
      </c>
      <c r="C404" t="s">
        <v>1303</v>
      </c>
      <c r="D404" s="5">
        <v>17.32</v>
      </c>
      <c r="E404" t="s">
        <v>46</v>
      </c>
    </row>
    <row r="405" spans="1:5" x14ac:dyDescent="0.25">
      <c r="A405" t="s">
        <v>33</v>
      </c>
      <c r="B405" s="93">
        <v>43698</v>
      </c>
      <c r="C405" t="s">
        <v>1304</v>
      </c>
      <c r="D405" s="5">
        <v>13.78</v>
      </c>
      <c r="E405" t="s">
        <v>46</v>
      </c>
    </row>
    <row r="406" spans="1:5" x14ac:dyDescent="0.25">
      <c r="A406" t="s">
        <v>33</v>
      </c>
      <c r="B406" s="93">
        <v>43698</v>
      </c>
      <c r="C406" t="s">
        <v>1305</v>
      </c>
      <c r="D406" s="5">
        <v>482.39</v>
      </c>
      <c r="E406" t="s">
        <v>46</v>
      </c>
    </row>
    <row r="407" spans="1:5" x14ac:dyDescent="0.25">
      <c r="A407" t="s">
        <v>33</v>
      </c>
      <c r="B407" s="93">
        <v>43698</v>
      </c>
      <c r="C407" t="s">
        <v>1306</v>
      </c>
      <c r="D407" s="5">
        <v>115.01</v>
      </c>
      <c r="E407" t="s">
        <v>46</v>
      </c>
    </row>
    <row r="408" spans="1:5" x14ac:dyDescent="0.25">
      <c r="A408" t="s">
        <v>33</v>
      </c>
      <c r="B408" s="93">
        <v>43697</v>
      </c>
      <c r="C408" t="s">
        <v>1307</v>
      </c>
      <c r="D408" s="5">
        <v>8.42</v>
      </c>
      <c r="E408" t="s">
        <v>46</v>
      </c>
    </row>
    <row r="409" spans="1:5" x14ac:dyDescent="0.25">
      <c r="A409" t="s">
        <v>33</v>
      </c>
      <c r="B409" s="93">
        <v>43697</v>
      </c>
      <c r="C409" t="s">
        <v>1308</v>
      </c>
      <c r="D409" s="5">
        <v>22.09</v>
      </c>
      <c r="E409" t="s">
        <v>46</v>
      </c>
    </row>
    <row r="410" spans="1:5" x14ac:dyDescent="0.25">
      <c r="A410" t="s">
        <v>33</v>
      </c>
      <c r="B410" s="93">
        <v>43697</v>
      </c>
      <c r="C410" t="s">
        <v>1309</v>
      </c>
      <c r="D410" s="5">
        <v>660.49</v>
      </c>
      <c r="E410" t="s">
        <v>46</v>
      </c>
    </row>
    <row r="411" spans="1:5" x14ac:dyDescent="0.25">
      <c r="A411" t="s">
        <v>33</v>
      </c>
      <c r="B411" s="93">
        <v>43696</v>
      </c>
      <c r="C411" t="s">
        <v>1310</v>
      </c>
      <c r="D411" s="5">
        <v>7.99</v>
      </c>
      <c r="E411" t="s">
        <v>46</v>
      </c>
    </row>
    <row r="412" spans="1:5" x14ac:dyDescent="0.25">
      <c r="A412" t="s">
        <v>33</v>
      </c>
      <c r="B412" s="93">
        <v>43696</v>
      </c>
      <c r="C412" t="s">
        <v>1311</v>
      </c>
      <c r="D412" s="5">
        <v>2.41</v>
      </c>
      <c r="E412" t="s">
        <v>46</v>
      </c>
    </row>
    <row r="413" spans="1:5" x14ac:dyDescent="0.25">
      <c r="A413" t="s">
        <v>33</v>
      </c>
      <c r="B413" s="93">
        <v>43696</v>
      </c>
      <c r="C413" t="s">
        <v>1312</v>
      </c>
      <c r="D413" s="5">
        <v>32.270000000000003</v>
      </c>
      <c r="E413" t="s">
        <v>46</v>
      </c>
    </row>
    <row r="414" spans="1:5" x14ac:dyDescent="0.25">
      <c r="A414" t="s">
        <v>33</v>
      </c>
      <c r="B414" s="93">
        <v>43696</v>
      </c>
      <c r="C414" t="s">
        <v>1313</v>
      </c>
      <c r="D414" s="5">
        <v>50.22</v>
      </c>
      <c r="E414" t="s">
        <v>46</v>
      </c>
    </row>
    <row r="415" spans="1:5" x14ac:dyDescent="0.25">
      <c r="A415" t="s">
        <v>33</v>
      </c>
      <c r="B415" s="93">
        <v>43696</v>
      </c>
      <c r="C415" t="s">
        <v>1314</v>
      </c>
      <c r="D415" s="5">
        <v>12.68</v>
      </c>
      <c r="E415" t="s">
        <v>46</v>
      </c>
    </row>
    <row r="416" spans="1:5" x14ac:dyDescent="0.25">
      <c r="A416" t="s">
        <v>33</v>
      </c>
      <c r="B416" s="93">
        <v>43696</v>
      </c>
      <c r="C416" t="s">
        <v>1315</v>
      </c>
      <c r="D416" s="5">
        <v>20</v>
      </c>
      <c r="E416" t="s">
        <v>46</v>
      </c>
    </row>
    <row r="417" spans="1:5" x14ac:dyDescent="0.25">
      <c r="A417" t="s">
        <v>33</v>
      </c>
      <c r="B417" s="93">
        <v>43696</v>
      </c>
      <c r="C417" t="s">
        <v>1316</v>
      </c>
      <c r="D417" s="5">
        <v>8.89</v>
      </c>
      <c r="E417" t="s">
        <v>46</v>
      </c>
    </row>
    <row r="418" spans="1:5" x14ac:dyDescent="0.25">
      <c r="A418" t="s">
        <v>33</v>
      </c>
      <c r="B418" s="93">
        <v>43696</v>
      </c>
      <c r="C418" t="s">
        <v>1317</v>
      </c>
      <c r="D418" s="5">
        <v>15.3</v>
      </c>
      <c r="E418" t="s">
        <v>46</v>
      </c>
    </row>
    <row r="419" spans="1:5" x14ac:dyDescent="0.25">
      <c r="A419" t="s">
        <v>33</v>
      </c>
      <c r="B419" s="93">
        <v>43696</v>
      </c>
      <c r="C419" t="s">
        <v>1318</v>
      </c>
      <c r="D419" s="5">
        <v>16.989999999999998</v>
      </c>
      <c r="E419" t="s">
        <v>46</v>
      </c>
    </row>
    <row r="420" spans="1:5" x14ac:dyDescent="0.25">
      <c r="A420" t="s">
        <v>33</v>
      </c>
      <c r="B420" s="93">
        <v>43696</v>
      </c>
      <c r="C420" t="s">
        <v>1319</v>
      </c>
      <c r="D420" s="5">
        <v>13.91</v>
      </c>
      <c r="E420" t="s">
        <v>46</v>
      </c>
    </row>
    <row r="421" spans="1:5" x14ac:dyDescent="0.25">
      <c r="A421" t="s">
        <v>33</v>
      </c>
      <c r="B421" s="93">
        <v>43696</v>
      </c>
      <c r="C421" t="s">
        <v>1320</v>
      </c>
      <c r="D421" s="5">
        <v>20</v>
      </c>
      <c r="E421" t="s">
        <v>46</v>
      </c>
    </row>
    <row r="422" spans="1:5" x14ac:dyDescent="0.25">
      <c r="A422" t="s">
        <v>33</v>
      </c>
      <c r="B422" s="93">
        <v>43696</v>
      </c>
      <c r="C422" t="s">
        <v>1321</v>
      </c>
      <c r="D422" s="5">
        <v>25.32</v>
      </c>
      <c r="E422" t="s">
        <v>46</v>
      </c>
    </row>
    <row r="423" spans="1:5" x14ac:dyDescent="0.25">
      <c r="A423" t="s">
        <v>33</v>
      </c>
      <c r="B423" s="93">
        <v>43693</v>
      </c>
      <c r="C423" t="s">
        <v>1322</v>
      </c>
      <c r="D423" s="5">
        <v>1.29</v>
      </c>
      <c r="E423" t="s">
        <v>46</v>
      </c>
    </row>
    <row r="424" spans="1:5" x14ac:dyDescent="0.25">
      <c r="A424" t="s">
        <v>33</v>
      </c>
      <c r="B424" s="93">
        <v>43692</v>
      </c>
      <c r="C424" t="s">
        <v>1323</v>
      </c>
      <c r="D424" s="5">
        <v>11.74</v>
      </c>
      <c r="E424" t="s">
        <v>46</v>
      </c>
    </row>
    <row r="425" spans="1:5" x14ac:dyDescent="0.25">
      <c r="A425" t="s">
        <v>33</v>
      </c>
      <c r="B425" s="93">
        <v>43692</v>
      </c>
      <c r="C425" t="s">
        <v>1324</v>
      </c>
      <c r="D425" s="5">
        <v>32.450000000000003</v>
      </c>
      <c r="E425" t="s">
        <v>46</v>
      </c>
    </row>
    <row r="426" spans="1:5" x14ac:dyDescent="0.25">
      <c r="A426" t="s">
        <v>33</v>
      </c>
      <c r="B426" s="93">
        <v>43692</v>
      </c>
      <c r="C426" t="s">
        <v>1325</v>
      </c>
      <c r="D426" s="5">
        <v>28.54</v>
      </c>
      <c r="E426" t="s">
        <v>46</v>
      </c>
    </row>
    <row r="427" spans="1:5" x14ac:dyDescent="0.25">
      <c r="A427" t="s">
        <v>33</v>
      </c>
      <c r="B427" s="93">
        <v>43692</v>
      </c>
      <c r="C427" t="s">
        <v>1326</v>
      </c>
      <c r="D427" s="5">
        <v>20.49</v>
      </c>
      <c r="E427" t="s">
        <v>46</v>
      </c>
    </row>
    <row r="428" spans="1:5" x14ac:dyDescent="0.25">
      <c r="A428" t="s">
        <v>33</v>
      </c>
      <c r="B428" s="93">
        <v>43691</v>
      </c>
      <c r="C428" t="s">
        <v>1327</v>
      </c>
      <c r="D428" s="5">
        <v>152.54</v>
      </c>
      <c r="E428" t="s">
        <v>46</v>
      </c>
    </row>
    <row r="429" spans="1:5" x14ac:dyDescent="0.25">
      <c r="A429" t="s">
        <v>33</v>
      </c>
      <c r="B429" s="93">
        <v>43690</v>
      </c>
      <c r="C429" t="s">
        <v>1328</v>
      </c>
      <c r="D429" s="5">
        <v>20.65</v>
      </c>
      <c r="E429" t="s">
        <v>46</v>
      </c>
    </row>
    <row r="430" spans="1:5" x14ac:dyDescent="0.25">
      <c r="A430" t="s">
        <v>33</v>
      </c>
      <c r="B430" s="93">
        <v>43690</v>
      </c>
      <c r="C430" t="s">
        <v>1329</v>
      </c>
      <c r="D430" s="5">
        <v>26</v>
      </c>
      <c r="E430" t="s">
        <v>46</v>
      </c>
    </row>
    <row r="431" spans="1:5" x14ac:dyDescent="0.25">
      <c r="A431" t="s">
        <v>33</v>
      </c>
      <c r="B431" s="93">
        <v>43690</v>
      </c>
      <c r="C431" t="s">
        <v>1330</v>
      </c>
      <c r="D431" s="5">
        <v>20</v>
      </c>
      <c r="E431" t="s">
        <v>46</v>
      </c>
    </row>
    <row r="432" spans="1:5" x14ac:dyDescent="0.25">
      <c r="A432" t="s">
        <v>33</v>
      </c>
      <c r="B432" s="93">
        <v>43690</v>
      </c>
      <c r="C432" t="s">
        <v>1331</v>
      </c>
      <c r="D432" s="5">
        <v>10.38</v>
      </c>
      <c r="E432" t="s">
        <v>46</v>
      </c>
    </row>
    <row r="433" spans="1:5" x14ac:dyDescent="0.25">
      <c r="A433" t="s">
        <v>33</v>
      </c>
      <c r="B433" s="93">
        <v>43690</v>
      </c>
      <c r="C433" t="s">
        <v>1332</v>
      </c>
      <c r="D433" s="5">
        <v>33.89</v>
      </c>
      <c r="E433" t="s">
        <v>46</v>
      </c>
    </row>
    <row r="434" spans="1:5" x14ac:dyDescent="0.25">
      <c r="A434" t="s">
        <v>33</v>
      </c>
      <c r="B434" s="93">
        <v>43689</v>
      </c>
      <c r="C434" t="s">
        <v>1333</v>
      </c>
      <c r="D434" s="5">
        <v>17.59</v>
      </c>
      <c r="E434" t="s">
        <v>46</v>
      </c>
    </row>
    <row r="435" spans="1:5" x14ac:dyDescent="0.25">
      <c r="A435" t="s">
        <v>33</v>
      </c>
      <c r="B435" s="93">
        <v>43689</v>
      </c>
      <c r="C435" t="s">
        <v>1334</v>
      </c>
      <c r="D435" s="5">
        <v>4.2300000000000004</v>
      </c>
      <c r="E435" t="s">
        <v>46</v>
      </c>
    </row>
    <row r="436" spans="1:5" x14ac:dyDescent="0.25">
      <c r="A436" t="s">
        <v>33</v>
      </c>
      <c r="B436" s="93">
        <v>43689</v>
      </c>
      <c r="C436" t="s">
        <v>1335</v>
      </c>
      <c r="D436" s="5">
        <v>34.89</v>
      </c>
      <c r="E436" t="s">
        <v>46</v>
      </c>
    </row>
    <row r="437" spans="1:5" x14ac:dyDescent="0.25">
      <c r="A437" t="s">
        <v>33</v>
      </c>
      <c r="B437" s="93">
        <v>43689</v>
      </c>
      <c r="C437" t="s">
        <v>1336</v>
      </c>
      <c r="D437" s="5">
        <v>174.83</v>
      </c>
      <c r="E437" t="s">
        <v>46</v>
      </c>
    </row>
    <row r="438" spans="1:5" x14ac:dyDescent="0.25">
      <c r="A438" t="s">
        <v>33</v>
      </c>
      <c r="B438" s="93">
        <v>43689</v>
      </c>
      <c r="C438" t="s">
        <v>1337</v>
      </c>
      <c r="D438" s="5">
        <v>5.08</v>
      </c>
      <c r="E438" t="s">
        <v>46</v>
      </c>
    </row>
    <row r="439" spans="1:5" x14ac:dyDescent="0.25">
      <c r="A439" t="s">
        <v>33</v>
      </c>
      <c r="B439" s="93">
        <v>43689</v>
      </c>
      <c r="C439" t="s">
        <v>1338</v>
      </c>
      <c r="D439" s="5">
        <v>25.87</v>
      </c>
      <c r="E439" t="s">
        <v>46</v>
      </c>
    </row>
    <row r="440" spans="1:5" x14ac:dyDescent="0.25">
      <c r="A440" t="s">
        <v>33</v>
      </c>
      <c r="B440" s="93">
        <v>43689</v>
      </c>
      <c r="C440" t="s">
        <v>1339</v>
      </c>
      <c r="D440" s="5">
        <v>4.2300000000000004</v>
      </c>
      <c r="E440" t="s">
        <v>46</v>
      </c>
    </row>
    <row r="441" spans="1:5" x14ac:dyDescent="0.25">
      <c r="A441" t="s">
        <v>33</v>
      </c>
      <c r="B441" s="93">
        <v>43689</v>
      </c>
      <c r="C441" t="s">
        <v>1340</v>
      </c>
      <c r="D441" s="5">
        <v>96.15</v>
      </c>
      <c r="E441" t="s">
        <v>46</v>
      </c>
    </row>
    <row r="442" spans="1:5" x14ac:dyDescent="0.25">
      <c r="A442" t="s">
        <v>33</v>
      </c>
      <c r="B442" s="93">
        <v>43689</v>
      </c>
      <c r="C442" t="s">
        <v>1341</v>
      </c>
      <c r="D442" s="5">
        <v>-37.42</v>
      </c>
      <c r="E442" t="s">
        <v>46</v>
      </c>
    </row>
    <row r="443" spans="1:5" x14ac:dyDescent="0.25">
      <c r="A443" t="s">
        <v>33</v>
      </c>
      <c r="B443" s="93">
        <v>43686</v>
      </c>
      <c r="C443" t="s">
        <v>1342</v>
      </c>
      <c r="D443" s="5">
        <v>26.11</v>
      </c>
      <c r="E443" t="s">
        <v>46</v>
      </c>
    </row>
    <row r="444" spans="1:5" x14ac:dyDescent="0.25">
      <c r="A444" t="s">
        <v>49</v>
      </c>
      <c r="B444" s="93">
        <v>43686</v>
      </c>
      <c r="C444" t="s">
        <v>50</v>
      </c>
      <c r="D444" s="5">
        <v>-3485.05</v>
      </c>
      <c r="E444" t="s">
        <v>51</v>
      </c>
    </row>
    <row r="445" spans="1:5" x14ac:dyDescent="0.25">
      <c r="A445" t="s">
        <v>33</v>
      </c>
      <c r="B445" s="93">
        <v>43685</v>
      </c>
      <c r="C445" t="s">
        <v>1343</v>
      </c>
      <c r="D445" s="5">
        <v>3.72</v>
      </c>
      <c r="E445" t="s">
        <v>46</v>
      </c>
    </row>
    <row r="446" spans="1:5" x14ac:dyDescent="0.25">
      <c r="A446" t="s">
        <v>33</v>
      </c>
      <c r="B446" s="93">
        <v>43685</v>
      </c>
      <c r="C446" t="s">
        <v>1344</v>
      </c>
      <c r="D446" s="5">
        <v>16.53</v>
      </c>
      <c r="E446" t="s">
        <v>46</v>
      </c>
    </row>
    <row r="447" spans="1:5" x14ac:dyDescent="0.25">
      <c r="A447" t="s">
        <v>33</v>
      </c>
      <c r="B447" s="93">
        <v>43685</v>
      </c>
      <c r="C447" t="s">
        <v>1345</v>
      </c>
      <c r="D447" s="5">
        <v>2.58</v>
      </c>
      <c r="E447" t="s">
        <v>46</v>
      </c>
    </row>
    <row r="448" spans="1:5" x14ac:dyDescent="0.25">
      <c r="A448" t="s">
        <v>432</v>
      </c>
      <c r="B448" s="93">
        <v>43684</v>
      </c>
      <c r="C448" t="s">
        <v>1346</v>
      </c>
      <c r="D448" s="5">
        <v>116</v>
      </c>
      <c r="E448" t="s">
        <v>434</v>
      </c>
    </row>
    <row r="449" spans="1:5" x14ac:dyDescent="0.25">
      <c r="A449" t="s">
        <v>33</v>
      </c>
      <c r="B449" s="93">
        <v>43684</v>
      </c>
      <c r="C449" t="s">
        <v>1347</v>
      </c>
      <c r="D449" s="5">
        <v>150</v>
      </c>
      <c r="E449" t="s">
        <v>107</v>
      </c>
    </row>
    <row r="450" spans="1:5" x14ac:dyDescent="0.25">
      <c r="A450" t="s">
        <v>33</v>
      </c>
      <c r="B450" s="93">
        <v>43684</v>
      </c>
      <c r="C450" t="s">
        <v>1348</v>
      </c>
      <c r="D450" s="5">
        <v>20</v>
      </c>
      <c r="E450" t="s">
        <v>46</v>
      </c>
    </row>
    <row r="451" spans="1:5" x14ac:dyDescent="0.25">
      <c r="A451" t="s">
        <v>33</v>
      </c>
      <c r="B451" s="93">
        <v>43684</v>
      </c>
      <c r="C451" t="s">
        <v>1349</v>
      </c>
      <c r="D451" s="5">
        <v>32.299999999999997</v>
      </c>
      <c r="E451" t="s">
        <v>46</v>
      </c>
    </row>
    <row r="452" spans="1:5" x14ac:dyDescent="0.25">
      <c r="A452" t="s">
        <v>33</v>
      </c>
      <c r="B452" s="93">
        <v>43684</v>
      </c>
      <c r="C452" t="s">
        <v>1351</v>
      </c>
      <c r="D452" s="5">
        <v>17.43</v>
      </c>
      <c r="E452" t="s">
        <v>46</v>
      </c>
    </row>
    <row r="453" spans="1:5" x14ac:dyDescent="0.25">
      <c r="A453" t="s">
        <v>33</v>
      </c>
      <c r="B453" s="93">
        <v>43683</v>
      </c>
      <c r="C453" t="s">
        <v>724</v>
      </c>
      <c r="D453" s="5">
        <v>101.44</v>
      </c>
      <c r="E453" t="s">
        <v>107</v>
      </c>
    </row>
    <row r="454" spans="1:5" x14ac:dyDescent="0.25">
      <c r="A454" t="s">
        <v>33</v>
      </c>
      <c r="B454" s="93">
        <v>43683</v>
      </c>
      <c r="C454" t="s">
        <v>1352</v>
      </c>
      <c r="D454" s="5">
        <v>34.89</v>
      </c>
      <c r="E454" t="s">
        <v>46</v>
      </c>
    </row>
    <row r="455" spans="1:5" x14ac:dyDescent="0.25">
      <c r="A455" t="s">
        <v>33</v>
      </c>
      <c r="B455" s="93">
        <v>43683</v>
      </c>
      <c r="C455" t="s">
        <v>1353</v>
      </c>
      <c r="D455" s="5">
        <v>34.99</v>
      </c>
      <c r="E455" t="s">
        <v>46</v>
      </c>
    </row>
    <row r="456" spans="1:5" x14ac:dyDescent="0.25">
      <c r="A456" t="s">
        <v>33</v>
      </c>
      <c r="B456" s="93">
        <v>43682</v>
      </c>
      <c r="C456" t="s">
        <v>1354</v>
      </c>
      <c r="D456" s="5">
        <v>14.08</v>
      </c>
      <c r="E456" t="s">
        <v>46</v>
      </c>
    </row>
    <row r="457" spans="1:5" x14ac:dyDescent="0.25">
      <c r="A457" t="s">
        <v>33</v>
      </c>
      <c r="B457" s="93">
        <v>43682</v>
      </c>
      <c r="C457" t="s">
        <v>1355</v>
      </c>
      <c r="D457" s="5">
        <v>65</v>
      </c>
      <c r="E457" t="s">
        <v>46</v>
      </c>
    </row>
    <row r="458" spans="1:5" x14ac:dyDescent="0.25">
      <c r="A458" t="s">
        <v>33</v>
      </c>
      <c r="B458" s="93">
        <v>43682</v>
      </c>
      <c r="C458" t="s">
        <v>1356</v>
      </c>
      <c r="D458" s="5">
        <v>87.82</v>
      </c>
      <c r="E458" t="s">
        <v>46</v>
      </c>
    </row>
    <row r="459" spans="1:5" x14ac:dyDescent="0.25">
      <c r="A459" t="s">
        <v>33</v>
      </c>
      <c r="B459" s="93">
        <v>43682</v>
      </c>
      <c r="C459" t="s">
        <v>364</v>
      </c>
      <c r="D459" s="5">
        <v>299</v>
      </c>
      <c r="E459" t="s">
        <v>107</v>
      </c>
    </row>
    <row r="460" spans="1:5" x14ac:dyDescent="0.25">
      <c r="A460" t="s">
        <v>33</v>
      </c>
      <c r="B460" s="93">
        <v>43682</v>
      </c>
      <c r="C460" t="s">
        <v>1357</v>
      </c>
      <c r="D460" s="5">
        <v>11.36</v>
      </c>
      <c r="E460" t="s">
        <v>46</v>
      </c>
    </row>
    <row r="461" spans="1:5" x14ac:dyDescent="0.25">
      <c r="A461" t="s">
        <v>33</v>
      </c>
      <c r="B461" s="93">
        <v>43682</v>
      </c>
      <c r="C461" t="s">
        <v>1358</v>
      </c>
      <c r="D461" s="5">
        <v>14.87</v>
      </c>
      <c r="E461" t="s">
        <v>46</v>
      </c>
    </row>
    <row r="462" spans="1:5" x14ac:dyDescent="0.25">
      <c r="A462" t="s">
        <v>33</v>
      </c>
      <c r="B462" s="93">
        <v>43682</v>
      </c>
      <c r="C462" t="s">
        <v>1359</v>
      </c>
      <c r="D462" s="5">
        <v>18.39</v>
      </c>
      <c r="E462" t="s">
        <v>46</v>
      </c>
    </row>
    <row r="463" spans="1:5" x14ac:dyDescent="0.25">
      <c r="A463" t="s">
        <v>33</v>
      </c>
      <c r="B463" s="93">
        <v>43682</v>
      </c>
      <c r="C463" t="s">
        <v>1360</v>
      </c>
      <c r="D463" s="5">
        <v>4.2300000000000004</v>
      </c>
      <c r="E463" t="s">
        <v>46</v>
      </c>
    </row>
    <row r="464" spans="1:5" x14ac:dyDescent="0.25">
      <c r="A464" t="s">
        <v>33</v>
      </c>
      <c r="B464" s="93">
        <v>43682</v>
      </c>
      <c r="C464" t="s">
        <v>1361</v>
      </c>
      <c r="D464" s="5">
        <v>16.77</v>
      </c>
      <c r="E464" t="s">
        <v>46</v>
      </c>
    </row>
    <row r="465" spans="1:5" x14ac:dyDescent="0.25">
      <c r="A465" t="s">
        <v>33</v>
      </c>
      <c r="B465" s="93">
        <v>43682</v>
      </c>
      <c r="C465" t="s">
        <v>1362</v>
      </c>
      <c r="D465" s="5">
        <v>12.79</v>
      </c>
      <c r="E465" t="s">
        <v>46</v>
      </c>
    </row>
    <row r="466" spans="1:5" x14ac:dyDescent="0.25">
      <c r="A466" t="s">
        <v>33</v>
      </c>
      <c r="B466" s="93">
        <v>43682</v>
      </c>
      <c r="C466" t="s">
        <v>1363</v>
      </c>
      <c r="D466" s="5">
        <v>25.17</v>
      </c>
      <c r="E466" t="s">
        <v>46</v>
      </c>
    </row>
    <row r="467" spans="1:5" x14ac:dyDescent="0.25">
      <c r="A467" t="s">
        <v>33</v>
      </c>
      <c r="B467" s="93">
        <v>43682</v>
      </c>
      <c r="C467" t="s">
        <v>1364</v>
      </c>
      <c r="D467" s="5">
        <v>66.75</v>
      </c>
      <c r="E467" t="s">
        <v>46</v>
      </c>
    </row>
    <row r="468" spans="1:5" x14ac:dyDescent="0.25">
      <c r="A468" t="s">
        <v>33</v>
      </c>
      <c r="B468" s="93">
        <v>43682</v>
      </c>
      <c r="C468" t="s">
        <v>1365</v>
      </c>
      <c r="D468" s="5">
        <v>4.2300000000000004</v>
      </c>
      <c r="E468" t="s">
        <v>46</v>
      </c>
    </row>
    <row r="469" spans="1:5" x14ac:dyDescent="0.25">
      <c r="A469" t="s">
        <v>33</v>
      </c>
      <c r="B469" s="93">
        <v>43682</v>
      </c>
      <c r="C469" t="s">
        <v>379</v>
      </c>
      <c r="D469" s="5">
        <v>0.99</v>
      </c>
      <c r="E469" t="s">
        <v>46</v>
      </c>
    </row>
    <row r="470" spans="1:5" x14ac:dyDescent="0.25">
      <c r="A470" t="s">
        <v>33</v>
      </c>
      <c r="B470" s="93">
        <v>43682</v>
      </c>
      <c r="C470" t="s">
        <v>1366</v>
      </c>
      <c r="D470" s="5">
        <v>31.98</v>
      </c>
      <c r="E470" t="s">
        <v>46</v>
      </c>
    </row>
    <row r="471" spans="1:5" x14ac:dyDescent="0.25">
      <c r="A471" t="s">
        <v>33</v>
      </c>
      <c r="B471" s="93">
        <v>43682</v>
      </c>
      <c r="C471" t="s">
        <v>1367</v>
      </c>
      <c r="D471" s="5">
        <v>27.4</v>
      </c>
      <c r="E471" t="s">
        <v>46</v>
      </c>
    </row>
    <row r="472" spans="1:5" x14ac:dyDescent="0.25">
      <c r="A472" t="s">
        <v>33</v>
      </c>
      <c r="B472" s="93">
        <v>43679</v>
      </c>
      <c r="C472" t="s">
        <v>377</v>
      </c>
      <c r="D472" s="5">
        <v>832.24</v>
      </c>
      <c r="E472" t="s">
        <v>107</v>
      </c>
    </row>
    <row r="473" spans="1:5" x14ac:dyDescent="0.25">
      <c r="A473" t="s">
        <v>33</v>
      </c>
      <c r="B473" s="93">
        <v>43679</v>
      </c>
      <c r="C473" t="s">
        <v>1368</v>
      </c>
      <c r="D473" s="5">
        <v>8.9499999999999993</v>
      </c>
      <c r="E473" t="s">
        <v>46</v>
      </c>
    </row>
    <row r="474" spans="1:5" x14ac:dyDescent="0.25">
      <c r="A474" t="s">
        <v>33</v>
      </c>
      <c r="B474" s="93">
        <v>43679</v>
      </c>
      <c r="C474" t="s">
        <v>1369</v>
      </c>
      <c r="D474" s="5">
        <v>17.11</v>
      </c>
      <c r="E474" t="s">
        <v>46</v>
      </c>
    </row>
    <row r="475" spans="1:5" x14ac:dyDescent="0.25">
      <c r="A475" t="s">
        <v>33</v>
      </c>
      <c r="B475" s="93">
        <v>43679</v>
      </c>
      <c r="C475" t="s">
        <v>1370</v>
      </c>
      <c r="D475" s="5">
        <v>4.2300000000000004</v>
      </c>
      <c r="E475" t="s">
        <v>46</v>
      </c>
    </row>
    <row r="476" spans="1:5" x14ac:dyDescent="0.25">
      <c r="A476" t="s">
        <v>33</v>
      </c>
      <c r="B476" s="93">
        <v>43679</v>
      </c>
      <c r="C476" t="s">
        <v>1371</v>
      </c>
      <c r="D476" s="5">
        <v>12.29</v>
      </c>
      <c r="E476" t="s">
        <v>46</v>
      </c>
    </row>
    <row r="477" spans="1:5" x14ac:dyDescent="0.25">
      <c r="A477" t="s">
        <v>33</v>
      </c>
      <c r="B477" s="93">
        <v>43679</v>
      </c>
      <c r="C477" t="s">
        <v>1372</v>
      </c>
      <c r="D477" s="5">
        <v>26.37</v>
      </c>
      <c r="E477" t="s">
        <v>46</v>
      </c>
    </row>
    <row r="478" spans="1:5" x14ac:dyDescent="0.25">
      <c r="A478" t="s">
        <v>33</v>
      </c>
      <c r="B478" s="93">
        <v>43678</v>
      </c>
      <c r="C478" t="s">
        <v>1373</v>
      </c>
      <c r="D478" s="5">
        <v>27.05</v>
      </c>
      <c r="E478" t="s">
        <v>46</v>
      </c>
    </row>
    <row r="479" spans="1:5" x14ac:dyDescent="0.25">
      <c r="A479" t="s">
        <v>33</v>
      </c>
      <c r="B479" s="93">
        <v>43678</v>
      </c>
      <c r="C479" t="s">
        <v>1374</v>
      </c>
      <c r="D479" s="5">
        <v>4.7699999999999996</v>
      </c>
      <c r="E479" t="s">
        <v>46</v>
      </c>
    </row>
    <row r="480" spans="1:5" x14ac:dyDescent="0.25">
      <c r="A480" t="s">
        <v>49</v>
      </c>
      <c r="B480" s="93">
        <v>43677</v>
      </c>
      <c r="C480" t="s">
        <v>104</v>
      </c>
      <c r="D480" s="5">
        <v>-0.02</v>
      </c>
      <c r="E480" t="s">
        <v>105</v>
      </c>
    </row>
    <row r="481" spans="1:5" x14ac:dyDescent="0.25">
      <c r="A481" t="s">
        <v>33</v>
      </c>
      <c r="B481" s="93">
        <v>43677</v>
      </c>
      <c r="C481" t="s">
        <v>1375</v>
      </c>
      <c r="D481" s="5">
        <v>9.09</v>
      </c>
      <c r="E481" t="s">
        <v>46</v>
      </c>
    </row>
    <row r="482" spans="1:5" x14ac:dyDescent="0.25">
      <c r="A482" t="s">
        <v>49</v>
      </c>
      <c r="B482" s="93">
        <v>43677</v>
      </c>
      <c r="C482" t="s">
        <v>1376</v>
      </c>
      <c r="D482" s="5">
        <v>-63.32</v>
      </c>
      <c r="E482" t="s">
        <v>130</v>
      </c>
    </row>
    <row r="483" spans="1:5" x14ac:dyDescent="0.25">
      <c r="A483" t="s">
        <v>33</v>
      </c>
      <c r="B483" s="93">
        <v>43676</v>
      </c>
      <c r="C483" t="s">
        <v>1377</v>
      </c>
      <c r="D483" s="5">
        <v>46</v>
      </c>
      <c r="E483" t="s">
        <v>46</v>
      </c>
    </row>
    <row r="484" spans="1:5" x14ac:dyDescent="0.25">
      <c r="A484" t="s">
        <v>33</v>
      </c>
      <c r="B484" s="93">
        <v>43676</v>
      </c>
      <c r="C484" t="s">
        <v>1378</v>
      </c>
      <c r="D484" s="5">
        <v>46.27</v>
      </c>
      <c r="E484" t="s">
        <v>46</v>
      </c>
    </row>
    <row r="485" spans="1:5" x14ac:dyDescent="0.25">
      <c r="A485" t="s">
        <v>33</v>
      </c>
      <c r="B485" s="93">
        <v>43676</v>
      </c>
      <c r="C485" t="s">
        <v>1379</v>
      </c>
      <c r="D485" s="5">
        <v>35.96</v>
      </c>
      <c r="E485" t="s">
        <v>46</v>
      </c>
    </row>
    <row r="486" spans="1:5" x14ac:dyDescent="0.25">
      <c r="A486" t="s">
        <v>33</v>
      </c>
      <c r="B486" s="93">
        <v>43675</v>
      </c>
      <c r="C486" t="s">
        <v>1380</v>
      </c>
      <c r="D486" s="5">
        <v>21.39</v>
      </c>
      <c r="E486" t="s">
        <v>46</v>
      </c>
    </row>
    <row r="487" spans="1:5" x14ac:dyDescent="0.25">
      <c r="A487" t="s">
        <v>33</v>
      </c>
      <c r="B487" s="93">
        <v>43675</v>
      </c>
      <c r="C487" t="s">
        <v>106</v>
      </c>
      <c r="D487" s="5">
        <v>437.54</v>
      </c>
      <c r="E487" t="s">
        <v>107</v>
      </c>
    </row>
    <row r="488" spans="1:5" x14ac:dyDescent="0.25">
      <c r="A488" t="s">
        <v>33</v>
      </c>
      <c r="B488" s="93">
        <v>43675</v>
      </c>
      <c r="C488" t="s">
        <v>1381</v>
      </c>
      <c r="D488" s="5">
        <v>9.3800000000000008</v>
      </c>
      <c r="E488" t="s">
        <v>46</v>
      </c>
    </row>
    <row r="489" spans="1:5" x14ac:dyDescent="0.25">
      <c r="A489" t="s">
        <v>33</v>
      </c>
      <c r="B489" s="93">
        <v>43675</v>
      </c>
      <c r="C489" t="s">
        <v>1382</v>
      </c>
      <c r="D489" s="5">
        <v>26</v>
      </c>
      <c r="E489" t="s">
        <v>46</v>
      </c>
    </row>
    <row r="490" spans="1:5" x14ac:dyDescent="0.25">
      <c r="A490" t="s">
        <v>33</v>
      </c>
      <c r="B490" s="93">
        <v>43675</v>
      </c>
      <c r="C490" t="s">
        <v>1383</v>
      </c>
      <c r="D490" s="5">
        <v>4.2300000000000004</v>
      </c>
      <c r="E490" t="s">
        <v>46</v>
      </c>
    </row>
    <row r="491" spans="1:5" x14ac:dyDescent="0.25">
      <c r="A491" t="s">
        <v>33</v>
      </c>
      <c r="B491" s="93">
        <v>43675</v>
      </c>
      <c r="C491" t="s">
        <v>1384</v>
      </c>
      <c r="D491" s="5">
        <v>5.99</v>
      </c>
      <c r="E491" t="s">
        <v>46</v>
      </c>
    </row>
    <row r="492" spans="1:5" x14ac:dyDescent="0.25">
      <c r="A492" t="s">
        <v>33</v>
      </c>
      <c r="B492" s="93">
        <v>43675</v>
      </c>
      <c r="C492" t="s">
        <v>1385</v>
      </c>
      <c r="D492" s="5">
        <v>43.02</v>
      </c>
      <c r="E492" t="s">
        <v>46</v>
      </c>
    </row>
    <row r="493" spans="1:5" x14ac:dyDescent="0.25">
      <c r="A493" t="s">
        <v>33</v>
      </c>
      <c r="B493" s="93">
        <v>43675</v>
      </c>
      <c r="C493" t="s">
        <v>1386</v>
      </c>
      <c r="D493" s="5">
        <v>5</v>
      </c>
      <c r="E493" t="s">
        <v>46</v>
      </c>
    </row>
    <row r="494" spans="1:5" x14ac:dyDescent="0.25">
      <c r="A494" t="s">
        <v>33</v>
      </c>
      <c r="B494" s="93">
        <v>43675</v>
      </c>
      <c r="C494" t="s">
        <v>1387</v>
      </c>
      <c r="D494" s="5">
        <v>43.95</v>
      </c>
      <c r="E494" t="s">
        <v>58</v>
      </c>
    </row>
    <row r="495" spans="1:5" x14ac:dyDescent="0.25">
      <c r="A495" t="s">
        <v>33</v>
      </c>
      <c r="B495" s="93">
        <v>43675</v>
      </c>
      <c r="C495" t="s">
        <v>1388</v>
      </c>
      <c r="D495" s="5">
        <v>30</v>
      </c>
      <c r="E495" t="s">
        <v>46</v>
      </c>
    </row>
    <row r="496" spans="1:5" x14ac:dyDescent="0.25">
      <c r="A496" t="s">
        <v>33</v>
      </c>
      <c r="B496" s="93">
        <v>43675</v>
      </c>
      <c r="C496" t="s">
        <v>1389</v>
      </c>
      <c r="D496" s="5">
        <v>33.82</v>
      </c>
      <c r="E496" t="s">
        <v>46</v>
      </c>
    </row>
    <row r="497" spans="1:5" x14ac:dyDescent="0.25">
      <c r="A497" t="s">
        <v>33</v>
      </c>
      <c r="B497" s="93">
        <v>43675</v>
      </c>
      <c r="C497" t="s">
        <v>1390</v>
      </c>
      <c r="D497" s="5">
        <v>4.2300000000000004</v>
      </c>
      <c r="E497" t="s">
        <v>46</v>
      </c>
    </row>
    <row r="498" spans="1:5" x14ac:dyDescent="0.25">
      <c r="A498" t="s">
        <v>33</v>
      </c>
      <c r="B498" s="93">
        <v>43675</v>
      </c>
      <c r="C498" t="s">
        <v>1391</v>
      </c>
      <c r="D498" s="5">
        <v>69</v>
      </c>
      <c r="E498" t="s">
        <v>46</v>
      </c>
    </row>
    <row r="499" spans="1:5" x14ac:dyDescent="0.25">
      <c r="A499" t="s">
        <v>33</v>
      </c>
      <c r="B499" s="93">
        <v>43675</v>
      </c>
      <c r="C499" t="s">
        <v>1392</v>
      </c>
      <c r="D499" s="5">
        <v>11.56</v>
      </c>
      <c r="E499" t="s">
        <v>46</v>
      </c>
    </row>
    <row r="500" spans="1:5" x14ac:dyDescent="0.25">
      <c r="A500" t="s">
        <v>49</v>
      </c>
      <c r="B500" s="93">
        <v>43675</v>
      </c>
      <c r="C500" t="s">
        <v>1393</v>
      </c>
      <c r="D500" s="5">
        <v>-3.95</v>
      </c>
      <c r="E500" t="s">
        <v>105</v>
      </c>
    </row>
    <row r="501" spans="1:5" x14ac:dyDescent="0.25">
      <c r="A501" t="s">
        <v>33</v>
      </c>
      <c r="B501" s="93">
        <v>43672</v>
      </c>
      <c r="C501" t="s">
        <v>1394</v>
      </c>
      <c r="D501" s="5">
        <v>20</v>
      </c>
      <c r="E501" t="s">
        <v>46</v>
      </c>
    </row>
    <row r="502" spans="1:5" x14ac:dyDescent="0.25">
      <c r="A502" t="s">
        <v>33</v>
      </c>
      <c r="B502" s="93">
        <v>43672</v>
      </c>
      <c r="C502" t="s">
        <v>1395</v>
      </c>
      <c r="D502" s="5">
        <v>7.58</v>
      </c>
      <c r="E502" t="s">
        <v>46</v>
      </c>
    </row>
    <row r="503" spans="1:5" x14ac:dyDescent="0.25">
      <c r="A503" t="s">
        <v>33</v>
      </c>
      <c r="B503" s="93">
        <v>43672</v>
      </c>
      <c r="C503" t="s">
        <v>1396</v>
      </c>
      <c r="D503" s="5">
        <v>24.84</v>
      </c>
      <c r="E503" t="s">
        <v>46</v>
      </c>
    </row>
    <row r="504" spans="1:5" x14ac:dyDescent="0.25">
      <c r="A504" t="s">
        <v>49</v>
      </c>
      <c r="B504" s="93">
        <v>43672</v>
      </c>
      <c r="C504" t="s">
        <v>1788</v>
      </c>
      <c r="D504" s="5">
        <v>-3485.05</v>
      </c>
      <c r="E504" t="s">
        <v>51</v>
      </c>
    </row>
    <row r="505" spans="1:5" x14ac:dyDescent="0.25">
      <c r="A505" t="s">
        <v>33</v>
      </c>
      <c r="B505" s="93">
        <v>43671</v>
      </c>
      <c r="C505" t="s">
        <v>1397</v>
      </c>
      <c r="D505" s="5">
        <v>18.27</v>
      </c>
      <c r="E505" t="s">
        <v>46</v>
      </c>
    </row>
    <row r="506" spans="1:5" x14ac:dyDescent="0.25">
      <c r="A506" t="s">
        <v>33</v>
      </c>
      <c r="B506" s="93">
        <v>43671</v>
      </c>
      <c r="C506" t="s">
        <v>1398</v>
      </c>
      <c r="D506" s="5">
        <v>15.52</v>
      </c>
      <c r="E506" t="s">
        <v>46</v>
      </c>
    </row>
    <row r="507" spans="1:5" x14ac:dyDescent="0.25">
      <c r="A507" t="s">
        <v>33</v>
      </c>
      <c r="B507" s="93">
        <v>43671</v>
      </c>
      <c r="C507" t="s">
        <v>1399</v>
      </c>
      <c r="D507" s="5">
        <v>13.99</v>
      </c>
      <c r="E507" t="s">
        <v>46</v>
      </c>
    </row>
    <row r="508" spans="1:5" x14ac:dyDescent="0.25">
      <c r="A508" t="s">
        <v>33</v>
      </c>
      <c r="B508" s="93">
        <v>43671</v>
      </c>
      <c r="C508" t="s">
        <v>1400</v>
      </c>
      <c r="D508" s="5">
        <v>4.7699999999999996</v>
      </c>
      <c r="E508" t="s">
        <v>46</v>
      </c>
    </row>
    <row r="509" spans="1:5" x14ac:dyDescent="0.25">
      <c r="A509" t="s">
        <v>33</v>
      </c>
      <c r="B509" s="93">
        <v>43670</v>
      </c>
      <c r="C509" t="s">
        <v>1401</v>
      </c>
      <c r="D509" s="5">
        <v>0.99</v>
      </c>
      <c r="E509" t="s">
        <v>46</v>
      </c>
    </row>
    <row r="510" spans="1:5" x14ac:dyDescent="0.25">
      <c r="A510" t="s">
        <v>33</v>
      </c>
      <c r="B510" s="93">
        <v>43670</v>
      </c>
      <c r="C510" t="s">
        <v>1402</v>
      </c>
      <c r="D510" s="5">
        <v>97.76</v>
      </c>
      <c r="E510" t="s">
        <v>46</v>
      </c>
    </row>
    <row r="511" spans="1:5" x14ac:dyDescent="0.25">
      <c r="A511" t="s">
        <v>33</v>
      </c>
      <c r="B511" s="93">
        <v>43669</v>
      </c>
      <c r="C511" t="s">
        <v>1403</v>
      </c>
      <c r="D511" s="5">
        <v>14.76</v>
      </c>
      <c r="E511" t="s">
        <v>46</v>
      </c>
    </row>
    <row r="512" spans="1:5" x14ac:dyDescent="0.25">
      <c r="A512" t="s">
        <v>33</v>
      </c>
      <c r="B512" s="93">
        <v>43669</v>
      </c>
      <c r="C512" t="s">
        <v>1404</v>
      </c>
      <c r="D512" s="5">
        <v>90.62</v>
      </c>
      <c r="E512" t="s">
        <v>46</v>
      </c>
    </row>
    <row r="513" spans="1:5" x14ac:dyDescent="0.25">
      <c r="A513" t="s">
        <v>33</v>
      </c>
      <c r="B513" s="93">
        <v>43669</v>
      </c>
      <c r="C513" t="s">
        <v>1404</v>
      </c>
      <c r="D513" s="5">
        <v>10</v>
      </c>
      <c r="E513" t="s">
        <v>46</v>
      </c>
    </row>
    <row r="514" spans="1:5" x14ac:dyDescent="0.25">
      <c r="A514" t="s">
        <v>33</v>
      </c>
      <c r="B514" s="93">
        <v>43669</v>
      </c>
      <c r="C514" t="s">
        <v>1405</v>
      </c>
      <c r="D514" s="5">
        <v>1.36</v>
      </c>
      <c r="E514" t="s">
        <v>46</v>
      </c>
    </row>
    <row r="515" spans="1:5" x14ac:dyDescent="0.25">
      <c r="A515" t="s">
        <v>33</v>
      </c>
      <c r="B515" s="93">
        <v>43669</v>
      </c>
      <c r="C515" t="s">
        <v>1406</v>
      </c>
      <c r="D515" s="5">
        <v>29.9</v>
      </c>
      <c r="E515" t="s">
        <v>46</v>
      </c>
    </row>
    <row r="516" spans="1:5" x14ac:dyDescent="0.25">
      <c r="A516" t="s">
        <v>33</v>
      </c>
      <c r="B516" s="93">
        <v>43668</v>
      </c>
      <c r="C516" t="s">
        <v>1407</v>
      </c>
      <c r="D516" s="5">
        <v>23.61</v>
      </c>
      <c r="E516" t="s">
        <v>46</v>
      </c>
    </row>
    <row r="517" spans="1:5" x14ac:dyDescent="0.25">
      <c r="A517" t="s">
        <v>33</v>
      </c>
      <c r="B517" s="93">
        <v>43668</v>
      </c>
      <c r="C517" t="s">
        <v>1408</v>
      </c>
      <c r="D517" s="5">
        <v>27.45</v>
      </c>
      <c r="E517" t="s">
        <v>46</v>
      </c>
    </row>
    <row r="518" spans="1:5" x14ac:dyDescent="0.25">
      <c r="A518" t="s">
        <v>33</v>
      </c>
      <c r="B518" s="93">
        <v>43668</v>
      </c>
      <c r="C518" t="s">
        <v>1409</v>
      </c>
      <c r="D518" s="5">
        <v>17.11</v>
      </c>
      <c r="E518" t="s">
        <v>46</v>
      </c>
    </row>
    <row r="519" spans="1:5" x14ac:dyDescent="0.25">
      <c r="A519" t="s">
        <v>33</v>
      </c>
      <c r="B519" s="93">
        <v>43668</v>
      </c>
      <c r="C519" t="s">
        <v>1410</v>
      </c>
      <c r="D519" s="5">
        <v>21.39</v>
      </c>
      <c r="E519" t="s">
        <v>46</v>
      </c>
    </row>
    <row r="520" spans="1:5" x14ac:dyDescent="0.25">
      <c r="A520" t="s">
        <v>33</v>
      </c>
      <c r="B520" s="93">
        <v>43668</v>
      </c>
      <c r="C520" t="s">
        <v>1411</v>
      </c>
      <c r="D520" s="5">
        <v>4.2300000000000004</v>
      </c>
      <c r="E520" t="s">
        <v>46</v>
      </c>
    </row>
    <row r="521" spans="1:5" x14ac:dyDescent="0.25">
      <c r="A521" t="s">
        <v>33</v>
      </c>
      <c r="B521" s="93">
        <v>43668</v>
      </c>
      <c r="C521" t="s">
        <v>1412</v>
      </c>
      <c r="D521" s="5">
        <v>2.68</v>
      </c>
      <c r="E521" t="s">
        <v>46</v>
      </c>
    </row>
    <row r="522" spans="1:5" x14ac:dyDescent="0.25">
      <c r="A522" t="s">
        <v>33</v>
      </c>
      <c r="B522" s="93">
        <v>43668</v>
      </c>
      <c r="C522" t="s">
        <v>1413</v>
      </c>
      <c r="D522" s="5">
        <v>27.22</v>
      </c>
      <c r="E522" t="s">
        <v>46</v>
      </c>
    </row>
    <row r="523" spans="1:5" x14ac:dyDescent="0.25">
      <c r="A523" t="s">
        <v>33</v>
      </c>
      <c r="B523" s="93">
        <v>43668</v>
      </c>
      <c r="C523" t="s">
        <v>1414</v>
      </c>
      <c r="D523" s="5">
        <v>25.03</v>
      </c>
      <c r="E523" t="s">
        <v>46</v>
      </c>
    </row>
    <row r="524" spans="1:5" x14ac:dyDescent="0.25">
      <c r="A524" t="s">
        <v>33</v>
      </c>
      <c r="B524" s="93">
        <v>43668</v>
      </c>
      <c r="C524" t="s">
        <v>1415</v>
      </c>
      <c r="D524" s="5">
        <v>80</v>
      </c>
      <c r="E524" t="s">
        <v>58</v>
      </c>
    </row>
    <row r="525" spans="1:5" x14ac:dyDescent="0.25">
      <c r="A525" t="s">
        <v>33</v>
      </c>
      <c r="B525" s="93">
        <v>43668</v>
      </c>
      <c r="C525" t="s">
        <v>1416</v>
      </c>
      <c r="D525" s="5">
        <v>4.2300000000000004</v>
      </c>
      <c r="E525" t="s">
        <v>46</v>
      </c>
    </row>
    <row r="526" spans="1:5" x14ac:dyDescent="0.25">
      <c r="A526" t="s">
        <v>33</v>
      </c>
      <c r="B526" s="93">
        <v>43668</v>
      </c>
      <c r="C526" t="s">
        <v>1417</v>
      </c>
      <c r="D526" s="5">
        <v>5.57</v>
      </c>
      <c r="E526" t="s">
        <v>46</v>
      </c>
    </row>
    <row r="527" spans="1:5" x14ac:dyDescent="0.25">
      <c r="A527" t="s">
        <v>33</v>
      </c>
      <c r="B527" s="93">
        <v>43668</v>
      </c>
      <c r="C527" t="s">
        <v>1418</v>
      </c>
      <c r="D527" s="5">
        <v>3</v>
      </c>
      <c r="E527" t="s">
        <v>46</v>
      </c>
    </row>
    <row r="528" spans="1:5" x14ac:dyDescent="0.25">
      <c r="A528" t="s">
        <v>33</v>
      </c>
      <c r="B528" s="93">
        <v>43668</v>
      </c>
      <c r="C528" t="s">
        <v>1419</v>
      </c>
      <c r="D528" s="5">
        <v>86.25</v>
      </c>
      <c r="E528" t="s">
        <v>46</v>
      </c>
    </row>
    <row r="529" spans="1:5" x14ac:dyDescent="0.25">
      <c r="A529" t="s">
        <v>33</v>
      </c>
      <c r="B529" s="93">
        <v>43668</v>
      </c>
      <c r="C529" t="s">
        <v>1418</v>
      </c>
      <c r="D529" s="5">
        <v>9</v>
      </c>
      <c r="E529" t="s">
        <v>46</v>
      </c>
    </row>
    <row r="530" spans="1:5" x14ac:dyDescent="0.25">
      <c r="A530" t="s">
        <v>33</v>
      </c>
      <c r="B530" s="93">
        <v>43668</v>
      </c>
      <c r="C530" t="s">
        <v>1420</v>
      </c>
      <c r="D530" s="5">
        <v>165</v>
      </c>
      <c r="E530" t="s">
        <v>46</v>
      </c>
    </row>
    <row r="531" spans="1:5" x14ac:dyDescent="0.25">
      <c r="A531" t="s">
        <v>33</v>
      </c>
      <c r="B531" s="93">
        <v>43664</v>
      </c>
      <c r="C531" t="s">
        <v>1421</v>
      </c>
      <c r="D531" s="5">
        <v>2.68</v>
      </c>
      <c r="E531" t="s">
        <v>46</v>
      </c>
    </row>
    <row r="532" spans="1:5" x14ac:dyDescent="0.25">
      <c r="A532" t="s">
        <v>33</v>
      </c>
      <c r="B532" s="93">
        <v>43664</v>
      </c>
      <c r="C532" t="s">
        <v>1422</v>
      </c>
      <c r="D532" s="5">
        <v>10.47</v>
      </c>
      <c r="E532" t="s">
        <v>46</v>
      </c>
    </row>
    <row r="533" spans="1:5" x14ac:dyDescent="0.25">
      <c r="A533" t="s">
        <v>33</v>
      </c>
      <c r="B533" s="93">
        <v>43664</v>
      </c>
      <c r="C533" t="s">
        <v>1423</v>
      </c>
      <c r="D533" s="5">
        <v>5.49</v>
      </c>
      <c r="E533" t="s">
        <v>46</v>
      </c>
    </row>
    <row r="534" spans="1:5" x14ac:dyDescent="0.25">
      <c r="A534" t="s">
        <v>33</v>
      </c>
      <c r="B534" s="93">
        <v>43664</v>
      </c>
      <c r="C534" t="s">
        <v>1424</v>
      </c>
      <c r="D534" s="5">
        <v>33.82</v>
      </c>
      <c r="E534" t="s">
        <v>46</v>
      </c>
    </row>
    <row r="535" spans="1:5" x14ac:dyDescent="0.25">
      <c r="A535" t="s">
        <v>33</v>
      </c>
      <c r="B535" s="93">
        <v>43663</v>
      </c>
      <c r="C535" t="s">
        <v>1425</v>
      </c>
      <c r="D535" s="5">
        <v>2.68</v>
      </c>
      <c r="E535" t="s">
        <v>46</v>
      </c>
    </row>
    <row r="536" spans="1:5" x14ac:dyDescent="0.25">
      <c r="A536" t="s">
        <v>33</v>
      </c>
      <c r="B536" s="93">
        <v>43663</v>
      </c>
      <c r="C536" t="s">
        <v>1426</v>
      </c>
      <c r="D536" s="5">
        <v>10.39</v>
      </c>
      <c r="E536" t="s">
        <v>46</v>
      </c>
    </row>
    <row r="537" spans="1:5" x14ac:dyDescent="0.25">
      <c r="A537" t="s">
        <v>33</v>
      </c>
      <c r="B537" s="93">
        <v>43663</v>
      </c>
      <c r="C537" t="s">
        <v>1427</v>
      </c>
      <c r="D537" s="5">
        <v>30</v>
      </c>
      <c r="E537" t="s">
        <v>46</v>
      </c>
    </row>
    <row r="538" spans="1:5" x14ac:dyDescent="0.25">
      <c r="A538" t="s">
        <v>33</v>
      </c>
      <c r="B538" s="93">
        <v>43662</v>
      </c>
      <c r="C538" t="s">
        <v>1428</v>
      </c>
      <c r="D538" s="5">
        <v>4.2300000000000004</v>
      </c>
      <c r="E538" t="s">
        <v>46</v>
      </c>
    </row>
    <row r="539" spans="1:5" x14ac:dyDescent="0.25">
      <c r="A539" t="s">
        <v>33</v>
      </c>
      <c r="B539" s="93">
        <v>43662</v>
      </c>
      <c r="C539" t="s">
        <v>1429</v>
      </c>
      <c r="D539" s="5">
        <v>18.8</v>
      </c>
      <c r="E539" t="s">
        <v>46</v>
      </c>
    </row>
    <row r="540" spans="1:5" x14ac:dyDescent="0.25">
      <c r="A540" t="s">
        <v>33</v>
      </c>
      <c r="B540" s="93">
        <v>43662</v>
      </c>
      <c r="C540" t="s">
        <v>1430</v>
      </c>
      <c r="D540" s="5">
        <v>6.18</v>
      </c>
      <c r="E540" t="s">
        <v>46</v>
      </c>
    </row>
    <row r="541" spans="1:5" x14ac:dyDescent="0.25">
      <c r="A541" t="s">
        <v>33</v>
      </c>
      <c r="B541" s="93">
        <v>43661</v>
      </c>
      <c r="C541" t="s">
        <v>1431</v>
      </c>
      <c r="D541" s="5">
        <v>36.64</v>
      </c>
      <c r="E541" t="s">
        <v>46</v>
      </c>
    </row>
    <row r="542" spans="1:5" x14ac:dyDescent="0.25">
      <c r="A542" t="s">
        <v>33</v>
      </c>
      <c r="B542" s="93">
        <v>43661</v>
      </c>
      <c r="C542" t="s">
        <v>1432</v>
      </c>
      <c r="D542" s="5">
        <v>4.2300000000000004</v>
      </c>
      <c r="E542" t="s">
        <v>46</v>
      </c>
    </row>
    <row r="543" spans="1:5" x14ac:dyDescent="0.25">
      <c r="A543" t="s">
        <v>33</v>
      </c>
      <c r="B543" s="93">
        <v>43661</v>
      </c>
      <c r="C543" t="s">
        <v>1789</v>
      </c>
      <c r="D543" s="5">
        <v>2000</v>
      </c>
      <c r="E543" t="s">
        <v>128</v>
      </c>
    </row>
    <row r="544" spans="1:5" x14ac:dyDescent="0.25">
      <c r="A544" t="s">
        <v>33</v>
      </c>
      <c r="B544" s="93">
        <v>43661</v>
      </c>
      <c r="C544" t="s">
        <v>456</v>
      </c>
      <c r="D544" s="5">
        <v>23</v>
      </c>
      <c r="E544" t="s">
        <v>46</v>
      </c>
    </row>
    <row r="545" spans="1:5" x14ac:dyDescent="0.25">
      <c r="A545" t="s">
        <v>33</v>
      </c>
      <c r="B545" s="93">
        <v>43661</v>
      </c>
      <c r="C545" t="s">
        <v>1790</v>
      </c>
      <c r="D545" s="5">
        <v>8.11</v>
      </c>
      <c r="E545" t="s">
        <v>46</v>
      </c>
    </row>
    <row r="546" spans="1:5" x14ac:dyDescent="0.25">
      <c r="A546" t="s">
        <v>33</v>
      </c>
      <c r="B546" s="93">
        <v>43661</v>
      </c>
      <c r="C546" t="s">
        <v>1791</v>
      </c>
      <c r="D546" s="5">
        <v>37.4</v>
      </c>
      <c r="E546" t="s">
        <v>46</v>
      </c>
    </row>
    <row r="547" spans="1:5" x14ac:dyDescent="0.25">
      <c r="A547" t="s">
        <v>33</v>
      </c>
      <c r="B547" s="93">
        <v>43661</v>
      </c>
      <c r="C547" t="s">
        <v>1792</v>
      </c>
      <c r="D547" s="5">
        <v>2.68</v>
      </c>
      <c r="E547" t="s">
        <v>46</v>
      </c>
    </row>
    <row r="548" spans="1:5" x14ac:dyDescent="0.25">
      <c r="A548" t="s">
        <v>33</v>
      </c>
      <c r="B548" s="93">
        <v>43661</v>
      </c>
      <c r="C548" t="s">
        <v>1793</v>
      </c>
      <c r="D548" s="5">
        <v>6.42</v>
      </c>
      <c r="E548" t="s">
        <v>46</v>
      </c>
    </row>
    <row r="549" spans="1:5" x14ac:dyDescent="0.25">
      <c r="A549" t="s">
        <v>33</v>
      </c>
      <c r="B549" s="93">
        <v>43661</v>
      </c>
      <c r="C549" t="s">
        <v>1794</v>
      </c>
      <c r="D549" s="5">
        <v>4.2300000000000004</v>
      </c>
      <c r="E549" t="s">
        <v>46</v>
      </c>
    </row>
    <row r="550" spans="1:5" x14ac:dyDescent="0.25">
      <c r="A550" t="s">
        <v>33</v>
      </c>
      <c r="B550" s="93">
        <v>43661</v>
      </c>
      <c r="C550" t="s">
        <v>1795</v>
      </c>
      <c r="D550" s="5">
        <v>9.74</v>
      </c>
      <c r="E550" t="s">
        <v>46</v>
      </c>
    </row>
    <row r="551" spans="1:5" x14ac:dyDescent="0.25">
      <c r="A551" t="s">
        <v>33</v>
      </c>
      <c r="B551" s="93">
        <v>43661</v>
      </c>
      <c r="C551" t="s">
        <v>1796</v>
      </c>
      <c r="D551" s="5">
        <v>8.1300000000000008</v>
      </c>
      <c r="E551" t="s">
        <v>46</v>
      </c>
    </row>
    <row r="552" spans="1:5" x14ac:dyDescent="0.25">
      <c r="A552" t="s">
        <v>33</v>
      </c>
      <c r="B552" s="93">
        <v>43661</v>
      </c>
      <c r="C552" t="s">
        <v>1797</v>
      </c>
      <c r="D552" s="5">
        <v>25.33</v>
      </c>
      <c r="E552" t="s">
        <v>46</v>
      </c>
    </row>
    <row r="553" spans="1:5" x14ac:dyDescent="0.25">
      <c r="A553" t="s">
        <v>33</v>
      </c>
      <c r="B553" s="93">
        <v>43661</v>
      </c>
      <c r="C553" t="s">
        <v>1798</v>
      </c>
      <c r="D553" s="5">
        <v>40</v>
      </c>
      <c r="E553" t="s">
        <v>58</v>
      </c>
    </row>
    <row r="554" spans="1:5" x14ac:dyDescent="0.25">
      <c r="A554" t="s">
        <v>33</v>
      </c>
      <c r="B554" s="93">
        <v>43661</v>
      </c>
      <c r="C554" t="s">
        <v>1799</v>
      </c>
      <c r="D554" s="5">
        <v>77.63</v>
      </c>
      <c r="E554" t="s">
        <v>46</v>
      </c>
    </row>
    <row r="555" spans="1:5" x14ac:dyDescent="0.25">
      <c r="A555" t="s">
        <v>33</v>
      </c>
      <c r="B555" s="93">
        <v>43661</v>
      </c>
      <c r="C555" t="s">
        <v>1800</v>
      </c>
      <c r="D555" s="5">
        <v>32.770000000000003</v>
      </c>
      <c r="E555" t="s">
        <v>46</v>
      </c>
    </row>
    <row r="556" spans="1:5" x14ac:dyDescent="0.25">
      <c r="A556" t="s">
        <v>33</v>
      </c>
      <c r="B556" s="93">
        <v>43661</v>
      </c>
      <c r="C556" t="s">
        <v>1801</v>
      </c>
      <c r="D556" s="5">
        <v>2.68</v>
      </c>
      <c r="E556" t="s">
        <v>46</v>
      </c>
    </row>
    <row r="557" spans="1:5" x14ac:dyDescent="0.25">
      <c r="A557" t="s">
        <v>33</v>
      </c>
      <c r="B557" s="93">
        <v>43661</v>
      </c>
      <c r="C557" t="s">
        <v>1802</v>
      </c>
      <c r="D557" s="5">
        <v>22.25</v>
      </c>
      <c r="E557" t="s">
        <v>46</v>
      </c>
    </row>
    <row r="558" spans="1:5" x14ac:dyDescent="0.25">
      <c r="A558" t="s">
        <v>33</v>
      </c>
      <c r="B558" s="93">
        <v>43658</v>
      </c>
      <c r="C558" t="s">
        <v>1277</v>
      </c>
      <c r="D558" s="5">
        <v>119.06</v>
      </c>
      <c r="E558" t="s">
        <v>46</v>
      </c>
    </row>
    <row r="559" spans="1:5" x14ac:dyDescent="0.25">
      <c r="A559" t="s">
        <v>49</v>
      </c>
      <c r="B559" s="93">
        <v>43658</v>
      </c>
      <c r="C559" t="s">
        <v>50</v>
      </c>
      <c r="D559" s="5">
        <v>-3485.06</v>
      </c>
      <c r="E559" t="s">
        <v>51</v>
      </c>
    </row>
    <row r="560" spans="1:5" x14ac:dyDescent="0.25">
      <c r="A560" t="s">
        <v>33</v>
      </c>
      <c r="B560" s="93">
        <v>43657</v>
      </c>
      <c r="C560" t="s">
        <v>1278</v>
      </c>
      <c r="D560" s="5">
        <v>14.29</v>
      </c>
      <c r="E560" t="s">
        <v>46</v>
      </c>
    </row>
    <row r="561" spans="1:5" x14ac:dyDescent="0.25">
      <c r="A561" t="s">
        <v>33</v>
      </c>
      <c r="B561" s="93">
        <v>43657</v>
      </c>
      <c r="C561" t="s">
        <v>1279</v>
      </c>
      <c r="D561" s="5">
        <v>27.42</v>
      </c>
      <c r="E561" t="s">
        <v>46</v>
      </c>
    </row>
    <row r="562" spans="1:5" x14ac:dyDescent="0.25">
      <c r="A562" t="s">
        <v>33</v>
      </c>
      <c r="B562" s="93">
        <v>43657</v>
      </c>
      <c r="C562" t="s">
        <v>1280</v>
      </c>
      <c r="D562" s="5">
        <v>15.55</v>
      </c>
      <c r="E562" t="s">
        <v>46</v>
      </c>
    </row>
    <row r="563" spans="1:5" x14ac:dyDescent="0.25">
      <c r="A563" t="s">
        <v>33</v>
      </c>
      <c r="B563" s="93">
        <v>43657</v>
      </c>
      <c r="C563" t="s">
        <v>1281</v>
      </c>
      <c r="D563" s="5">
        <v>27.03</v>
      </c>
      <c r="E563" t="s">
        <v>46</v>
      </c>
    </row>
    <row r="564" spans="1:5" x14ac:dyDescent="0.25">
      <c r="A564" t="s">
        <v>33</v>
      </c>
      <c r="B564" s="93">
        <v>43657</v>
      </c>
      <c r="C564" t="s">
        <v>1282</v>
      </c>
      <c r="D564" s="5">
        <v>8.2200000000000006</v>
      </c>
      <c r="E564" t="s">
        <v>46</v>
      </c>
    </row>
    <row r="565" spans="1:5" x14ac:dyDescent="0.25">
      <c r="A565" t="s">
        <v>33</v>
      </c>
      <c r="B565" s="93">
        <v>43657</v>
      </c>
      <c r="C565" t="s">
        <v>1283</v>
      </c>
      <c r="D565" s="5">
        <v>35.96</v>
      </c>
      <c r="E565" t="s">
        <v>46</v>
      </c>
    </row>
    <row r="566" spans="1:5" x14ac:dyDescent="0.25">
      <c r="A566" t="s">
        <v>33</v>
      </c>
      <c r="B566" s="93">
        <v>43656</v>
      </c>
      <c r="C566" t="s">
        <v>1220</v>
      </c>
      <c r="D566" s="5">
        <v>8.3699999999999992</v>
      </c>
      <c r="E566" t="s">
        <v>46</v>
      </c>
    </row>
    <row r="567" spans="1:5" x14ac:dyDescent="0.25">
      <c r="A567" t="s">
        <v>33</v>
      </c>
      <c r="B567" s="93">
        <v>43656</v>
      </c>
      <c r="C567" t="s">
        <v>1221</v>
      </c>
      <c r="D567" s="5">
        <v>5.67</v>
      </c>
      <c r="E567" t="s">
        <v>46</v>
      </c>
    </row>
    <row r="568" spans="1:5" x14ac:dyDescent="0.25">
      <c r="A568" t="s">
        <v>33</v>
      </c>
      <c r="B568" s="93">
        <v>43656</v>
      </c>
      <c r="C568" t="s">
        <v>1222</v>
      </c>
      <c r="D568" s="5">
        <v>20.05</v>
      </c>
      <c r="E568" t="s">
        <v>46</v>
      </c>
    </row>
    <row r="569" spans="1:5" x14ac:dyDescent="0.25">
      <c r="A569" t="s">
        <v>33</v>
      </c>
      <c r="B569" s="93">
        <v>43655</v>
      </c>
      <c r="C569" t="s">
        <v>1223</v>
      </c>
      <c r="D569" s="5">
        <v>12.57</v>
      </c>
      <c r="E569" t="s">
        <v>46</v>
      </c>
    </row>
    <row r="570" spans="1:5" x14ac:dyDescent="0.25">
      <c r="A570" t="s">
        <v>33</v>
      </c>
      <c r="B570" s="93">
        <v>43655</v>
      </c>
      <c r="C570" t="s">
        <v>1224</v>
      </c>
      <c r="D570" s="5">
        <v>10.42</v>
      </c>
      <c r="E570" t="s">
        <v>46</v>
      </c>
    </row>
    <row r="571" spans="1:5" x14ac:dyDescent="0.25">
      <c r="A571" t="s">
        <v>33</v>
      </c>
      <c r="B571" s="93">
        <v>43655</v>
      </c>
      <c r="C571" t="s">
        <v>1225</v>
      </c>
      <c r="D571" s="5">
        <v>24.86</v>
      </c>
      <c r="E571" t="s">
        <v>46</v>
      </c>
    </row>
    <row r="572" spans="1:5" x14ac:dyDescent="0.25">
      <c r="A572" t="s">
        <v>33</v>
      </c>
      <c r="B572" s="93">
        <v>43654</v>
      </c>
      <c r="C572" t="s">
        <v>724</v>
      </c>
      <c r="D572" s="5">
        <v>91.28</v>
      </c>
      <c r="E572" t="s">
        <v>107</v>
      </c>
    </row>
    <row r="573" spans="1:5" x14ac:dyDescent="0.25">
      <c r="A573" t="s">
        <v>33</v>
      </c>
      <c r="B573" s="93">
        <v>43654</v>
      </c>
      <c r="C573" t="s">
        <v>1226</v>
      </c>
      <c r="D573" s="5">
        <v>18.489999999999998</v>
      </c>
      <c r="E573" t="s">
        <v>46</v>
      </c>
    </row>
    <row r="574" spans="1:5" x14ac:dyDescent="0.25">
      <c r="A574" t="s">
        <v>33</v>
      </c>
      <c r="B574" s="93">
        <v>43654</v>
      </c>
      <c r="C574" t="s">
        <v>1227</v>
      </c>
      <c r="D574" s="5">
        <v>9.4499999999999993</v>
      </c>
      <c r="E574" t="s">
        <v>46</v>
      </c>
    </row>
    <row r="575" spans="1:5" x14ac:dyDescent="0.25">
      <c r="A575" t="s">
        <v>33</v>
      </c>
      <c r="B575" s="93">
        <v>43654</v>
      </c>
      <c r="C575" t="s">
        <v>1228</v>
      </c>
      <c r="D575" s="5">
        <v>4.2300000000000004</v>
      </c>
      <c r="E575" t="s">
        <v>46</v>
      </c>
    </row>
    <row r="576" spans="1:5" x14ac:dyDescent="0.25">
      <c r="A576" t="s">
        <v>33</v>
      </c>
      <c r="B576" s="93">
        <v>43654</v>
      </c>
      <c r="C576" t="s">
        <v>1229</v>
      </c>
      <c r="D576" s="5">
        <v>6.51</v>
      </c>
      <c r="E576" t="s">
        <v>46</v>
      </c>
    </row>
    <row r="577" spans="1:5" x14ac:dyDescent="0.25">
      <c r="A577" t="s">
        <v>33</v>
      </c>
      <c r="B577" s="93">
        <v>43654</v>
      </c>
      <c r="C577" t="s">
        <v>1230</v>
      </c>
      <c r="D577" s="5">
        <v>4.2300000000000004</v>
      </c>
      <c r="E577" t="s">
        <v>46</v>
      </c>
    </row>
    <row r="578" spans="1:5" x14ac:dyDescent="0.25">
      <c r="A578" t="s">
        <v>33</v>
      </c>
      <c r="B578" s="93">
        <v>43654</v>
      </c>
      <c r="C578" t="s">
        <v>1231</v>
      </c>
      <c r="D578" s="5">
        <v>1.29</v>
      </c>
      <c r="E578" t="s">
        <v>46</v>
      </c>
    </row>
    <row r="579" spans="1:5" x14ac:dyDescent="0.25">
      <c r="A579" t="s">
        <v>33</v>
      </c>
      <c r="B579" s="93">
        <v>43651</v>
      </c>
      <c r="C579" t="s">
        <v>364</v>
      </c>
      <c r="D579" s="5">
        <v>299</v>
      </c>
      <c r="E579" t="s">
        <v>107</v>
      </c>
    </row>
    <row r="580" spans="1:5" x14ac:dyDescent="0.25">
      <c r="A580" t="s">
        <v>33</v>
      </c>
      <c r="B580" s="93">
        <v>43651</v>
      </c>
      <c r="C580" t="s">
        <v>1232</v>
      </c>
      <c r="D580" s="5">
        <v>19.8</v>
      </c>
      <c r="E580" t="s">
        <v>46</v>
      </c>
    </row>
    <row r="581" spans="1:5" x14ac:dyDescent="0.25">
      <c r="A581" t="s">
        <v>33</v>
      </c>
      <c r="B581" s="93">
        <v>43651</v>
      </c>
      <c r="C581" t="s">
        <v>1233</v>
      </c>
      <c r="D581" s="5">
        <v>2.66</v>
      </c>
      <c r="E581" t="s">
        <v>46</v>
      </c>
    </row>
    <row r="582" spans="1:5" x14ac:dyDescent="0.25">
      <c r="A582" t="s">
        <v>33</v>
      </c>
      <c r="B582" s="93">
        <v>43651</v>
      </c>
      <c r="C582" t="s">
        <v>1234</v>
      </c>
      <c r="D582" s="5">
        <v>25.5</v>
      </c>
      <c r="E582" t="s">
        <v>46</v>
      </c>
    </row>
    <row r="583" spans="1:5" x14ac:dyDescent="0.25">
      <c r="A583" t="s">
        <v>33</v>
      </c>
      <c r="B583" s="93">
        <v>43651</v>
      </c>
      <c r="C583" t="s">
        <v>1235</v>
      </c>
      <c r="D583" s="5">
        <v>1250</v>
      </c>
      <c r="E583" t="s">
        <v>35</v>
      </c>
    </row>
    <row r="584" spans="1:5" x14ac:dyDescent="0.25">
      <c r="A584" t="s">
        <v>33</v>
      </c>
      <c r="B584" s="93">
        <v>43651</v>
      </c>
      <c r="C584" t="s">
        <v>1236</v>
      </c>
      <c r="D584" s="5">
        <v>11.62</v>
      </c>
      <c r="E584" t="s">
        <v>46</v>
      </c>
    </row>
    <row r="585" spans="1:5" x14ac:dyDescent="0.25">
      <c r="A585" t="s">
        <v>33</v>
      </c>
      <c r="B585" s="93">
        <v>43651</v>
      </c>
      <c r="C585" t="s">
        <v>1237</v>
      </c>
      <c r="D585" s="5">
        <v>57.42</v>
      </c>
      <c r="E585" t="s">
        <v>46</v>
      </c>
    </row>
    <row r="586" spans="1:5" x14ac:dyDescent="0.25">
      <c r="A586" t="s">
        <v>33</v>
      </c>
      <c r="B586" s="93">
        <v>43651</v>
      </c>
      <c r="C586" t="s">
        <v>1238</v>
      </c>
      <c r="D586" s="5">
        <v>44.19</v>
      </c>
      <c r="E586" t="s">
        <v>46</v>
      </c>
    </row>
    <row r="587" spans="1:5" x14ac:dyDescent="0.25">
      <c r="A587" t="s">
        <v>33</v>
      </c>
      <c r="B587" s="93">
        <v>43651</v>
      </c>
      <c r="C587" t="s">
        <v>1239</v>
      </c>
      <c r="D587" s="5">
        <v>2.25</v>
      </c>
      <c r="E587" t="s">
        <v>46</v>
      </c>
    </row>
    <row r="588" spans="1:5" x14ac:dyDescent="0.25">
      <c r="A588" t="s">
        <v>33</v>
      </c>
      <c r="B588" s="93">
        <v>43651</v>
      </c>
      <c r="C588" t="s">
        <v>1240</v>
      </c>
      <c r="D588" s="5">
        <v>3.85</v>
      </c>
      <c r="E588" t="s">
        <v>46</v>
      </c>
    </row>
    <row r="589" spans="1:5" x14ac:dyDescent="0.25">
      <c r="A589" t="s">
        <v>33</v>
      </c>
      <c r="B589" s="93">
        <v>43651</v>
      </c>
      <c r="C589" t="s">
        <v>1241</v>
      </c>
      <c r="D589" s="5">
        <v>13.84</v>
      </c>
      <c r="E589" t="s">
        <v>46</v>
      </c>
    </row>
    <row r="590" spans="1:5" x14ac:dyDescent="0.25">
      <c r="A590" t="s">
        <v>33</v>
      </c>
      <c r="B590" s="93">
        <v>43651</v>
      </c>
      <c r="C590" t="s">
        <v>1242</v>
      </c>
      <c r="D590" s="5">
        <v>201.68</v>
      </c>
      <c r="E590" t="s">
        <v>46</v>
      </c>
    </row>
    <row r="591" spans="1:5" x14ac:dyDescent="0.25">
      <c r="A591" t="s">
        <v>33</v>
      </c>
      <c r="B591" s="93">
        <v>43651</v>
      </c>
      <c r="C591" t="s">
        <v>1243</v>
      </c>
      <c r="D591" s="5">
        <v>23.19</v>
      </c>
      <c r="E591" t="s">
        <v>46</v>
      </c>
    </row>
    <row r="592" spans="1:5" x14ac:dyDescent="0.25">
      <c r="A592" t="s">
        <v>33</v>
      </c>
      <c r="B592" s="93">
        <v>43651</v>
      </c>
      <c r="C592" t="s">
        <v>1803</v>
      </c>
      <c r="D592" s="5">
        <v>175</v>
      </c>
      <c r="E592" t="s">
        <v>46</v>
      </c>
    </row>
    <row r="593" spans="1:5" x14ac:dyDescent="0.25">
      <c r="A593" t="s">
        <v>33</v>
      </c>
      <c r="B593" s="93">
        <v>43651</v>
      </c>
      <c r="C593" t="s">
        <v>1244</v>
      </c>
      <c r="D593" s="5">
        <v>66.709999999999994</v>
      </c>
      <c r="E593" t="s">
        <v>46</v>
      </c>
    </row>
    <row r="594" spans="1:5" x14ac:dyDescent="0.25">
      <c r="A594" t="s">
        <v>49</v>
      </c>
      <c r="B594" s="93">
        <v>43651</v>
      </c>
      <c r="C594" t="s">
        <v>1804</v>
      </c>
      <c r="D594" s="5">
        <v>-700</v>
      </c>
      <c r="E594" t="s">
        <v>128</v>
      </c>
    </row>
    <row r="595" spans="1:5" x14ac:dyDescent="0.25">
      <c r="A595" t="s">
        <v>33</v>
      </c>
      <c r="B595" s="93">
        <v>43649</v>
      </c>
      <c r="C595" t="s">
        <v>1245</v>
      </c>
      <c r="D595" s="5">
        <v>14.08</v>
      </c>
      <c r="E595" t="s">
        <v>46</v>
      </c>
    </row>
    <row r="596" spans="1:5" x14ac:dyDescent="0.25">
      <c r="A596" t="s">
        <v>33</v>
      </c>
      <c r="B596" s="93">
        <v>43649</v>
      </c>
      <c r="C596" t="s">
        <v>1246</v>
      </c>
      <c r="D596" s="5">
        <v>65</v>
      </c>
      <c r="E596" t="s">
        <v>46</v>
      </c>
    </row>
    <row r="597" spans="1:5" x14ac:dyDescent="0.25">
      <c r="A597" t="s">
        <v>33</v>
      </c>
      <c r="B597" s="93">
        <v>43649</v>
      </c>
      <c r="C597" t="s">
        <v>1247</v>
      </c>
      <c r="D597" s="5">
        <v>87.82</v>
      </c>
      <c r="E597" t="s">
        <v>46</v>
      </c>
    </row>
    <row r="598" spans="1:5" x14ac:dyDescent="0.25">
      <c r="A598" t="s">
        <v>33</v>
      </c>
      <c r="B598" s="93">
        <v>43649</v>
      </c>
      <c r="C598" t="s">
        <v>1248</v>
      </c>
      <c r="D598" s="5">
        <v>6.15</v>
      </c>
      <c r="E598" t="s">
        <v>46</v>
      </c>
    </row>
    <row r="599" spans="1:5" x14ac:dyDescent="0.25">
      <c r="A599" t="s">
        <v>33</v>
      </c>
      <c r="B599" s="93">
        <v>43649</v>
      </c>
      <c r="C599" t="s">
        <v>1249</v>
      </c>
      <c r="D599" s="5">
        <v>18.12</v>
      </c>
      <c r="E599" t="s">
        <v>46</v>
      </c>
    </row>
    <row r="600" spans="1:5" x14ac:dyDescent="0.25">
      <c r="A600" t="s">
        <v>33</v>
      </c>
      <c r="B600" s="93">
        <v>43648</v>
      </c>
      <c r="C600" t="s">
        <v>377</v>
      </c>
      <c r="D600" s="5">
        <v>832.24</v>
      </c>
      <c r="E600" t="s">
        <v>107</v>
      </c>
    </row>
    <row r="601" spans="1:5" x14ac:dyDescent="0.25">
      <c r="A601" t="s">
        <v>33</v>
      </c>
      <c r="B601" s="93">
        <v>43648</v>
      </c>
      <c r="C601" t="s">
        <v>1250</v>
      </c>
      <c r="D601" s="5">
        <v>37.46</v>
      </c>
      <c r="E601" t="s">
        <v>46</v>
      </c>
    </row>
    <row r="602" spans="1:5" x14ac:dyDescent="0.25">
      <c r="A602" t="s">
        <v>33</v>
      </c>
      <c r="B602" s="93">
        <v>43648</v>
      </c>
      <c r="C602" t="s">
        <v>1251</v>
      </c>
      <c r="D602" s="5">
        <v>7.41</v>
      </c>
      <c r="E602" t="s">
        <v>46</v>
      </c>
    </row>
    <row r="603" spans="1:5" x14ac:dyDescent="0.25">
      <c r="A603" t="s">
        <v>33</v>
      </c>
      <c r="B603" s="93">
        <v>43647</v>
      </c>
      <c r="C603" t="s">
        <v>1252</v>
      </c>
      <c r="D603" s="5">
        <v>21.39</v>
      </c>
      <c r="E603" t="s">
        <v>46</v>
      </c>
    </row>
    <row r="604" spans="1:5" x14ac:dyDescent="0.25">
      <c r="A604" t="s">
        <v>33</v>
      </c>
      <c r="B604" s="93">
        <v>43647</v>
      </c>
      <c r="C604" t="s">
        <v>662</v>
      </c>
      <c r="D604" s="5">
        <v>193</v>
      </c>
      <c r="E604" t="s">
        <v>107</v>
      </c>
    </row>
    <row r="605" spans="1:5" x14ac:dyDescent="0.25">
      <c r="A605" t="s">
        <v>33</v>
      </c>
      <c r="B605" s="93">
        <v>43647</v>
      </c>
      <c r="C605" t="s">
        <v>106</v>
      </c>
      <c r="D605" s="5">
        <v>437.54</v>
      </c>
      <c r="E605" t="s">
        <v>107</v>
      </c>
    </row>
    <row r="606" spans="1:5" x14ac:dyDescent="0.25">
      <c r="A606" t="s">
        <v>33</v>
      </c>
      <c r="B606" s="93">
        <v>43647</v>
      </c>
      <c r="C606" t="s">
        <v>1253</v>
      </c>
      <c r="D606" s="5">
        <v>5.15</v>
      </c>
      <c r="E606" t="s">
        <v>46</v>
      </c>
    </row>
    <row r="607" spans="1:5" x14ac:dyDescent="0.25">
      <c r="A607" t="s">
        <v>33</v>
      </c>
      <c r="B607" s="93">
        <v>43647</v>
      </c>
      <c r="C607" t="s">
        <v>1254</v>
      </c>
      <c r="D607" s="5">
        <v>21.84</v>
      </c>
      <c r="E607" t="s">
        <v>46</v>
      </c>
    </row>
    <row r="608" spans="1:5" x14ac:dyDescent="0.25">
      <c r="A608" t="s">
        <v>33</v>
      </c>
      <c r="B608" s="93">
        <v>43647</v>
      </c>
      <c r="C608" t="s">
        <v>1255</v>
      </c>
      <c r="D608" s="5">
        <v>34.44</v>
      </c>
      <c r="E608" t="s">
        <v>46</v>
      </c>
    </row>
    <row r="609" spans="1:5" x14ac:dyDescent="0.25">
      <c r="A609" t="s">
        <v>33</v>
      </c>
      <c r="B609" s="93">
        <v>43647</v>
      </c>
      <c r="C609" t="s">
        <v>1256</v>
      </c>
      <c r="D609" s="5">
        <v>25.95</v>
      </c>
      <c r="E609" t="s">
        <v>46</v>
      </c>
    </row>
    <row r="610" spans="1:5" x14ac:dyDescent="0.25">
      <c r="A610" t="s">
        <v>33</v>
      </c>
      <c r="B610" s="93">
        <v>43647</v>
      </c>
      <c r="C610" t="s">
        <v>1257</v>
      </c>
      <c r="D610" s="5">
        <v>6.98</v>
      </c>
      <c r="E610" t="s">
        <v>46</v>
      </c>
    </row>
    <row r="611" spans="1:5" x14ac:dyDescent="0.25">
      <c r="A611" t="s">
        <v>33</v>
      </c>
      <c r="B611" s="93">
        <v>43647</v>
      </c>
      <c r="C611" t="s">
        <v>1258</v>
      </c>
      <c r="D611" s="5">
        <v>23</v>
      </c>
      <c r="E611" t="s">
        <v>46</v>
      </c>
    </row>
    <row r="612" spans="1:5" x14ac:dyDescent="0.25">
      <c r="A612" t="s">
        <v>33</v>
      </c>
      <c r="B612" s="93">
        <v>43647</v>
      </c>
      <c r="C612" t="s">
        <v>1259</v>
      </c>
      <c r="D612" s="5">
        <v>120.58</v>
      </c>
      <c r="E612" t="s">
        <v>46</v>
      </c>
    </row>
    <row r="613" spans="1:5" x14ac:dyDescent="0.25">
      <c r="A613" t="s">
        <v>33</v>
      </c>
      <c r="B613" s="93">
        <v>43647</v>
      </c>
      <c r="C613" t="s">
        <v>1260</v>
      </c>
      <c r="D613" s="5">
        <v>4.2300000000000004</v>
      </c>
      <c r="E613" t="s">
        <v>46</v>
      </c>
    </row>
    <row r="614" spans="1:5" x14ac:dyDescent="0.25">
      <c r="A614" t="s">
        <v>33</v>
      </c>
      <c r="B614" s="93">
        <v>43647</v>
      </c>
      <c r="C614" t="s">
        <v>1261</v>
      </c>
      <c r="D614" s="5">
        <v>25.33</v>
      </c>
      <c r="E614" t="s">
        <v>46</v>
      </c>
    </row>
    <row r="615" spans="1:5" x14ac:dyDescent="0.25">
      <c r="A615" t="s">
        <v>33</v>
      </c>
      <c r="B615" s="93">
        <v>43647</v>
      </c>
      <c r="C615" t="s">
        <v>1262</v>
      </c>
      <c r="D615" s="5">
        <v>4.2300000000000004</v>
      </c>
      <c r="E615" t="s">
        <v>46</v>
      </c>
    </row>
    <row r="616" spans="1:5" x14ac:dyDescent="0.25">
      <c r="A616" t="s">
        <v>33</v>
      </c>
      <c r="B616" s="93">
        <v>43647</v>
      </c>
      <c r="C616" t="s">
        <v>1263</v>
      </c>
      <c r="D616" s="5">
        <v>15.66</v>
      </c>
      <c r="E616" t="s">
        <v>46</v>
      </c>
    </row>
    <row r="617" spans="1:5" x14ac:dyDescent="0.25">
      <c r="A617" t="s">
        <v>33</v>
      </c>
      <c r="B617" s="93">
        <v>43647</v>
      </c>
      <c r="C617" t="s">
        <v>1264</v>
      </c>
      <c r="D617" s="5">
        <v>4.2300000000000004</v>
      </c>
      <c r="E617" t="s">
        <v>46</v>
      </c>
    </row>
    <row r="618" spans="1:5" x14ac:dyDescent="0.25">
      <c r="A618" t="s">
        <v>33</v>
      </c>
      <c r="B618" s="93">
        <v>43647</v>
      </c>
      <c r="C618" t="s">
        <v>1265</v>
      </c>
      <c r="D618" s="5">
        <v>30.68</v>
      </c>
      <c r="E618" t="s">
        <v>46</v>
      </c>
    </row>
    <row r="619" spans="1:5" x14ac:dyDescent="0.25">
      <c r="A619" t="s">
        <v>49</v>
      </c>
      <c r="B619" s="93">
        <v>43644</v>
      </c>
      <c r="C619" t="s">
        <v>104</v>
      </c>
      <c r="D619" s="5">
        <v>-0.01</v>
      </c>
      <c r="E619" t="s">
        <v>105</v>
      </c>
    </row>
    <row r="620" spans="1:5" x14ac:dyDescent="0.25">
      <c r="A620" t="s">
        <v>33</v>
      </c>
      <c r="B620" s="93">
        <v>43644</v>
      </c>
      <c r="C620" t="s">
        <v>1266</v>
      </c>
      <c r="D620" s="5">
        <v>12.27</v>
      </c>
      <c r="E620" t="s">
        <v>46</v>
      </c>
    </row>
    <row r="621" spans="1:5" x14ac:dyDescent="0.25">
      <c r="A621" t="s">
        <v>33</v>
      </c>
      <c r="B621" s="93">
        <v>43644</v>
      </c>
      <c r="C621" t="s">
        <v>1267</v>
      </c>
      <c r="D621" s="5">
        <v>19.61</v>
      </c>
      <c r="E621" t="s">
        <v>46</v>
      </c>
    </row>
    <row r="622" spans="1:5" x14ac:dyDescent="0.25">
      <c r="A622" t="s">
        <v>33</v>
      </c>
      <c r="B622" s="93">
        <v>43644</v>
      </c>
      <c r="C622" t="s">
        <v>1268</v>
      </c>
      <c r="D622" s="5">
        <v>4.2300000000000004</v>
      </c>
      <c r="E622" t="s">
        <v>46</v>
      </c>
    </row>
    <row r="623" spans="1:5" x14ac:dyDescent="0.25">
      <c r="A623" t="s">
        <v>33</v>
      </c>
      <c r="B623" s="93">
        <v>43644</v>
      </c>
      <c r="C623" t="s">
        <v>1269</v>
      </c>
      <c r="D623" s="5">
        <v>21.96</v>
      </c>
      <c r="E623" t="s">
        <v>46</v>
      </c>
    </row>
    <row r="624" spans="1:5" x14ac:dyDescent="0.25">
      <c r="A624" t="s">
        <v>33</v>
      </c>
      <c r="B624" s="93">
        <v>43644</v>
      </c>
      <c r="C624" t="s">
        <v>1270</v>
      </c>
      <c r="D624" s="5">
        <v>4.8600000000000003</v>
      </c>
      <c r="E624" t="s">
        <v>46</v>
      </c>
    </row>
    <row r="625" spans="1:5" x14ac:dyDescent="0.25">
      <c r="A625" t="s">
        <v>49</v>
      </c>
      <c r="B625" s="93">
        <v>43644</v>
      </c>
      <c r="C625" t="s">
        <v>50</v>
      </c>
      <c r="D625" s="5">
        <v>-3485.05</v>
      </c>
      <c r="E625" t="s">
        <v>51</v>
      </c>
    </row>
    <row r="626" spans="1:5" x14ac:dyDescent="0.25">
      <c r="A626" t="s">
        <v>33</v>
      </c>
      <c r="B626" s="93">
        <v>43643</v>
      </c>
      <c r="C626" t="s">
        <v>1271</v>
      </c>
      <c r="D626" s="5">
        <v>5.67</v>
      </c>
      <c r="E626" t="s">
        <v>46</v>
      </c>
    </row>
    <row r="627" spans="1:5" x14ac:dyDescent="0.25">
      <c r="A627" t="s">
        <v>33</v>
      </c>
      <c r="B627" s="93">
        <v>43643</v>
      </c>
      <c r="C627" t="s">
        <v>1272</v>
      </c>
      <c r="D627" s="5">
        <v>31.65</v>
      </c>
      <c r="E627" t="s">
        <v>46</v>
      </c>
    </row>
    <row r="628" spans="1:5" x14ac:dyDescent="0.25">
      <c r="A628" t="s">
        <v>33</v>
      </c>
      <c r="B628" s="93">
        <v>43643</v>
      </c>
      <c r="C628" t="s">
        <v>1273</v>
      </c>
      <c r="D628" s="5">
        <v>9.77</v>
      </c>
      <c r="E628" t="s">
        <v>46</v>
      </c>
    </row>
    <row r="629" spans="1:5" x14ac:dyDescent="0.25">
      <c r="A629" t="s">
        <v>33</v>
      </c>
      <c r="B629" s="93">
        <v>43643</v>
      </c>
      <c r="C629" t="s">
        <v>1273</v>
      </c>
      <c r="D629" s="5">
        <v>23.72</v>
      </c>
      <c r="E629" t="s">
        <v>46</v>
      </c>
    </row>
    <row r="630" spans="1:5" x14ac:dyDescent="0.25">
      <c r="A630" t="s">
        <v>33</v>
      </c>
      <c r="B630" s="93">
        <v>43643</v>
      </c>
      <c r="C630" t="s">
        <v>1805</v>
      </c>
      <c r="D630" s="5">
        <v>54.01</v>
      </c>
      <c r="E630" t="s">
        <v>46</v>
      </c>
    </row>
    <row r="631" spans="1:5" x14ac:dyDescent="0.25">
      <c r="A631" t="s">
        <v>49</v>
      </c>
      <c r="B631" s="93">
        <v>43643</v>
      </c>
      <c r="C631" t="s">
        <v>1806</v>
      </c>
      <c r="D631" s="5">
        <v>-40</v>
      </c>
      <c r="E631" t="s">
        <v>58</v>
      </c>
    </row>
    <row r="632" spans="1:5" x14ac:dyDescent="0.25">
      <c r="A632" t="s">
        <v>33</v>
      </c>
      <c r="B632" s="93">
        <v>43642</v>
      </c>
      <c r="C632" t="s">
        <v>1807</v>
      </c>
      <c r="D632" s="5">
        <v>26.31</v>
      </c>
      <c r="E632" t="s">
        <v>46</v>
      </c>
    </row>
    <row r="633" spans="1:5" x14ac:dyDescent="0.25">
      <c r="A633" t="s">
        <v>33</v>
      </c>
      <c r="B633" s="93">
        <v>43641</v>
      </c>
      <c r="C633" t="s">
        <v>1191</v>
      </c>
      <c r="D633" s="5">
        <v>6.74</v>
      </c>
      <c r="E633" t="s">
        <v>46</v>
      </c>
    </row>
    <row r="634" spans="1:5" x14ac:dyDescent="0.25">
      <c r="A634" t="s">
        <v>33</v>
      </c>
      <c r="B634" s="93">
        <v>43641</v>
      </c>
      <c r="C634" t="s">
        <v>1192</v>
      </c>
      <c r="D634" s="5">
        <v>11.45</v>
      </c>
      <c r="E634" t="s">
        <v>46</v>
      </c>
    </row>
    <row r="635" spans="1:5" x14ac:dyDescent="0.25">
      <c r="A635" t="s">
        <v>33</v>
      </c>
      <c r="B635" s="93">
        <v>43640</v>
      </c>
      <c r="C635" t="s">
        <v>1193</v>
      </c>
      <c r="D635" s="5">
        <v>0.99</v>
      </c>
      <c r="E635" t="s">
        <v>46</v>
      </c>
    </row>
    <row r="636" spans="1:5" x14ac:dyDescent="0.25">
      <c r="A636" t="s">
        <v>33</v>
      </c>
      <c r="B636" s="93">
        <v>43640</v>
      </c>
      <c r="C636" t="s">
        <v>1194</v>
      </c>
      <c r="D636" s="5">
        <v>5.67</v>
      </c>
      <c r="E636" t="s">
        <v>46</v>
      </c>
    </row>
    <row r="637" spans="1:5" x14ac:dyDescent="0.25">
      <c r="A637" t="s">
        <v>33</v>
      </c>
      <c r="B637" s="93">
        <v>43640</v>
      </c>
      <c r="C637" t="s">
        <v>1195</v>
      </c>
      <c r="D637" s="5">
        <v>19</v>
      </c>
      <c r="E637" t="s">
        <v>46</v>
      </c>
    </row>
    <row r="638" spans="1:5" x14ac:dyDescent="0.25">
      <c r="A638" t="s">
        <v>33</v>
      </c>
      <c r="B638" s="93">
        <v>43640</v>
      </c>
      <c r="C638" t="s">
        <v>1196</v>
      </c>
      <c r="D638" s="5">
        <v>30.91</v>
      </c>
      <c r="E638" t="s">
        <v>46</v>
      </c>
    </row>
    <row r="639" spans="1:5" x14ac:dyDescent="0.25">
      <c r="A639" t="s">
        <v>33</v>
      </c>
      <c r="B639" s="93">
        <v>43640</v>
      </c>
      <c r="C639" t="s">
        <v>1197</v>
      </c>
      <c r="D639" s="5">
        <v>4.2300000000000004</v>
      </c>
      <c r="E639" t="s">
        <v>46</v>
      </c>
    </row>
    <row r="640" spans="1:5" x14ac:dyDescent="0.25">
      <c r="A640" t="s">
        <v>33</v>
      </c>
      <c r="B640" s="93">
        <v>43640</v>
      </c>
      <c r="C640" t="s">
        <v>1198</v>
      </c>
      <c r="D640" s="5">
        <v>8.0399999999999991</v>
      </c>
      <c r="E640" t="s">
        <v>46</v>
      </c>
    </row>
    <row r="641" spans="1:5" x14ac:dyDescent="0.25">
      <c r="A641" t="s">
        <v>33</v>
      </c>
      <c r="B641" s="93">
        <v>43640</v>
      </c>
      <c r="C641" t="s">
        <v>1193</v>
      </c>
      <c r="D641" s="5">
        <v>1.98</v>
      </c>
      <c r="E641" t="s">
        <v>46</v>
      </c>
    </row>
    <row r="642" spans="1:5" x14ac:dyDescent="0.25">
      <c r="A642" t="s">
        <v>33</v>
      </c>
      <c r="B642" s="93">
        <v>43640</v>
      </c>
      <c r="C642" t="s">
        <v>1199</v>
      </c>
      <c r="D642" s="5">
        <v>5.29</v>
      </c>
      <c r="E642" t="s">
        <v>46</v>
      </c>
    </row>
    <row r="643" spans="1:5" x14ac:dyDescent="0.25">
      <c r="A643" t="s">
        <v>33</v>
      </c>
      <c r="B643" s="93">
        <v>43640</v>
      </c>
      <c r="C643" t="s">
        <v>1200</v>
      </c>
      <c r="D643" s="5">
        <v>10.56</v>
      </c>
      <c r="E643" t="s">
        <v>46</v>
      </c>
    </row>
    <row r="644" spans="1:5" x14ac:dyDescent="0.25">
      <c r="A644" t="s">
        <v>33</v>
      </c>
      <c r="B644" s="93">
        <v>43640</v>
      </c>
      <c r="C644" t="s">
        <v>1201</v>
      </c>
      <c r="D644" s="5">
        <v>4.2300000000000004</v>
      </c>
      <c r="E644" t="s">
        <v>46</v>
      </c>
    </row>
    <row r="645" spans="1:5" x14ac:dyDescent="0.25">
      <c r="A645" t="s">
        <v>33</v>
      </c>
      <c r="B645" s="93">
        <v>43640</v>
      </c>
      <c r="C645" t="s">
        <v>1202</v>
      </c>
      <c r="D645" s="5">
        <v>29.63</v>
      </c>
      <c r="E645" t="s">
        <v>46</v>
      </c>
    </row>
    <row r="646" spans="1:5" x14ac:dyDescent="0.25">
      <c r="A646" t="s">
        <v>33</v>
      </c>
      <c r="B646" s="93">
        <v>43640</v>
      </c>
      <c r="C646" t="s">
        <v>1203</v>
      </c>
      <c r="D646" s="5">
        <v>11.94</v>
      </c>
      <c r="E646" t="s">
        <v>46</v>
      </c>
    </row>
    <row r="647" spans="1:5" x14ac:dyDescent="0.25">
      <c r="A647" t="s">
        <v>33</v>
      </c>
      <c r="B647" s="93">
        <v>43640</v>
      </c>
      <c r="C647" t="s">
        <v>1204</v>
      </c>
      <c r="D647" s="5">
        <v>4.2300000000000004</v>
      </c>
      <c r="E647" t="s">
        <v>46</v>
      </c>
    </row>
    <row r="648" spans="1:5" x14ac:dyDescent="0.25">
      <c r="A648" t="s">
        <v>33</v>
      </c>
      <c r="B648" s="93">
        <v>43640</v>
      </c>
      <c r="C648" t="s">
        <v>1205</v>
      </c>
      <c r="D648" s="5">
        <v>1.98</v>
      </c>
      <c r="E648" t="s">
        <v>46</v>
      </c>
    </row>
    <row r="649" spans="1:5" x14ac:dyDescent="0.25">
      <c r="A649" t="s">
        <v>33</v>
      </c>
      <c r="B649" s="93">
        <v>43640</v>
      </c>
      <c r="C649" t="s">
        <v>1206</v>
      </c>
      <c r="D649" s="5">
        <v>19.02</v>
      </c>
      <c r="E649" t="s">
        <v>46</v>
      </c>
    </row>
    <row r="650" spans="1:5" x14ac:dyDescent="0.25">
      <c r="A650" t="s">
        <v>33</v>
      </c>
      <c r="B650" s="93">
        <v>43640</v>
      </c>
      <c r="C650" t="s">
        <v>1207</v>
      </c>
      <c r="D650" s="5">
        <v>34.89</v>
      </c>
      <c r="E650" t="s">
        <v>46</v>
      </c>
    </row>
    <row r="651" spans="1:5" x14ac:dyDescent="0.25">
      <c r="A651" t="s">
        <v>33</v>
      </c>
      <c r="B651" s="93">
        <v>43640</v>
      </c>
      <c r="C651" t="s">
        <v>1208</v>
      </c>
      <c r="D651" s="5">
        <v>3.87</v>
      </c>
      <c r="E651" t="s">
        <v>46</v>
      </c>
    </row>
    <row r="652" spans="1:5" x14ac:dyDescent="0.25">
      <c r="A652" t="s">
        <v>33</v>
      </c>
      <c r="B652" s="93">
        <v>43640</v>
      </c>
      <c r="C652" t="s">
        <v>1209</v>
      </c>
      <c r="D652" s="5">
        <v>10.43</v>
      </c>
      <c r="E652" t="s">
        <v>46</v>
      </c>
    </row>
    <row r="653" spans="1:5" x14ac:dyDescent="0.25">
      <c r="A653" t="s">
        <v>33</v>
      </c>
      <c r="B653" s="93">
        <v>43640</v>
      </c>
      <c r="C653" t="s">
        <v>1210</v>
      </c>
      <c r="D653" s="5">
        <v>26.4</v>
      </c>
      <c r="E653" t="s">
        <v>46</v>
      </c>
    </row>
    <row r="654" spans="1:5" x14ac:dyDescent="0.25">
      <c r="A654" t="s">
        <v>33</v>
      </c>
      <c r="B654" s="93">
        <v>43637</v>
      </c>
      <c r="C654" t="s">
        <v>1211</v>
      </c>
      <c r="D654" s="5">
        <v>50</v>
      </c>
      <c r="E654" t="s">
        <v>46</v>
      </c>
    </row>
    <row r="655" spans="1:5" x14ac:dyDescent="0.25">
      <c r="A655" t="s">
        <v>33</v>
      </c>
      <c r="B655" s="93">
        <v>43636</v>
      </c>
      <c r="C655" t="s">
        <v>1212</v>
      </c>
      <c r="D655" s="5">
        <v>17.11</v>
      </c>
      <c r="E655" t="s">
        <v>46</v>
      </c>
    </row>
    <row r="656" spans="1:5" x14ac:dyDescent="0.25">
      <c r="A656" t="s">
        <v>33</v>
      </c>
      <c r="B656" s="93">
        <v>43636</v>
      </c>
      <c r="C656" t="s">
        <v>1213</v>
      </c>
      <c r="D656" s="5">
        <v>4.2300000000000004</v>
      </c>
      <c r="E656" t="s">
        <v>46</v>
      </c>
    </row>
    <row r="657" spans="1:5" x14ac:dyDescent="0.25">
      <c r="A657" t="s">
        <v>33</v>
      </c>
      <c r="B657" s="93">
        <v>43636</v>
      </c>
      <c r="C657" t="s">
        <v>1214</v>
      </c>
      <c r="D657" s="5">
        <v>18.399999999999999</v>
      </c>
      <c r="E657" t="s">
        <v>46</v>
      </c>
    </row>
    <row r="658" spans="1:5" x14ac:dyDescent="0.25">
      <c r="A658" t="s">
        <v>33</v>
      </c>
      <c r="B658" s="93">
        <v>43636</v>
      </c>
      <c r="C658" t="s">
        <v>1215</v>
      </c>
      <c r="D658" s="5">
        <v>17.98</v>
      </c>
      <c r="E658" t="s">
        <v>46</v>
      </c>
    </row>
    <row r="659" spans="1:5" x14ac:dyDescent="0.25">
      <c r="A659" t="s">
        <v>33</v>
      </c>
      <c r="B659" s="93">
        <v>43635</v>
      </c>
      <c r="C659" t="s">
        <v>1808</v>
      </c>
      <c r="D659" s="5">
        <v>1500</v>
      </c>
      <c r="E659" t="s">
        <v>128</v>
      </c>
    </row>
    <row r="660" spans="1:5" x14ac:dyDescent="0.25">
      <c r="A660" t="s">
        <v>33</v>
      </c>
      <c r="B660" s="93">
        <v>43635</v>
      </c>
      <c r="C660" t="s">
        <v>1809</v>
      </c>
      <c r="D660" s="5">
        <v>20.58</v>
      </c>
      <c r="E660" t="s">
        <v>46</v>
      </c>
    </row>
    <row r="661" spans="1:5" x14ac:dyDescent="0.25">
      <c r="A661" t="s">
        <v>33</v>
      </c>
      <c r="B661" s="93">
        <v>43635</v>
      </c>
      <c r="C661" t="s">
        <v>1810</v>
      </c>
      <c r="D661" s="5">
        <v>13.91</v>
      </c>
      <c r="E661" t="s">
        <v>46</v>
      </c>
    </row>
    <row r="662" spans="1:5" x14ac:dyDescent="0.25">
      <c r="A662" t="s">
        <v>33</v>
      </c>
      <c r="B662" s="93">
        <v>43635</v>
      </c>
      <c r="C662" t="s">
        <v>1811</v>
      </c>
      <c r="D662" s="5">
        <v>19.98</v>
      </c>
      <c r="E662" t="s">
        <v>46</v>
      </c>
    </row>
    <row r="663" spans="1:5" x14ac:dyDescent="0.25">
      <c r="A663" t="s">
        <v>33</v>
      </c>
      <c r="B663" s="93">
        <v>43634</v>
      </c>
      <c r="C663" t="s">
        <v>1138</v>
      </c>
      <c r="D663" s="5">
        <v>36.86</v>
      </c>
      <c r="E663" t="s">
        <v>46</v>
      </c>
    </row>
    <row r="664" spans="1:5" x14ac:dyDescent="0.25">
      <c r="A664" t="s">
        <v>33</v>
      </c>
      <c r="B664" s="93">
        <v>43634</v>
      </c>
      <c r="C664" t="s">
        <v>1139</v>
      </c>
      <c r="D664" s="5">
        <v>9.61</v>
      </c>
      <c r="E664" t="s">
        <v>46</v>
      </c>
    </row>
    <row r="665" spans="1:5" x14ac:dyDescent="0.25">
      <c r="A665" t="s">
        <v>33</v>
      </c>
      <c r="B665" s="93">
        <v>43634</v>
      </c>
      <c r="C665" t="s">
        <v>1140</v>
      </c>
      <c r="D665" s="5">
        <v>161.63999999999999</v>
      </c>
      <c r="E665" t="s">
        <v>46</v>
      </c>
    </row>
    <row r="666" spans="1:5" x14ac:dyDescent="0.25">
      <c r="A666" t="s">
        <v>33</v>
      </c>
      <c r="B666" s="93">
        <v>43633</v>
      </c>
      <c r="C666" t="s">
        <v>1141</v>
      </c>
      <c r="D666" s="5">
        <v>8.02</v>
      </c>
      <c r="E666" t="s">
        <v>46</v>
      </c>
    </row>
    <row r="667" spans="1:5" x14ac:dyDescent="0.25">
      <c r="A667" t="s">
        <v>33</v>
      </c>
      <c r="B667" s="93">
        <v>43633</v>
      </c>
      <c r="C667" t="s">
        <v>1142</v>
      </c>
      <c r="D667" s="5">
        <v>18.41</v>
      </c>
      <c r="E667" t="s">
        <v>46</v>
      </c>
    </row>
    <row r="668" spans="1:5" x14ac:dyDescent="0.25">
      <c r="A668" t="s">
        <v>33</v>
      </c>
      <c r="B668" s="93">
        <v>43633</v>
      </c>
      <c r="C668" t="s">
        <v>1143</v>
      </c>
      <c r="D668" s="5">
        <v>46.05</v>
      </c>
      <c r="E668" t="s">
        <v>46</v>
      </c>
    </row>
    <row r="669" spans="1:5" x14ac:dyDescent="0.25">
      <c r="A669" t="s">
        <v>33</v>
      </c>
      <c r="B669" s="93">
        <v>43633</v>
      </c>
      <c r="C669" t="s">
        <v>1144</v>
      </c>
      <c r="D669" s="5">
        <v>4.2300000000000004</v>
      </c>
      <c r="E669" t="s">
        <v>46</v>
      </c>
    </row>
    <row r="670" spans="1:5" x14ac:dyDescent="0.25">
      <c r="A670" t="s">
        <v>33</v>
      </c>
      <c r="B670" s="93">
        <v>43633</v>
      </c>
      <c r="C670" t="s">
        <v>1145</v>
      </c>
      <c r="D670" s="5">
        <v>16.8</v>
      </c>
      <c r="E670" t="s">
        <v>46</v>
      </c>
    </row>
    <row r="671" spans="1:5" x14ac:dyDescent="0.25">
      <c r="A671" t="s">
        <v>33</v>
      </c>
      <c r="B671" s="93">
        <v>43633</v>
      </c>
      <c r="C671" t="s">
        <v>1146</v>
      </c>
      <c r="D671" s="5">
        <v>22.48</v>
      </c>
      <c r="E671" t="s">
        <v>46</v>
      </c>
    </row>
    <row r="672" spans="1:5" x14ac:dyDescent="0.25">
      <c r="A672" t="s">
        <v>33</v>
      </c>
      <c r="B672" s="93">
        <v>43633</v>
      </c>
      <c r="C672" t="s">
        <v>1147</v>
      </c>
      <c r="D672" s="5">
        <v>5.72</v>
      </c>
      <c r="E672" t="s">
        <v>46</v>
      </c>
    </row>
    <row r="673" spans="1:5" x14ac:dyDescent="0.25">
      <c r="A673" t="s">
        <v>33</v>
      </c>
      <c r="B673" s="93">
        <v>43633</v>
      </c>
      <c r="C673" t="s">
        <v>1148</v>
      </c>
      <c r="D673" s="5">
        <v>41.38</v>
      </c>
      <c r="E673" t="s">
        <v>46</v>
      </c>
    </row>
    <row r="674" spans="1:5" x14ac:dyDescent="0.25">
      <c r="A674" t="s">
        <v>33</v>
      </c>
      <c r="B674" s="93">
        <v>43633</v>
      </c>
      <c r="C674" t="s">
        <v>1149</v>
      </c>
      <c r="D674" s="5">
        <v>50.46</v>
      </c>
      <c r="E674" t="s">
        <v>46</v>
      </c>
    </row>
    <row r="675" spans="1:5" x14ac:dyDescent="0.25">
      <c r="A675" t="s">
        <v>33</v>
      </c>
      <c r="B675" s="93">
        <v>43633</v>
      </c>
      <c r="C675" t="s">
        <v>1150</v>
      </c>
      <c r="D675" s="5">
        <v>6.62</v>
      </c>
      <c r="E675" t="s">
        <v>46</v>
      </c>
    </row>
    <row r="676" spans="1:5" x14ac:dyDescent="0.25">
      <c r="A676" t="s">
        <v>33</v>
      </c>
      <c r="B676" s="93">
        <v>43633</v>
      </c>
      <c r="C676" t="s">
        <v>1150</v>
      </c>
      <c r="D676" s="5">
        <v>6.62</v>
      </c>
      <c r="E676" t="s">
        <v>46</v>
      </c>
    </row>
    <row r="677" spans="1:5" x14ac:dyDescent="0.25">
      <c r="A677" t="s">
        <v>33</v>
      </c>
      <c r="B677" s="93">
        <v>43633</v>
      </c>
      <c r="C677" t="s">
        <v>1151</v>
      </c>
      <c r="D677" s="5">
        <v>48</v>
      </c>
      <c r="E677" t="s">
        <v>46</v>
      </c>
    </row>
    <row r="678" spans="1:5" x14ac:dyDescent="0.25">
      <c r="A678" t="s">
        <v>33</v>
      </c>
      <c r="B678" s="93">
        <v>43633</v>
      </c>
      <c r="C678" t="s">
        <v>1152</v>
      </c>
      <c r="D678" s="5">
        <v>44.39</v>
      </c>
      <c r="E678" t="s">
        <v>46</v>
      </c>
    </row>
    <row r="679" spans="1:5" x14ac:dyDescent="0.25">
      <c r="A679" t="s">
        <v>33</v>
      </c>
      <c r="B679" s="93">
        <v>43633</v>
      </c>
      <c r="C679" t="s">
        <v>1153</v>
      </c>
      <c r="D679" s="5">
        <v>13.37</v>
      </c>
      <c r="E679" t="s">
        <v>46</v>
      </c>
    </row>
    <row r="680" spans="1:5" x14ac:dyDescent="0.25">
      <c r="A680" t="s">
        <v>33</v>
      </c>
      <c r="B680" s="93">
        <v>43633</v>
      </c>
      <c r="C680" t="s">
        <v>1154</v>
      </c>
      <c r="D680" s="5">
        <v>10.02</v>
      </c>
      <c r="E680" t="s">
        <v>46</v>
      </c>
    </row>
    <row r="681" spans="1:5" x14ac:dyDescent="0.25">
      <c r="A681" t="s">
        <v>33</v>
      </c>
      <c r="B681" s="93">
        <v>43633</v>
      </c>
      <c r="C681" t="s">
        <v>1148</v>
      </c>
      <c r="D681" s="5">
        <v>415.94</v>
      </c>
      <c r="E681" t="s">
        <v>46</v>
      </c>
    </row>
    <row r="682" spans="1:5" x14ac:dyDescent="0.25">
      <c r="A682" t="s">
        <v>33</v>
      </c>
      <c r="B682" s="93">
        <v>43633</v>
      </c>
      <c r="C682" t="s">
        <v>1155</v>
      </c>
      <c r="D682" s="5">
        <v>20.11</v>
      </c>
      <c r="E682" t="s">
        <v>46</v>
      </c>
    </row>
    <row r="683" spans="1:5" x14ac:dyDescent="0.25">
      <c r="A683" t="s">
        <v>33</v>
      </c>
      <c r="B683" s="93">
        <v>43633</v>
      </c>
      <c r="C683" t="s">
        <v>1156</v>
      </c>
      <c r="D683" s="5">
        <v>65</v>
      </c>
      <c r="E683" t="s">
        <v>46</v>
      </c>
    </row>
    <row r="684" spans="1:5" x14ac:dyDescent="0.25">
      <c r="A684" t="s">
        <v>33</v>
      </c>
      <c r="B684" s="93">
        <v>43633</v>
      </c>
      <c r="C684" t="s">
        <v>1156</v>
      </c>
      <c r="D684" s="5">
        <v>65</v>
      </c>
      <c r="E684" t="s">
        <v>46</v>
      </c>
    </row>
    <row r="685" spans="1:5" x14ac:dyDescent="0.25">
      <c r="A685" t="s">
        <v>33</v>
      </c>
      <c r="B685" s="93">
        <v>43633</v>
      </c>
      <c r="C685" t="s">
        <v>1157</v>
      </c>
      <c r="D685" s="5">
        <v>32.08</v>
      </c>
      <c r="E685" t="s">
        <v>46</v>
      </c>
    </row>
    <row r="686" spans="1:5" x14ac:dyDescent="0.25">
      <c r="A686" t="s">
        <v>33</v>
      </c>
      <c r="B686" s="93">
        <v>43633</v>
      </c>
      <c r="C686" t="s">
        <v>1158</v>
      </c>
      <c r="D686" s="5">
        <v>15.84</v>
      </c>
      <c r="E686" t="s">
        <v>46</v>
      </c>
    </row>
    <row r="687" spans="1:5" x14ac:dyDescent="0.25">
      <c r="A687" t="s">
        <v>33</v>
      </c>
      <c r="B687" s="93">
        <v>43630</v>
      </c>
      <c r="C687" t="s">
        <v>1159</v>
      </c>
      <c r="D687" s="5">
        <v>4.37</v>
      </c>
      <c r="E687" t="s">
        <v>46</v>
      </c>
    </row>
    <row r="688" spans="1:5" x14ac:dyDescent="0.25">
      <c r="A688" t="s">
        <v>33</v>
      </c>
      <c r="B688" s="93">
        <v>43630</v>
      </c>
      <c r="C688" t="s">
        <v>1160</v>
      </c>
      <c r="D688" s="5">
        <v>15.33</v>
      </c>
      <c r="E688" t="s">
        <v>46</v>
      </c>
    </row>
    <row r="689" spans="1:5" x14ac:dyDescent="0.25">
      <c r="A689" t="s">
        <v>33</v>
      </c>
      <c r="B689" s="93">
        <v>43630</v>
      </c>
      <c r="C689" t="s">
        <v>1161</v>
      </c>
      <c r="D689" s="5">
        <v>6.56</v>
      </c>
      <c r="E689" t="s">
        <v>46</v>
      </c>
    </row>
    <row r="690" spans="1:5" x14ac:dyDescent="0.25">
      <c r="A690" t="s">
        <v>33</v>
      </c>
      <c r="B690" s="93">
        <v>43630</v>
      </c>
      <c r="C690" t="s">
        <v>1162</v>
      </c>
      <c r="D690" s="5">
        <v>22.19</v>
      </c>
      <c r="E690" t="s">
        <v>46</v>
      </c>
    </row>
    <row r="691" spans="1:5" x14ac:dyDescent="0.25">
      <c r="A691" t="s">
        <v>49</v>
      </c>
      <c r="B691" s="93">
        <v>43630</v>
      </c>
      <c r="C691" t="s">
        <v>50</v>
      </c>
      <c r="D691" s="5">
        <v>-3485.05</v>
      </c>
      <c r="E691" t="s">
        <v>51</v>
      </c>
    </row>
    <row r="692" spans="1:5" x14ac:dyDescent="0.25">
      <c r="A692" t="s">
        <v>33</v>
      </c>
      <c r="B692" s="93">
        <v>43629</v>
      </c>
      <c r="C692" t="s">
        <v>1163</v>
      </c>
      <c r="D692" s="5">
        <v>23</v>
      </c>
      <c r="E692" t="s">
        <v>46</v>
      </c>
    </row>
    <row r="693" spans="1:5" x14ac:dyDescent="0.25">
      <c r="A693" t="s">
        <v>33</v>
      </c>
      <c r="B693" s="93">
        <v>43629</v>
      </c>
      <c r="C693" t="s">
        <v>1164</v>
      </c>
      <c r="D693" s="5">
        <v>16.46</v>
      </c>
      <c r="E693" t="s">
        <v>46</v>
      </c>
    </row>
    <row r="694" spans="1:5" x14ac:dyDescent="0.25">
      <c r="A694" t="s">
        <v>33</v>
      </c>
      <c r="B694" s="93">
        <v>43629</v>
      </c>
      <c r="C694" t="s">
        <v>1165</v>
      </c>
      <c r="D694" s="5">
        <v>27.47</v>
      </c>
      <c r="E694" t="s">
        <v>46</v>
      </c>
    </row>
    <row r="695" spans="1:5" x14ac:dyDescent="0.25">
      <c r="A695" t="s">
        <v>33</v>
      </c>
      <c r="B695" s="93">
        <v>43629</v>
      </c>
      <c r="C695" t="s">
        <v>1166</v>
      </c>
      <c r="D695" s="5">
        <v>28.39</v>
      </c>
      <c r="E695" t="s">
        <v>46</v>
      </c>
    </row>
    <row r="696" spans="1:5" x14ac:dyDescent="0.25">
      <c r="A696" t="s">
        <v>33</v>
      </c>
      <c r="B696" s="93">
        <v>43628</v>
      </c>
      <c r="C696" t="s">
        <v>1167</v>
      </c>
      <c r="D696" s="5">
        <v>20</v>
      </c>
      <c r="E696" t="s">
        <v>46</v>
      </c>
    </row>
    <row r="697" spans="1:5" x14ac:dyDescent="0.25">
      <c r="A697" t="s">
        <v>33</v>
      </c>
      <c r="B697" s="93">
        <v>43628</v>
      </c>
      <c r="C697" t="s">
        <v>1168</v>
      </c>
      <c r="D697" s="5">
        <v>5.73</v>
      </c>
      <c r="E697" t="s">
        <v>46</v>
      </c>
    </row>
    <row r="698" spans="1:5" x14ac:dyDescent="0.25">
      <c r="A698" t="s">
        <v>33</v>
      </c>
      <c r="B698" s="93">
        <v>43628</v>
      </c>
      <c r="C698" t="s">
        <v>1169</v>
      </c>
      <c r="D698" s="5">
        <v>5.16</v>
      </c>
      <c r="E698" t="s">
        <v>46</v>
      </c>
    </row>
    <row r="699" spans="1:5" x14ac:dyDescent="0.25">
      <c r="A699" t="s">
        <v>33</v>
      </c>
      <c r="B699" s="93">
        <v>43628</v>
      </c>
      <c r="C699" t="s">
        <v>1170</v>
      </c>
      <c r="D699" s="5">
        <v>33.75</v>
      </c>
      <c r="E699" t="s">
        <v>46</v>
      </c>
    </row>
    <row r="700" spans="1:5" x14ac:dyDescent="0.25">
      <c r="A700" t="s">
        <v>33</v>
      </c>
      <c r="B700" s="93">
        <v>43628</v>
      </c>
      <c r="C700" t="s">
        <v>1171</v>
      </c>
      <c r="D700" s="5">
        <v>16.91</v>
      </c>
      <c r="E700" t="s">
        <v>46</v>
      </c>
    </row>
    <row r="701" spans="1:5" x14ac:dyDescent="0.25">
      <c r="A701" t="s">
        <v>33</v>
      </c>
      <c r="B701" s="93">
        <v>43627</v>
      </c>
      <c r="C701" t="s">
        <v>1172</v>
      </c>
      <c r="D701" s="5">
        <v>31.75</v>
      </c>
      <c r="E701" t="s">
        <v>46</v>
      </c>
    </row>
    <row r="702" spans="1:5" x14ac:dyDescent="0.25">
      <c r="A702" t="s">
        <v>33</v>
      </c>
      <c r="B702" s="93">
        <v>43626</v>
      </c>
      <c r="C702" t="s">
        <v>1173</v>
      </c>
      <c r="D702" s="5">
        <v>39.07</v>
      </c>
      <c r="E702" t="s">
        <v>46</v>
      </c>
    </row>
    <row r="703" spans="1:5" x14ac:dyDescent="0.25">
      <c r="A703" t="s">
        <v>33</v>
      </c>
      <c r="B703" s="93">
        <v>43626</v>
      </c>
      <c r="C703" t="s">
        <v>1174</v>
      </c>
      <c r="D703" s="5">
        <v>4.2300000000000004</v>
      </c>
      <c r="E703" t="s">
        <v>46</v>
      </c>
    </row>
    <row r="704" spans="1:5" x14ac:dyDescent="0.25">
      <c r="A704" t="s">
        <v>33</v>
      </c>
      <c r="B704" s="93">
        <v>43626</v>
      </c>
      <c r="C704" t="s">
        <v>1175</v>
      </c>
      <c r="D704" s="5">
        <v>32.26</v>
      </c>
      <c r="E704" t="s">
        <v>46</v>
      </c>
    </row>
    <row r="705" spans="1:5" x14ac:dyDescent="0.25">
      <c r="A705" t="s">
        <v>33</v>
      </c>
      <c r="B705" s="93">
        <v>43626</v>
      </c>
      <c r="C705" t="s">
        <v>1176</v>
      </c>
      <c r="D705" s="5">
        <v>10.59</v>
      </c>
      <c r="E705" t="s">
        <v>46</v>
      </c>
    </row>
    <row r="706" spans="1:5" x14ac:dyDescent="0.25">
      <c r="A706" t="s">
        <v>33</v>
      </c>
      <c r="B706" s="93">
        <v>43626</v>
      </c>
      <c r="C706" t="s">
        <v>1177</v>
      </c>
      <c r="D706" s="5">
        <v>44.92</v>
      </c>
      <c r="E706" t="s">
        <v>46</v>
      </c>
    </row>
    <row r="707" spans="1:5" x14ac:dyDescent="0.25">
      <c r="A707" t="s">
        <v>33</v>
      </c>
      <c r="B707" s="93">
        <v>43626</v>
      </c>
      <c r="C707" t="s">
        <v>1178</v>
      </c>
      <c r="D707" s="5">
        <v>118.93</v>
      </c>
      <c r="E707" t="s">
        <v>46</v>
      </c>
    </row>
    <row r="708" spans="1:5" x14ac:dyDescent="0.25">
      <c r="A708" t="s">
        <v>33</v>
      </c>
      <c r="B708" s="93">
        <v>43626</v>
      </c>
      <c r="C708" t="s">
        <v>1179</v>
      </c>
      <c r="D708" s="5">
        <v>22.79</v>
      </c>
      <c r="E708" t="s">
        <v>46</v>
      </c>
    </row>
    <row r="709" spans="1:5" x14ac:dyDescent="0.25">
      <c r="A709" t="s">
        <v>33</v>
      </c>
      <c r="B709" s="93">
        <v>43626</v>
      </c>
      <c r="C709" t="s">
        <v>1180</v>
      </c>
      <c r="D709" s="5">
        <v>10.32</v>
      </c>
      <c r="E709" t="s">
        <v>46</v>
      </c>
    </row>
    <row r="710" spans="1:5" x14ac:dyDescent="0.25">
      <c r="A710" t="s">
        <v>33</v>
      </c>
      <c r="B710" s="93">
        <v>43626</v>
      </c>
      <c r="C710" t="s">
        <v>1181</v>
      </c>
      <c r="D710" s="5">
        <v>30.15</v>
      </c>
      <c r="E710" t="s">
        <v>46</v>
      </c>
    </row>
    <row r="711" spans="1:5" x14ac:dyDescent="0.25">
      <c r="A711" t="s">
        <v>49</v>
      </c>
      <c r="B711" s="93">
        <v>43626</v>
      </c>
      <c r="C711" t="s">
        <v>1812</v>
      </c>
      <c r="D711" s="5">
        <v>-600</v>
      </c>
      <c r="E711" t="s">
        <v>128</v>
      </c>
    </row>
    <row r="712" spans="1:5" x14ac:dyDescent="0.25">
      <c r="A712" t="s">
        <v>33</v>
      </c>
      <c r="B712" s="93">
        <v>43623</v>
      </c>
      <c r="C712" t="s">
        <v>1182</v>
      </c>
      <c r="D712" s="5">
        <v>37.659999999999997</v>
      </c>
      <c r="E712" t="s">
        <v>46</v>
      </c>
    </row>
    <row r="713" spans="1:5" x14ac:dyDescent="0.25">
      <c r="A713" t="s">
        <v>33</v>
      </c>
      <c r="B713" s="93">
        <v>43623</v>
      </c>
      <c r="C713" t="s">
        <v>1183</v>
      </c>
      <c r="D713" s="5">
        <v>57.9</v>
      </c>
      <c r="E713" t="s">
        <v>46</v>
      </c>
    </row>
    <row r="714" spans="1:5" x14ac:dyDescent="0.25">
      <c r="A714" t="s">
        <v>33</v>
      </c>
      <c r="B714" s="93">
        <v>43623</v>
      </c>
      <c r="C714" t="s">
        <v>1184</v>
      </c>
      <c r="D714" s="5">
        <v>124.3</v>
      </c>
      <c r="E714" t="s">
        <v>46</v>
      </c>
    </row>
    <row r="715" spans="1:5" x14ac:dyDescent="0.25">
      <c r="A715" t="s">
        <v>33</v>
      </c>
      <c r="B715" s="93">
        <v>43622</v>
      </c>
      <c r="C715" t="s">
        <v>1185</v>
      </c>
      <c r="D715" s="5">
        <v>17.11</v>
      </c>
      <c r="E715" t="s">
        <v>46</v>
      </c>
    </row>
    <row r="716" spans="1:5" x14ac:dyDescent="0.25">
      <c r="A716" t="s">
        <v>33</v>
      </c>
      <c r="B716" s="93">
        <v>43621</v>
      </c>
      <c r="C716" t="s">
        <v>364</v>
      </c>
      <c r="D716" s="5">
        <v>299</v>
      </c>
      <c r="E716" t="s">
        <v>107</v>
      </c>
    </row>
    <row r="717" spans="1:5" x14ac:dyDescent="0.25">
      <c r="A717" t="s">
        <v>33</v>
      </c>
      <c r="B717" s="93">
        <v>43621</v>
      </c>
      <c r="C717" t="s">
        <v>1186</v>
      </c>
      <c r="D717" s="5">
        <v>16.04</v>
      </c>
      <c r="E717" t="s">
        <v>46</v>
      </c>
    </row>
    <row r="718" spans="1:5" x14ac:dyDescent="0.25">
      <c r="A718" t="s">
        <v>33</v>
      </c>
      <c r="B718" s="93">
        <v>43621</v>
      </c>
      <c r="C718" t="s">
        <v>1187</v>
      </c>
      <c r="D718" s="5">
        <v>13.56</v>
      </c>
      <c r="E718" t="s">
        <v>46</v>
      </c>
    </row>
    <row r="719" spans="1:5" x14ac:dyDescent="0.25">
      <c r="A719" t="s">
        <v>33</v>
      </c>
      <c r="B719" s="93">
        <v>43621</v>
      </c>
      <c r="C719" t="s">
        <v>1188</v>
      </c>
      <c r="D719" s="5">
        <v>20.02</v>
      </c>
      <c r="E719" t="s">
        <v>46</v>
      </c>
    </row>
    <row r="720" spans="1:5" x14ac:dyDescent="0.25">
      <c r="A720" t="s">
        <v>33</v>
      </c>
      <c r="B720" s="93">
        <v>43621</v>
      </c>
      <c r="C720" t="s">
        <v>1813</v>
      </c>
      <c r="D720" s="5">
        <v>1250</v>
      </c>
      <c r="E720" t="s">
        <v>35</v>
      </c>
    </row>
    <row r="721" spans="1:5" x14ac:dyDescent="0.25">
      <c r="A721" t="s">
        <v>33</v>
      </c>
      <c r="B721" s="93">
        <v>43621</v>
      </c>
      <c r="C721" t="s">
        <v>1814</v>
      </c>
      <c r="D721" s="5">
        <v>8.2799999999999994</v>
      </c>
      <c r="E721" t="s">
        <v>46</v>
      </c>
    </row>
    <row r="722" spans="1:5" x14ac:dyDescent="0.25">
      <c r="A722" t="s">
        <v>49</v>
      </c>
      <c r="B722" s="93">
        <v>43621</v>
      </c>
      <c r="C722" t="s">
        <v>1815</v>
      </c>
      <c r="D722" s="5">
        <v>-500</v>
      </c>
      <c r="E722" t="s">
        <v>128</v>
      </c>
    </row>
    <row r="723" spans="1:5" x14ac:dyDescent="0.25">
      <c r="A723" t="s">
        <v>33</v>
      </c>
      <c r="B723" s="93">
        <v>43620</v>
      </c>
      <c r="C723" t="s">
        <v>724</v>
      </c>
      <c r="D723" s="5">
        <v>60.72</v>
      </c>
      <c r="E723" t="s">
        <v>107</v>
      </c>
    </row>
    <row r="724" spans="1:5" x14ac:dyDescent="0.25">
      <c r="A724" t="s">
        <v>33</v>
      </c>
      <c r="B724" s="93">
        <v>43620</v>
      </c>
      <c r="C724" t="s">
        <v>377</v>
      </c>
      <c r="D724" s="5">
        <v>832.24</v>
      </c>
      <c r="E724" t="s">
        <v>107</v>
      </c>
    </row>
    <row r="725" spans="1:5" x14ac:dyDescent="0.25">
      <c r="A725" t="s">
        <v>33</v>
      </c>
      <c r="B725" s="93">
        <v>43620</v>
      </c>
      <c r="C725" t="s">
        <v>1110</v>
      </c>
      <c r="D725" s="5">
        <v>16.95</v>
      </c>
      <c r="E725" t="s">
        <v>46</v>
      </c>
    </row>
    <row r="726" spans="1:5" x14ac:dyDescent="0.25">
      <c r="A726" t="s">
        <v>33</v>
      </c>
      <c r="B726" s="93">
        <v>43620</v>
      </c>
      <c r="C726" t="s">
        <v>1111</v>
      </c>
      <c r="D726" s="5">
        <v>20.440000000000001</v>
      </c>
      <c r="E726" t="s">
        <v>46</v>
      </c>
    </row>
    <row r="727" spans="1:5" x14ac:dyDescent="0.25">
      <c r="A727" t="s">
        <v>33</v>
      </c>
      <c r="B727" s="93">
        <v>43620</v>
      </c>
      <c r="C727" t="s">
        <v>1112</v>
      </c>
      <c r="D727" s="5">
        <v>10</v>
      </c>
      <c r="E727" t="s">
        <v>46</v>
      </c>
    </row>
    <row r="728" spans="1:5" x14ac:dyDescent="0.25">
      <c r="A728" t="s">
        <v>33</v>
      </c>
      <c r="B728" s="93">
        <v>43620</v>
      </c>
      <c r="C728" t="s">
        <v>1113</v>
      </c>
      <c r="D728" s="5">
        <v>272.82</v>
      </c>
      <c r="E728" t="s">
        <v>46</v>
      </c>
    </row>
    <row r="729" spans="1:5" x14ac:dyDescent="0.25">
      <c r="A729" t="s">
        <v>33</v>
      </c>
      <c r="B729" s="93">
        <v>43620</v>
      </c>
      <c r="C729" t="s">
        <v>1114</v>
      </c>
      <c r="D729" s="5">
        <v>44.74</v>
      </c>
      <c r="E729" t="s">
        <v>46</v>
      </c>
    </row>
    <row r="730" spans="1:5" x14ac:dyDescent="0.25">
      <c r="A730" t="s">
        <v>33</v>
      </c>
      <c r="B730" s="93">
        <v>43620</v>
      </c>
      <c r="C730" t="s">
        <v>1115</v>
      </c>
      <c r="D730" s="5">
        <v>152.01</v>
      </c>
      <c r="E730" t="s">
        <v>46</v>
      </c>
    </row>
    <row r="731" spans="1:5" x14ac:dyDescent="0.25">
      <c r="A731" t="s">
        <v>49</v>
      </c>
      <c r="B731" s="93">
        <v>43620</v>
      </c>
      <c r="C731" t="s">
        <v>1116</v>
      </c>
      <c r="D731" s="5">
        <v>-140</v>
      </c>
      <c r="E731" t="s">
        <v>58</v>
      </c>
    </row>
    <row r="732" spans="1:5" x14ac:dyDescent="0.25">
      <c r="A732" t="s">
        <v>33</v>
      </c>
      <c r="B732" s="93">
        <v>43619</v>
      </c>
      <c r="C732" t="s">
        <v>1117</v>
      </c>
      <c r="D732" s="5">
        <v>87.82</v>
      </c>
      <c r="E732" t="s">
        <v>46</v>
      </c>
    </row>
    <row r="733" spans="1:5" x14ac:dyDescent="0.25">
      <c r="A733" t="s">
        <v>33</v>
      </c>
      <c r="B733" s="93">
        <v>43619</v>
      </c>
      <c r="C733" t="s">
        <v>1118</v>
      </c>
      <c r="D733" s="5">
        <v>5.71</v>
      </c>
      <c r="E733" t="s">
        <v>46</v>
      </c>
    </row>
    <row r="734" spans="1:5" x14ac:dyDescent="0.25">
      <c r="A734" t="s">
        <v>33</v>
      </c>
      <c r="B734" s="93">
        <v>43619</v>
      </c>
      <c r="C734" t="s">
        <v>1119</v>
      </c>
      <c r="D734" s="5">
        <v>7.95</v>
      </c>
      <c r="E734" t="s">
        <v>46</v>
      </c>
    </row>
    <row r="735" spans="1:5" x14ac:dyDescent="0.25">
      <c r="A735" t="s">
        <v>33</v>
      </c>
      <c r="B735" s="93">
        <v>43619</v>
      </c>
      <c r="C735" t="s">
        <v>1120</v>
      </c>
      <c r="D735" s="5">
        <v>20.04</v>
      </c>
      <c r="E735" t="s">
        <v>46</v>
      </c>
    </row>
    <row r="736" spans="1:5" x14ac:dyDescent="0.25">
      <c r="A736" t="s">
        <v>33</v>
      </c>
      <c r="B736" s="93">
        <v>43619</v>
      </c>
      <c r="C736" t="s">
        <v>1121</v>
      </c>
      <c r="D736" s="5">
        <v>15.24</v>
      </c>
      <c r="E736" t="s">
        <v>46</v>
      </c>
    </row>
    <row r="737" spans="1:5" x14ac:dyDescent="0.25">
      <c r="A737" t="s">
        <v>33</v>
      </c>
      <c r="B737" s="93">
        <v>43619</v>
      </c>
      <c r="C737" t="s">
        <v>1122</v>
      </c>
      <c r="D737" s="5">
        <v>16.57</v>
      </c>
      <c r="E737" t="s">
        <v>46</v>
      </c>
    </row>
    <row r="738" spans="1:5" x14ac:dyDescent="0.25">
      <c r="A738" t="s">
        <v>33</v>
      </c>
      <c r="B738" s="93">
        <v>43619</v>
      </c>
      <c r="C738" t="s">
        <v>1123</v>
      </c>
      <c r="D738" s="5">
        <v>3.52</v>
      </c>
      <c r="E738" t="s">
        <v>46</v>
      </c>
    </row>
    <row r="739" spans="1:5" x14ac:dyDescent="0.25">
      <c r="A739" t="s">
        <v>33</v>
      </c>
      <c r="B739" s="93">
        <v>43619</v>
      </c>
      <c r="C739" t="s">
        <v>1123</v>
      </c>
      <c r="D739" s="5">
        <v>32.82</v>
      </c>
      <c r="E739" t="s">
        <v>46</v>
      </c>
    </row>
    <row r="740" spans="1:5" x14ac:dyDescent="0.25">
      <c r="A740" t="s">
        <v>33</v>
      </c>
      <c r="B740" s="93">
        <v>43619</v>
      </c>
      <c r="C740" t="s">
        <v>1124</v>
      </c>
      <c r="D740" s="5">
        <v>11.61</v>
      </c>
      <c r="E740" t="s">
        <v>46</v>
      </c>
    </row>
    <row r="741" spans="1:5" x14ac:dyDescent="0.25">
      <c r="A741" t="s">
        <v>33</v>
      </c>
      <c r="B741" s="93">
        <v>43619</v>
      </c>
      <c r="C741" t="s">
        <v>1125</v>
      </c>
      <c r="D741" s="5">
        <v>14.08</v>
      </c>
      <c r="E741" t="s">
        <v>46</v>
      </c>
    </row>
    <row r="742" spans="1:5" x14ac:dyDescent="0.25">
      <c r="A742" t="s">
        <v>33</v>
      </c>
      <c r="B742" s="93">
        <v>43619</v>
      </c>
      <c r="C742" t="s">
        <v>1126</v>
      </c>
      <c r="D742" s="5">
        <v>11.38</v>
      </c>
      <c r="E742" t="s">
        <v>46</v>
      </c>
    </row>
    <row r="743" spans="1:5" x14ac:dyDescent="0.25">
      <c r="A743" t="s">
        <v>33</v>
      </c>
      <c r="B743" s="93">
        <v>43619</v>
      </c>
      <c r="C743" t="s">
        <v>1127</v>
      </c>
      <c r="D743" s="5">
        <v>25.33</v>
      </c>
      <c r="E743" t="s">
        <v>46</v>
      </c>
    </row>
    <row r="744" spans="1:5" x14ac:dyDescent="0.25">
      <c r="A744" t="s">
        <v>33</v>
      </c>
      <c r="B744" s="93">
        <v>43619</v>
      </c>
      <c r="C744" t="s">
        <v>1128</v>
      </c>
      <c r="D744" s="5">
        <v>12</v>
      </c>
      <c r="E744" t="s">
        <v>46</v>
      </c>
    </row>
    <row r="745" spans="1:5" x14ac:dyDescent="0.25">
      <c r="A745" t="s">
        <v>33</v>
      </c>
      <c r="B745" s="93">
        <v>43619</v>
      </c>
      <c r="C745" t="s">
        <v>1129</v>
      </c>
      <c r="D745" s="5">
        <v>9.75</v>
      </c>
      <c r="E745" t="s">
        <v>46</v>
      </c>
    </row>
    <row r="746" spans="1:5" x14ac:dyDescent="0.25">
      <c r="A746" t="s">
        <v>33</v>
      </c>
      <c r="B746" s="93">
        <v>43619</v>
      </c>
      <c r="C746" t="s">
        <v>1130</v>
      </c>
      <c r="D746" s="5">
        <v>133.13</v>
      </c>
      <c r="E746" t="s">
        <v>46</v>
      </c>
    </row>
    <row r="747" spans="1:5" x14ac:dyDescent="0.25">
      <c r="A747" t="s">
        <v>33</v>
      </c>
      <c r="B747" s="93">
        <v>43619</v>
      </c>
      <c r="C747" t="s">
        <v>1131</v>
      </c>
      <c r="D747" s="5">
        <v>25</v>
      </c>
      <c r="E747" t="s">
        <v>46</v>
      </c>
    </row>
    <row r="748" spans="1:5" x14ac:dyDescent="0.25">
      <c r="A748" t="s">
        <v>33</v>
      </c>
      <c r="B748" s="93">
        <v>43619</v>
      </c>
      <c r="C748" t="s">
        <v>1132</v>
      </c>
      <c r="D748" s="5">
        <v>53.93</v>
      </c>
      <c r="E748" t="s">
        <v>46</v>
      </c>
    </row>
    <row r="749" spans="1:5" x14ac:dyDescent="0.25">
      <c r="A749" t="s">
        <v>33</v>
      </c>
      <c r="B749" s="93">
        <v>43619</v>
      </c>
      <c r="C749" t="s">
        <v>1133</v>
      </c>
      <c r="D749" s="5">
        <v>2.25</v>
      </c>
      <c r="E749" t="s">
        <v>46</v>
      </c>
    </row>
    <row r="750" spans="1:5" x14ac:dyDescent="0.25">
      <c r="A750" t="s">
        <v>33</v>
      </c>
      <c r="B750" s="93">
        <v>43619</v>
      </c>
      <c r="C750" t="s">
        <v>1134</v>
      </c>
      <c r="D750" s="5">
        <v>9.6300000000000008</v>
      </c>
      <c r="E750" t="s">
        <v>46</v>
      </c>
    </row>
    <row r="751" spans="1:5" x14ac:dyDescent="0.25">
      <c r="A751" t="s">
        <v>33</v>
      </c>
      <c r="B751" s="93">
        <v>43619</v>
      </c>
      <c r="C751" t="s">
        <v>1135</v>
      </c>
      <c r="D751" s="5">
        <v>23.26</v>
      </c>
      <c r="E751" t="s">
        <v>46</v>
      </c>
    </row>
    <row r="752" spans="1:5" x14ac:dyDescent="0.25">
      <c r="A752" t="s">
        <v>49</v>
      </c>
      <c r="B752" s="93">
        <v>43616</v>
      </c>
      <c r="C752" t="s">
        <v>104</v>
      </c>
      <c r="D752" s="5">
        <v>-0.01</v>
      </c>
      <c r="E752" t="s">
        <v>105</v>
      </c>
    </row>
    <row r="753" spans="1:5" x14ac:dyDescent="0.25">
      <c r="A753" t="s">
        <v>33</v>
      </c>
      <c r="B753" s="93">
        <v>43616</v>
      </c>
      <c r="C753" t="s">
        <v>1105</v>
      </c>
      <c r="D753" s="5">
        <v>3.16</v>
      </c>
      <c r="E753" t="s">
        <v>46</v>
      </c>
    </row>
    <row r="754" spans="1:5" x14ac:dyDescent="0.25">
      <c r="A754" t="s">
        <v>33</v>
      </c>
      <c r="B754" s="93">
        <v>43616</v>
      </c>
      <c r="C754" t="s">
        <v>1106</v>
      </c>
      <c r="D754" s="5">
        <v>8.19</v>
      </c>
      <c r="E754" t="s">
        <v>46</v>
      </c>
    </row>
    <row r="755" spans="1:5" x14ac:dyDescent="0.25">
      <c r="A755" t="s">
        <v>33</v>
      </c>
      <c r="B755" s="93">
        <v>43616</v>
      </c>
      <c r="C755" t="s">
        <v>1107</v>
      </c>
      <c r="D755" s="5">
        <v>44.91</v>
      </c>
      <c r="E755" t="s">
        <v>46</v>
      </c>
    </row>
    <row r="756" spans="1:5" x14ac:dyDescent="0.25">
      <c r="A756" t="s">
        <v>33</v>
      </c>
      <c r="B756" s="93">
        <v>43616</v>
      </c>
      <c r="C756" t="s">
        <v>1108</v>
      </c>
      <c r="D756" s="5">
        <v>280</v>
      </c>
      <c r="E756" t="s">
        <v>58</v>
      </c>
    </row>
    <row r="757" spans="1:5" x14ac:dyDescent="0.25">
      <c r="A757" t="s">
        <v>33</v>
      </c>
      <c r="B757" s="93">
        <v>43616</v>
      </c>
      <c r="C757" t="s">
        <v>1109</v>
      </c>
      <c r="D757" s="5">
        <v>19.489999999999998</v>
      </c>
      <c r="E757" t="s">
        <v>46</v>
      </c>
    </row>
    <row r="758" spans="1:5" x14ac:dyDescent="0.25">
      <c r="A758" t="s">
        <v>49</v>
      </c>
      <c r="B758" s="93">
        <v>43616</v>
      </c>
      <c r="C758" t="s">
        <v>50</v>
      </c>
      <c r="D758" s="5">
        <v>-3485.05</v>
      </c>
      <c r="E758" t="s">
        <v>51</v>
      </c>
    </row>
    <row r="759" spans="1:5" x14ac:dyDescent="0.25">
      <c r="A759" t="s">
        <v>33</v>
      </c>
      <c r="B759" s="93">
        <v>43615</v>
      </c>
      <c r="C759" t="s">
        <v>1100</v>
      </c>
      <c r="D759" s="5">
        <v>8.49</v>
      </c>
      <c r="E759" t="s">
        <v>46</v>
      </c>
    </row>
    <row r="760" spans="1:5" x14ac:dyDescent="0.25">
      <c r="A760" t="s">
        <v>33</v>
      </c>
      <c r="B760" s="93">
        <v>43615</v>
      </c>
      <c r="C760" t="s">
        <v>1101</v>
      </c>
      <c r="D760" s="5">
        <v>4.2300000000000004</v>
      </c>
      <c r="E760" t="s">
        <v>46</v>
      </c>
    </row>
    <row r="761" spans="1:5" x14ac:dyDescent="0.25">
      <c r="A761" t="s">
        <v>33</v>
      </c>
      <c r="B761" s="93">
        <v>43615</v>
      </c>
      <c r="C761" t="s">
        <v>1102</v>
      </c>
      <c r="D761" s="5">
        <v>24.58</v>
      </c>
      <c r="E761" t="s">
        <v>46</v>
      </c>
    </row>
    <row r="762" spans="1:5" x14ac:dyDescent="0.25">
      <c r="A762" t="s">
        <v>33</v>
      </c>
      <c r="B762" s="93">
        <v>43615</v>
      </c>
      <c r="C762" t="s">
        <v>1103</v>
      </c>
      <c r="D762" s="5">
        <v>5.55</v>
      </c>
      <c r="E762" t="s">
        <v>46</v>
      </c>
    </row>
    <row r="763" spans="1:5" x14ac:dyDescent="0.25">
      <c r="A763" t="s">
        <v>33</v>
      </c>
      <c r="B763" s="93">
        <v>43615</v>
      </c>
      <c r="C763" t="s">
        <v>1103</v>
      </c>
      <c r="D763" s="5">
        <v>13.78</v>
      </c>
      <c r="E763" t="s">
        <v>46</v>
      </c>
    </row>
    <row r="764" spans="1:5" x14ac:dyDescent="0.25">
      <c r="A764" t="s">
        <v>33</v>
      </c>
      <c r="B764" s="93">
        <v>43615</v>
      </c>
      <c r="C764" t="s">
        <v>1104</v>
      </c>
      <c r="D764" s="5">
        <v>112.5</v>
      </c>
      <c r="E764" t="s">
        <v>46</v>
      </c>
    </row>
    <row r="765" spans="1:5" x14ac:dyDescent="0.25">
      <c r="A765" t="s">
        <v>33</v>
      </c>
      <c r="B765" s="93">
        <v>43615</v>
      </c>
      <c r="C765" t="s">
        <v>1816</v>
      </c>
      <c r="D765" s="5">
        <v>3.87</v>
      </c>
      <c r="E765" t="s">
        <v>46</v>
      </c>
    </row>
    <row r="766" spans="1:5" x14ac:dyDescent="0.25">
      <c r="A766" t="s">
        <v>33</v>
      </c>
      <c r="B766" s="93">
        <v>43615</v>
      </c>
      <c r="C766" t="s">
        <v>1816</v>
      </c>
      <c r="D766" s="5">
        <v>7.74</v>
      </c>
      <c r="E766" t="s">
        <v>46</v>
      </c>
    </row>
    <row r="767" spans="1:5" x14ac:dyDescent="0.25">
      <c r="A767" t="s">
        <v>33</v>
      </c>
      <c r="B767" s="93">
        <v>43614</v>
      </c>
      <c r="C767" t="s">
        <v>106</v>
      </c>
      <c r="D767" s="5">
        <v>437.54</v>
      </c>
      <c r="E767" t="s">
        <v>107</v>
      </c>
    </row>
    <row r="768" spans="1:5" x14ac:dyDescent="0.25">
      <c r="A768" t="s">
        <v>33</v>
      </c>
      <c r="B768" s="93">
        <v>43614</v>
      </c>
      <c r="C768" t="s">
        <v>1817</v>
      </c>
      <c r="D768" s="5">
        <v>30.16</v>
      </c>
      <c r="E768" t="s">
        <v>46</v>
      </c>
    </row>
    <row r="769" spans="1:5" x14ac:dyDescent="0.25">
      <c r="A769" t="s">
        <v>49</v>
      </c>
      <c r="B769" s="93">
        <v>43614</v>
      </c>
      <c r="C769" t="s">
        <v>1818</v>
      </c>
      <c r="D769" s="5">
        <v>-300</v>
      </c>
      <c r="E769" t="s">
        <v>128</v>
      </c>
    </row>
    <row r="770" spans="1:5" x14ac:dyDescent="0.25">
      <c r="A770" t="s">
        <v>33</v>
      </c>
      <c r="B770" s="93">
        <v>43613</v>
      </c>
      <c r="C770" t="s">
        <v>1054</v>
      </c>
      <c r="D770" s="5">
        <v>14.01</v>
      </c>
      <c r="E770" t="s">
        <v>46</v>
      </c>
    </row>
    <row r="771" spans="1:5" x14ac:dyDescent="0.25">
      <c r="A771" t="s">
        <v>33</v>
      </c>
      <c r="B771" s="93">
        <v>43613</v>
      </c>
      <c r="C771" t="s">
        <v>1055</v>
      </c>
      <c r="D771" s="5">
        <v>2.5</v>
      </c>
      <c r="E771" t="s">
        <v>46</v>
      </c>
    </row>
    <row r="772" spans="1:5" x14ac:dyDescent="0.25">
      <c r="A772" t="s">
        <v>33</v>
      </c>
      <c r="B772" s="93">
        <v>43613</v>
      </c>
      <c r="C772" t="s">
        <v>1056</v>
      </c>
      <c r="D772" s="5">
        <v>4.2300000000000004</v>
      </c>
      <c r="E772" t="s">
        <v>46</v>
      </c>
    </row>
    <row r="773" spans="1:5" x14ac:dyDescent="0.25">
      <c r="A773" t="s">
        <v>33</v>
      </c>
      <c r="B773" s="93">
        <v>43613</v>
      </c>
      <c r="C773" t="s">
        <v>1057</v>
      </c>
      <c r="D773" s="5">
        <v>15.31</v>
      </c>
      <c r="E773" t="s">
        <v>46</v>
      </c>
    </row>
    <row r="774" spans="1:5" x14ac:dyDescent="0.25">
      <c r="A774" t="s">
        <v>33</v>
      </c>
      <c r="B774" s="93">
        <v>43613</v>
      </c>
      <c r="C774" t="s">
        <v>1058</v>
      </c>
      <c r="D774" s="5">
        <v>3.16</v>
      </c>
      <c r="E774" t="s">
        <v>46</v>
      </c>
    </row>
    <row r="775" spans="1:5" x14ac:dyDescent="0.25">
      <c r="A775" t="s">
        <v>33</v>
      </c>
      <c r="B775" s="93">
        <v>43613</v>
      </c>
      <c r="C775" t="s">
        <v>1059</v>
      </c>
      <c r="D775" s="5">
        <v>2.58</v>
      </c>
      <c r="E775" t="s">
        <v>46</v>
      </c>
    </row>
    <row r="776" spans="1:5" x14ac:dyDescent="0.25">
      <c r="A776" t="s">
        <v>33</v>
      </c>
      <c r="B776" s="93">
        <v>43613</v>
      </c>
      <c r="C776" t="s">
        <v>1060</v>
      </c>
      <c r="D776" s="5">
        <v>10.82</v>
      </c>
      <c r="E776" t="s">
        <v>46</v>
      </c>
    </row>
    <row r="777" spans="1:5" x14ac:dyDescent="0.25">
      <c r="A777" t="s">
        <v>33</v>
      </c>
      <c r="B777" s="93">
        <v>43613</v>
      </c>
      <c r="C777" t="s">
        <v>1061</v>
      </c>
      <c r="D777" s="5">
        <v>39.93</v>
      </c>
      <c r="E777" t="s">
        <v>46</v>
      </c>
    </row>
    <row r="778" spans="1:5" x14ac:dyDescent="0.25">
      <c r="A778" t="s">
        <v>33</v>
      </c>
      <c r="B778" s="93">
        <v>43613</v>
      </c>
      <c r="C778" t="s">
        <v>1062</v>
      </c>
      <c r="D778" s="5">
        <v>24.59</v>
      </c>
      <c r="E778" t="s">
        <v>46</v>
      </c>
    </row>
    <row r="779" spans="1:5" x14ac:dyDescent="0.25">
      <c r="A779" t="s">
        <v>33</v>
      </c>
      <c r="B779" s="93">
        <v>43613</v>
      </c>
      <c r="C779" t="s">
        <v>1063</v>
      </c>
      <c r="D779" s="5">
        <v>4.2699999999999996</v>
      </c>
      <c r="E779" t="s">
        <v>46</v>
      </c>
    </row>
    <row r="780" spans="1:5" x14ac:dyDescent="0.25">
      <c r="A780" t="s">
        <v>33</v>
      </c>
      <c r="B780" s="93">
        <v>43613</v>
      </c>
      <c r="C780" t="s">
        <v>1064</v>
      </c>
      <c r="D780" s="5">
        <v>5.1100000000000003</v>
      </c>
      <c r="E780" t="s">
        <v>46</v>
      </c>
    </row>
    <row r="781" spans="1:5" x14ac:dyDescent="0.25">
      <c r="A781" t="s">
        <v>33</v>
      </c>
      <c r="B781" s="93">
        <v>43613</v>
      </c>
      <c r="C781" t="s">
        <v>1065</v>
      </c>
      <c r="D781" s="5">
        <v>21.37</v>
      </c>
      <c r="E781" t="s">
        <v>46</v>
      </c>
    </row>
    <row r="782" spans="1:5" x14ac:dyDescent="0.25">
      <c r="A782" t="s">
        <v>33</v>
      </c>
      <c r="B782" s="93">
        <v>43613</v>
      </c>
      <c r="C782" t="s">
        <v>1066</v>
      </c>
      <c r="D782" s="5">
        <v>40.11</v>
      </c>
      <c r="E782" t="s">
        <v>46</v>
      </c>
    </row>
    <row r="783" spans="1:5" x14ac:dyDescent="0.25">
      <c r="A783" t="s">
        <v>33</v>
      </c>
      <c r="B783" s="93">
        <v>43613</v>
      </c>
      <c r="C783" t="s">
        <v>1067</v>
      </c>
      <c r="D783" s="5">
        <v>12.42</v>
      </c>
      <c r="E783" t="s">
        <v>46</v>
      </c>
    </row>
    <row r="784" spans="1:5" x14ac:dyDescent="0.25">
      <c r="A784" t="s">
        <v>49</v>
      </c>
      <c r="B784" s="93">
        <v>43613</v>
      </c>
      <c r="C784" t="s">
        <v>1819</v>
      </c>
      <c r="D784" s="5">
        <v>-500</v>
      </c>
      <c r="E784" t="s">
        <v>128</v>
      </c>
    </row>
    <row r="785" spans="1:5" x14ac:dyDescent="0.25">
      <c r="A785" t="s">
        <v>33</v>
      </c>
      <c r="B785" s="93">
        <v>43613</v>
      </c>
      <c r="C785" t="s">
        <v>1820</v>
      </c>
      <c r="D785" s="5">
        <v>-22.47</v>
      </c>
      <c r="E785" t="s">
        <v>46</v>
      </c>
    </row>
    <row r="786" spans="1:5" x14ac:dyDescent="0.25">
      <c r="A786" t="s">
        <v>33</v>
      </c>
      <c r="B786" s="93">
        <v>43609</v>
      </c>
      <c r="C786" t="s">
        <v>1068</v>
      </c>
      <c r="D786" s="5">
        <v>0.99</v>
      </c>
      <c r="E786" t="s">
        <v>46</v>
      </c>
    </row>
    <row r="787" spans="1:5" x14ac:dyDescent="0.25">
      <c r="A787" t="s">
        <v>33</v>
      </c>
      <c r="B787" s="93">
        <v>43609</v>
      </c>
      <c r="C787" t="s">
        <v>1069</v>
      </c>
      <c r="D787" s="5">
        <v>12.43</v>
      </c>
      <c r="E787" t="s">
        <v>46</v>
      </c>
    </row>
    <row r="788" spans="1:5" x14ac:dyDescent="0.25">
      <c r="A788" t="s">
        <v>33</v>
      </c>
      <c r="B788" s="93">
        <v>43609</v>
      </c>
      <c r="C788" t="s">
        <v>1070</v>
      </c>
      <c r="D788" s="5">
        <v>18.5</v>
      </c>
      <c r="E788" t="s">
        <v>46</v>
      </c>
    </row>
    <row r="789" spans="1:5" x14ac:dyDescent="0.25">
      <c r="A789" t="s">
        <v>33</v>
      </c>
      <c r="B789" s="93">
        <v>43609</v>
      </c>
      <c r="C789" t="s">
        <v>1071</v>
      </c>
      <c r="D789" s="5">
        <v>16.12</v>
      </c>
      <c r="E789" t="s">
        <v>46</v>
      </c>
    </row>
    <row r="790" spans="1:5" x14ac:dyDescent="0.25">
      <c r="A790" t="s">
        <v>33</v>
      </c>
      <c r="B790" s="93">
        <v>43608</v>
      </c>
      <c r="C790" t="s">
        <v>1072</v>
      </c>
      <c r="D790" s="5">
        <v>27.69</v>
      </c>
      <c r="E790" t="s">
        <v>46</v>
      </c>
    </row>
    <row r="791" spans="1:5" x14ac:dyDescent="0.25">
      <c r="A791" t="s">
        <v>33</v>
      </c>
      <c r="B791" s="93">
        <v>43608</v>
      </c>
      <c r="C791" t="s">
        <v>1073</v>
      </c>
      <c r="D791" s="5">
        <v>12.71</v>
      </c>
      <c r="E791" t="s">
        <v>46</v>
      </c>
    </row>
    <row r="792" spans="1:5" x14ac:dyDescent="0.25">
      <c r="A792" t="s">
        <v>33</v>
      </c>
      <c r="B792" s="93">
        <v>43608</v>
      </c>
      <c r="C792" t="s">
        <v>1068</v>
      </c>
      <c r="D792" s="5">
        <v>8.15</v>
      </c>
      <c r="E792" t="s">
        <v>46</v>
      </c>
    </row>
    <row r="793" spans="1:5" x14ac:dyDescent="0.25">
      <c r="A793" t="s">
        <v>33</v>
      </c>
      <c r="B793" s="93">
        <v>43608</v>
      </c>
      <c r="C793" t="s">
        <v>1074</v>
      </c>
      <c r="D793" s="5">
        <v>4.26</v>
      </c>
      <c r="E793" t="s">
        <v>46</v>
      </c>
    </row>
    <row r="794" spans="1:5" x14ac:dyDescent="0.25">
      <c r="A794" t="s">
        <v>33</v>
      </c>
      <c r="B794" s="93">
        <v>43608</v>
      </c>
      <c r="C794" t="s">
        <v>1075</v>
      </c>
      <c r="D794" s="5">
        <v>16.91</v>
      </c>
      <c r="E794" t="s">
        <v>46</v>
      </c>
    </row>
    <row r="795" spans="1:5" x14ac:dyDescent="0.25">
      <c r="A795" t="s">
        <v>33</v>
      </c>
      <c r="B795" s="93">
        <v>43607</v>
      </c>
      <c r="C795" t="s">
        <v>1076</v>
      </c>
      <c r="D795" s="5">
        <v>24.1</v>
      </c>
      <c r="E795" t="s">
        <v>46</v>
      </c>
    </row>
    <row r="796" spans="1:5" x14ac:dyDescent="0.25">
      <c r="A796" t="s">
        <v>33</v>
      </c>
      <c r="B796" s="93">
        <v>43607</v>
      </c>
      <c r="C796" t="s">
        <v>1077</v>
      </c>
      <c r="D796" s="5">
        <v>10.91</v>
      </c>
      <c r="E796" t="s">
        <v>46</v>
      </c>
    </row>
    <row r="797" spans="1:5" x14ac:dyDescent="0.25">
      <c r="A797" t="s">
        <v>33</v>
      </c>
      <c r="B797" s="93">
        <v>43607</v>
      </c>
      <c r="C797" t="s">
        <v>1078</v>
      </c>
      <c r="D797" s="5">
        <v>32.049999999999997</v>
      </c>
      <c r="E797" t="s">
        <v>46</v>
      </c>
    </row>
    <row r="798" spans="1:5" x14ac:dyDescent="0.25">
      <c r="A798" t="s">
        <v>33</v>
      </c>
      <c r="B798" s="93">
        <v>43607</v>
      </c>
      <c r="C798" t="s">
        <v>1079</v>
      </c>
      <c r="D798" s="5">
        <v>15.77</v>
      </c>
      <c r="E798" t="s">
        <v>46</v>
      </c>
    </row>
    <row r="799" spans="1:5" x14ac:dyDescent="0.25">
      <c r="A799" t="s">
        <v>33</v>
      </c>
      <c r="B799" s="93">
        <v>43606</v>
      </c>
      <c r="C799" t="s">
        <v>1080</v>
      </c>
      <c r="D799" s="5">
        <v>7.48</v>
      </c>
      <c r="E799" t="s">
        <v>46</v>
      </c>
    </row>
    <row r="800" spans="1:5" x14ac:dyDescent="0.25">
      <c r="A800" t="s">
        <v>33</v>
      </c>
      <c r="B800" s="93">
        <v>43605</v>
      </c>
      <c r="C800" t="s">
        <v>1081</v>
      </c>
      <c r="D800" s="5">
        <v>17.62</v>
      </c>
      <c r="E800" t="s">
        <v>46</v>
      </c>
    </row>
    <row r="801" spans="1:5" x14ac:dyDescent="0.25">
      <c r="A801" t="s">
        <v>33</v>
      </c>
      <c r="B801" s="93">
        <v>43605</v>
      </c>
      <c r="C801" t="s">
        <v>1082</v>
      </c>
      <c r="D801" s="5">
        <v>7</v>
      </c>
      <c r="E801" t="s">
        <v>46</v>
      </c>
    </row>
    <row r="802" spans="1:5" x14ac:dyDescent="0.25">
      <c r="A802" t="s">
        <v>33</v>
      </c>
      <c r="B802" s="93">
        <v>43605</v>
      </c>
      <c r="C802" t="s">
        <v>1083</v>
      </c>
      <c r="D802" s="5">
        <v>13.96</v>
      </c>
      <c r="E802" t="s">
        <v>46</v>
      </c>
    </row>
    <row r="803" spans="1:5" x14ac:dyDescent="0.25">
      <c r="A803" t="s">
        <v>33</v>
      </c>
      <c r="B803" s="93">
        <v>43605</v>
      </c>
      <c r="C803" t="s">
        <v>1084</v>
      </c>
      <c r="D803" s="5">
        <v>13.86</v>
      </c>
      <c r="E803" t="s">
        <v>46</v>
      </c>
    </row>
    <row r="804" spans="1:5" x14ac:dyDescent="0.25">
      <c r="A804" t="s">
        <v>33</v>
      </c>
      <c r="B804" s="93">
        <v>43605</v>
      </c>
      <c r="C804" t="s">
        <v>1085</v>
      </c>
      <c r="D804" s="5">
        <v>32</v>
      </c>
      <c r="E804" t="s">
        <v>46</v>
      </c>
    </row>
    <row r="805" spans="1:5" x14ac:dyDescent="0.25">
      <c r="A805" t="s">
        <v>33</v>
      </c>
      <c r="B805" s="93">
        <v>43605</v>
      </c>
      <c r="C805" t="s">
        <v>1086</v>
      </c>
      <c r="D805" s="5">
        <v>4.2300000000000004</v>
      </c>
      <c r="E805" t="s">
        <v>46</v>
      </c>
    </row>
    <row r="806" spans="1:5" x14ac:dyDescent="0.25">
      <c r="A806" t="s">
        <v>33</v>
      </c>
      <c r="B806" s="93">
        <v>43605</v>
      </c>
      <c r="C806" t="s">
        <v>1087</v>
      </c>
      <c r="D806" s="5">
        <v>10.42</v>
      </c>
      <c r="E806" t="s">
        <v>46</v>
      </c>
    </row>
    <row r="807" spans="1:5" x14ac:dyDescent="0.25">
      <c r="A807" t="s">
        <v>33</v>
      </c>
      <c r="B807" s="93">
        <v>43605</v>
      </c>
      <c r="C807" t="s">
        <v>1088</v>
      </c>
      <c r="D807" s="5">
        <v>11.96</v>
      </c>
      <c r="E807" t="s">
        <v>46</v>
      </c>
    </row>
    <row r="808" spans="1:5" x14ac:dyDescent="0.25">
      <c r="A808" t="s">
        <v>33</v>
      </c>
      <c r="B808" s="93">
        <v>43605</v>
      </c>
      <c r="C808" t="s">
        <v>1089</v>
      </c>
      <c r="D808" s="5">
        <v>7.44</v>
      </c>
      <c r="E808" t="s">
        <v>46</v>
      </c>
    </row>
    <row r="809" spans="1:5" x14ac:dyDescent="0.25">
      <c r="A809" t="s">
        <v>33</v>
      </c>
      <c r="B809" s="93">
        <v>43605</v>
      </c>
      <c r="C809" t="s">
        <v>1090</v>
      </c>
      <c r="D809" s="5">
        <v>40.15</v>
      </c>
      <c r="E809" t="s">
        <v>46</v>
      </c>
    </row>
    <row r="810" spans="1:5" x14ac:dyDescent="0.25">
      <c r="A810" t="s">
        <v>33</v>
      </c>
      <c r="B810" s="93">
        <v>43605</v>
      </c>
      <c r="C810" t="s">
        <v>1091</v>
      </c>
      <c r="D810" s="5">
        <v>40</v>
      </c>
      <c r="E810" t="s">
        <v>58</v>
      </c>
    </row>
    <row r="811" spans="1:5" x14ac:dyDescent="0.25">
      <c r="A811" t="s">
        <v>33</v>
      </c>
      <c r="B811" s="93">
        <v>43605</v>
      </c>
      <c r="C811" t="s">
        <v>1092</v>
      </c>
      <c r="D811" s="5">
        <v>4.2300000000000004</v>
      </c>
      <c r="E811" t="s">
        <v>46</v>
      </c>
    </row>
    <row r="812" spans="1:5" x14ac:dyDescent="0.25">
      <c r="A812" t="s">
        <v>33</v>
      </c>
      <c r="B812" s="93">
        <v>43605</v>
      </c>
      <c r="C812" t="s">
        <v>1093</v>
      </c>
      <c r="D812" s="5">
        <v>38.99</v>
      </c>
      <c r="E812" t="s">
        <v>46</v>
      </c>
    </row>
    <row r="813" spans="1:5" x14ac:dyDescent="0.25">
      <c r="A813" t="s">
        <v>33</v>
      </c>
      <c r="B813" s="93">
        <v>43605</v>
      </c>
      <c r="C813" t="s">
        <v>1094</v>
      </c>
      <c r="D813" s="5">
        <v>60</v>
      </c>
      <c r="E813" t="s">
        <v>58</v>
      </c>
    </row>
    <row r="814" spans="1:5" x14ac:dyDescent="0.25">
      <c r="A814" t="s">
        <v>33</v>
      </c>
      <c r="B814" s="93">
        <v>43605</v>
      </c>
      <c r="C814" t="s">
        <v>1095</v>
      </c>
      <c r="D814" s="5">
        <v>39.97</v>
      </c>
      <c r="E814" t="s">
        <v>46</v>
      </c>
    </row>
    <row r="815" spans="1:5" x14ac:dyDescent="0.25">
      <c r="A815" t="s">
        <v>33</v>
      </c>
      <c r="B815" s="93">
        <v>43605</v>
      </c>
      <c r="C815" t="s">
        <v>1096</v>
      </c>
      <c r="D815" s="5">
        <v>1.29</v>
      </c>
      <c r="E815" t="s">
        <v>46</v>
      </c>
    </row>
    <row r="816" spans="1:5" x14ac:dyDescent="0.25">
      <c r="A816" t="s">
        <v>33</v>
      </c>
      <c r="B816" s="93">
        <v>43605</v>
      </c>
      <c r="C816" t="s">
        <v>1821</v>
      </c>
      <c r="D816" s="5">
        <v>33.82</v>
      </c>
      <c r="E816" t="s">
        <v>46</v>
      </c>
    </row>
    <row r="817" spans="1:5" x14ac:dyDescent="0.25">
      <c r="A817" t="s">
        <v>33</v>
      </c>
      <c r="B817" s="93">
        <v>43602</v>
      </c>
      <c r="C817" t="s">
        <v>662</v>
      </c>
      <c r="D817" s="5">
        <v>200</v>
      </c>
      <c r="E817" t="s">
        <v>107</v>
      </c>
    </row>
    <row r="818" spans="1:5" x14ac:dyDescent="0.25">
      <c r="A818" t="s">
        <v>33</v>
      </c>
      <c r="B818" s="93">
        <v>43602</v>
      </c>
      <c r="C818" t="s">
        <v>1053</v>
      </c>
      <c r="D818" s="5">
        <v>8.0299999999999994</v>
      </c>
      <c r="E818" t="s">
        <v>46</v>
      </c>
    </row>
    <row r="819" spans="1:5" x14ac:dyDescent="0.25">
      <c r="A819" t="s">
        <v>33</v>
      </c>
      <c r="B819" s="93">
        <v>43602</v>
      </c>
      <c r="C819" t="s">
        <v>1822</v>
      </c>
      <c r="D819" s="5">
        <v>2900</v>
      </c>
      <c r="E819" t="s">
        <v>128</v>
      </c>
    </row>
    <row r="820" spans="1:5" x14ac:dyDescent="0.25">
      <c r="A820" t="s">
        <v>49</v>
      </c>
      <c r="B820" s="93">
        <v>43602</v>
      </c>
      <c r="C820" t="s">
        <v>50</v>
      </c>
      <c r="D820" s="5">
        <v>-3485.06</v>
      </c>
      <c r="E820" t="s">
        <v>51</v>
      </c>
    </row>
    <row r="821" spans="1:5" x14ac:dyDescent="0.25">
      <c r="A821" t="s">
        <v>33</v>
      </c>
      <c r="B821" s="93">
        <v>43601</v>
      </c>
      <c r="C821" t="s">
        <v>1030</v>
      </c>
      <c r="D821" s="5">
        <v>12.71</v>
      </c>
      <c r="E821" t="s">
        <v>46</v>
      </c>
    </row>
    <row r="822" spans="1:5" x14ac:dyDescent="0.25">
      <c r="A822" t="s">
        <v>33</v>
      </c>
      <c r="B822" s="93">
        <v>43601</v>
      </c>
      <c r="C822" t="s">
        <v>1031</v>
      </c>
      <c r="D822" s="5">
        <v>17.91</v>
      </c>
      <c r="E822" t="s">
        <v>46</v>
      </c>
    </row>
    <row r="823" spans="1:5" x14ac:dyDescent="0.25">
      <c r="A823" t="s">
        <v>33</v>
      </c>
      <c r="B823" s="93">
        <v>43600</v>
      </c>
      <c r="C823" t="s">
        <v>1032</v>
      </c>
      <c r="D823" s="5">
        <v>25.07</v>
      </c>
      <c r="E823" t="s">
        <v>46</v>
      </c>
    </row>
    <row r="824" spans="1:5" x14ac:dyDescent="0.25">
      <c r="A824" t="s">
        <v>33</v>
      </c>
      <c r="B824" s="93">
        <v>43600</v>
      </c>
      <c r="C824" t="s">
        <v>1033</v>
      </c>
      <c r="D824" s="5">
        <v>33.229999999999997</v>
      </c>
      <c r="E824" t="s">
        <v>46</v>
      </c>
    </row>
    <row r="825" spans="1:5" x14ac:dyDescent="0.25">
      <c r="A825" t="s">
        <v>33</v>
      </c>
      <c r="B825" s="93">
        <v>43600</v>
      </c>
      <c r="C825" t="s">
        <v>1034</v>
      </c>
      <c r="D825" s="5">
        <v>5.73</v>
      </c>
      <c r="E825" t="s">
        <v>46</v>
      </c>
    </row>
    <row r="826" spans="1:5" x14ac:dyDescent="0.25">
      <c r="A826" t="s">
        <v>33</v>
      </c>
      <c r="B826" s="93">
        <v>43600</v>
      </c>
      <c r="C826" t="s">
        <v>1035</v>
      </c>
      <c r="D826" s="5">
        <v>113.51</v>
      </c>
      <c r="E826" t="s">
        <v>46</v>
      </c>
    </row>
    <row r="827" spans="1:5" x14ac:dyDescent="0.25">
      <c r="A827" t="s">
        <v>33</v>
      </c>
      <c r="B827" s="93">
        <v>43600</v>
      </c>
      <c r="C827" t="s">
        <v>1036</v>
      </c>
      <c r="D827" s="5">
        <v>5.73</v>
      </c>
      <c r="E827" t="s">
        <v>46</v>
      </c>
    </row>
    <row r="828" spans="1:5" x14ac:dyDescent="0.25">
      <c r="A828" t="s">
        <v>33</v>
      </c>
      <c r="B828" s="93">
        <v>43599</v>
      </c>
      <c r="C828" t="s">
        <v>1037</v>
      </c>
      <c r="D828" s="5">
        <v>1.29</v>
      </c>
      <c r="E828" t="s">
        <v>46</v>
      </c>
    </row>
    <row r="829" spans="1:5" x14ac:dyDescent="0.25">
      <c r="A829" t="s">
        <v>33</v>
      </c>
      <c r="B829" s="93">
        <v>43599</v>
      </c>
      <c r="C829" t="s">
        <v>1038</v>
      </c>
      <c r="D829" s="5">
        <v>3.48</v>
      </c>
      <c r="E829" t="s">
        <v>46</v>
      </c>
    </row>
    <row r="830" spans="1:5" x14ac:dyDescent="0.25">
      <c r="A830" t="s">
        <v>33</v>
      </c>
      <c r="B830" s="93">
        <v>43599</v>
      </c>
      <c r="C830" t="s">
        <v>1039</v>
      </c>
      <c r="D830" s="5">
        <v>39.17</v>
      </c>
      <c r="E830" t="s">
        <v>46</v>
      </c>
    </row>
    <row r="831" spans="1:5" x14ac:dyDescent="0.25">
      <c r="A831" t="s">
        <v>33</v>
      </c>
      <c r="B831" s="93">
        <v>43598</v>
      </c>
      <c r="C831" t="s">
        <v>1040</v>
      </c>
      <c r="D831" s="5">
        <v>2.39</v>
      </c>
      <c r="E831" t="s">
        <v>46</v>
      </c>
    </row>
    <row r="832" spans="1:5" x14ac:dyDescent="0.25">
      <c r="A832" t="s">
        <v>33</v>
      </c>
      <c r="B832" s="93">
        <v>43598</v>
      </c>
      <c r="C832" t="s">
        <v>1041</v>
      </c>
      <c r="D832" s="5">
        <v>3.16</v>
      </c>
      <c r="E832" t="s">
        <v>46</v>
      </c>
    </row>
    <row r="833" spans="1:5" x14ac:dyDescent="0.25">
      <c r="A833" t="s">
        <v>33</v>
      </c>
      <c r="B833" s="93">
        <v>43598</v>
      </c>
      <c r="C833" t="s">
        <v>1042</v>
      </c>
      <c r="D833" s="5">
        <v>9.89</v>
      </c>
      <c r="E833" t="s">
        <v>46</v>
      </c>
    </row>
    <row r="834" spans="1:5" x14ac:dyDescent="0.25">
      <c r="A834" t="s">
        <v>33</v>
      </c>
      <c r="B834" s="93">
        <v>43598</v>
      </c>
      <c r="C834" t="s">
        <v>1043</v>
      </c>
      <c r="D834" s="5">
        <v>23.92</v>
      </c>
      <c r="E834" t="s">
        <v>46</v>
      </c>
    </row>
    <row r="835" spans="1:5" x14ac:dyDescent="0.25">
      <c r="A835" t="s">
        <v>33</v>
      </c>
      <c r="B835" s="93">
        <v>43598</v>
      </c>
      <c r="C835" t="s">
        <v>1044</v>
      </c>
      <c r="D835" s="5">
        <v>4.2300000000000004</v>
      </c>
      <c r="E835" t="s">
        <v>46</v>
      </c>
    </row>
    <row r="836" spans="1:5" x14ac:dyDescent="0.25">
      <c r="A836" t="s">
        <v>33</v>
      </c>
      <c r="B836" s="93">
        <v>43598</v>
      </c>
      <c r="C836" t="s">
        <v>1045</v>
      </c>
      <c r="D836" s="5">
        <v>4.2300000000000004</v>
      </c>
      <c r="E836" t="s">
        <v>46</v>
      </c>
    </row>
    <row r="837" spans="1:5" x14ac:dyDescent="0.25">
      <c r="A837" t="s">
        <v>33</v>
      </c>
      <c r="B837" s="93">
        <v>43598</v>
      </c>
      <c r="C837" t="s">
        <v>1046</v>
      </c>
      <c r="D837" s="5">
        <v>8.33</v>
      </c>
      <c r="E837" t="s">
        <v>46</v>
      </c>
    </row>
    <row r="838" spans="1:5" x14ac:dyDescent="0.25">
      <c r="A838" t="s">
        <v>33</v>
      </c>
      <c r="B838" s="93">
        <v>43598</v>
      </c>
      <c r="C838" t="s">
        <v>1047</v>
      </c>
      <c r="D838" s="5">
        <v>30.35</v>
      </c>
      <c r="E838" t="s">
        <v>46</v>
      </c>
    </row>
    <row r="839" spans="1:5" x14ac:dyDescent="0.25">
      <c r="A839" t="s">
        <v>33</v>
      </c>
      <c r="B839" s="93">
        <v>43598</v>
      </c>
      <c r="C839" t="s">
        <v>1048</v>
      </c>
      <c r="D839" s="5">
        <v>17.11</v>
      </c>
      <c r="E839" t="s">
        <v>46</v>
      </c>
    </row>
    <row r="840" spans="1:5" x14ac:dyDescent="0.25">
      <c r="A840" t="s">
        <v>33</v>
      </c>
      <c r="B840" s="93">
        <v>43598</v>
      </c>
      <c r="C840" t="s">
        <v>1049</v>
      </c>
      <c r="D840" s="5">
        <v>4.2300000000000004</v>
      </c>
      <c r="E840" t="s">
        <v>46</v>
      </c>
    </row>
    <row r="841" spans="1:5" x14ac:dyDescent="0.25">
      <c r="A841" t="s">
        <v>33</v>
      </c>
      <c r="B841" s="93">
        <v>43598</v>
      </c>
      <c r="C841" t="s">
        <v>1050</v>
      </c>
      <c r="D841" s="5">
        <v>21.64</v>
      </c>
      <c r="E841" t="s">
        <v>46</v>
      </c>
    </row>
    <row r="842" spans="1:5" x14ac:dyDescent="0.25">
      <c r="A842" t="s">
        <v>33</v>
      </c>
      <c r="B842" s="93">
        <v>43598</v>
      </c>
      <c r="C842" t="s">
        <v>1051</v>
      </c>
      <c r="D842" s="5">
        <v>17.84</v>
      </c>
      <c r="E842" t="s">
        <v>46</v>
      </c>
    </row>
    <row r="843" spans="1:5" x14ac:dyDescent="0.25">
      <c r="A843" t="s">
        <v>33</v>
      </c>
      <c r="B843" s="93">
        <v>43598</v>
      </c>
      <c r="C843" t="s">
        <v>1823</v>
      </c>
      <c r="D843" s="5">
        <v>12.42</v>
      </c>
      <c r="E843" t="s">
        <v>46</v>
      </c>
    </row>
    <row r="844" spans="1:5" x14ac:dyDescent="0.25">
      <c r="A844" t="s">
        <v>33</v>
      </c>
      <c r="B844" s="93">
        <v>43595</v>
      </c>
      <c r="C844" t="s">
        <v>1029</v>
      </c>
      <c r="D844" s="5">
        <v>21.22</v>
      </c>
      <c r="E844" t="s">
        <v>46</v>
      </c>
    </row>
    <row r="845" spans="1:5" x14ac:dyDescent="0.25">
      <c r="A845" t="s">
        <v>33</v>
      </c>
      <c r="B845" s="93">
        <v>43594</v>
      </c>
      <c r="C845" t="s">
        <v>1019</v>
      </c>
      <c r="D845" s="5">
        <v>8.23</v>
      </c>
      <c r="E845" t="s">
        <v>46</v>
      </c>
    </row>
    <row r="846" spans="1:5" x14ac:dyDescent="0.25">
      <c r="A846" t="s">
        <v>33</v>
      </c>
      <c r="B846" s="93">
        <v>43593</v>
      </c>
      <c r="C846" t="s">
        <v>1020</v>
      </c>
      <c r="D846" s="5">
        <v>142.59</v>
      </c>
      <c r="E846" t="s">
        <v>46</v>
      </c>
    </row>
    <row r="847" spans="1:5" x14ac:dyDescent="0.25">
      <c r="A847" t="s">
        <v>33</v>
      </c>
      <c r="B847" s="93">
        <v>43593</v>
      </c>
      <c r="C847" t="s">
        <v>1021</v>
      </c>
      <c r="D847" s="5">
        <v>27.01</v>
      </c>
      <c r="E847" t="s">
        <v>46</v>
      </c>
    </row>
    <row r="848" spans="1:5" x14ac:dyDescent="0.25">
      <c r="A848" t="s">
        <v>33</v>
      </c>
      <c r="B848" s="93">
        <v>43593</v>
      </c>
      <c r="C848" t="s">
        <v>1022</v>
      </c>
      <c r="D848" s="5">
        <v>16.03</v>
      </c>
      <c r="E848" t="s">
        <v>46</v>
      </c>
    </row>
    <row r="849" spans="1:5" x14ac:dyDescent="0.25">
      <c r="A849" t="s">
        <v>33</v>
      </c>
      <c r="B849" s="93">
        <v>43593</v>
      </c>
      <c r="C849" t="s">
        <v>1023</v>
      </c>
      <c r="D849" s="5">
        <v>30.33</v>
      </c>
      <c r="E849" t="s">
        <v>46</v>
      </c>
    </row>
    <row r="850" spans="1:5" x14ac:dyDescent="0.25">
      <c r="A850" t="s">
        <v>33</v>
      </c>
      <c r="B850" s="93">
        <v>43592</v>
      </c>
      <c r="C850" t="s">
        <v>724</v>
      </c>
      <c r="D850" s="5">
        <v>54.84</v>
      </c>
      <c r="E850" t="s">
        <v>107</v>
      </c>
    </row>
    <row r="851" spans="1:5" x14ac:dyDescent="0.25">
      <c r="A851" t="s">
        <v>33</v>
      </c>
      <c r="B851" s="93">
        <v>43592</v>
      </c>
      <c r="C851" t="s">
        <v>1024</v>
      </c>
      <c r="D851" s="5">
        <v>15.11</v>
      </c>
      <c r="E851" t="s">
        <v>46</v>
      </c>
    </row>
    <row r="852" spans="1:5" x14ac:dyDescent="0.25">
      <c r="A852" t="s">
        <v>33</v>
      </c>
      <c r="B852" s="93">
        <v>43592</v>
      </c>
      <c r="C852" t="s">
        <v>1025</v>
      </c>
      <c r="D852" s="5">
        <v>4.2300000000000004</v>
      </c>
      <c r="E852" t="s">
        <v>46</v>
      </c>
    </row>
    <row r="853" spans="1:5" x14ac:dyDescent="0.25">
      <c r="A853" t="s">
        <v>33</v>
      </c>
      <c r="B853" s="93">
        <v>43592</v>
      </c>
      <c r="C853" t="s">
        <v>1026</v>
      </c>
      <c r="D853" s="5">
        <v>20.12</v>
      </c>
      <c r="E853" t="s">
        <v>46</v>
      </c>
    </row>
    <row r="854" spans="1:5" x14ac:dyDescent="0.25">
      <c r="A854" t="s">
        <v>33</v>
      </c>
      <c r="B854" s="93">
        <v>43592</v>
      </c>
      <c r="C854" t="s">
        <v>1027</v>
      </c>
      <c r="D854" s="5">
        <v>5.72</v>
      </c>
      <c r="E854" t="s">
        <v>46</v>
      </c>
    </row>
    <row r="855" spans="1:5" x14ac:dyDescent="0.25">
      <c r="A855" t="s">
        <v>33</v>
      </c>
      <c r="B855" s="93">
        <v>43592</v>
      </c>
      <c r="C855" t="s">
        <v>1028</v>
      </c>
      <c r="D855" s="5">
        <v>87.82</v>
      </c>
      <c r="E855" t="s">
        <v>46</v>
      </c>
    </row>
    <row r="856" spans="1:5" x14ac:dyDescent="0.25">
      <c r="A856" t="s">
        <v>33</v>
      </c>
      <c r="B856" s="93">
        <v>43592</v>
      </c>
      <c r="C856" t="s">
        <v>1824</v>
      </c>
      <c r="D856" s="5">
        <v>98.17</v>
      </c>
      <c r="E856" t="s">
        <v>46</v>
      </c>
    </row>
    <row r="857" spans="1:5" x14ac:dyDescent="0.25">
      <c r="A857" t="s">
        <v>33</v>
      </c>
      <c r="B857" s="93">
        <v>43592</v>
      </c>
      <c r="C857" t="s">
        <v>1017</v>
      </c>
      <c r="D857" s="5">
        <v>29.1</v>
      </c>
      <c r="E857" t="s">
        <v>46</v>
      </c>
    </row>
    <row r="858" spans="1:5" x14ac:dyDescent="0.25">
      <c r="A858" t="s">
        <v>33</v>
      </c>
      <c r="B858" s="93">
        <v>43592</v>
      </c>
      <c r="C858" t="s">
        <v>1017</v>
      </c>
      <c r="D858" s="5">
        <v>-103.35</v>
      </c>
      <c r="E858" t="s">
        <v>46</v>
      </c>
    </row>
    <row r="859" spans="1:5" x14ac:dyDescent="0.25">
      <c r="A859" t="s">
        <v>33</v>
      </c>
      <c r="B859" s="93">
        <v>43591</v>
      </c>
      <c r="C859" t="s">
        <v>1018</v>
      </c>
      <c r="D859" s="5">
        <v>14.12</v>
      </c>
      <c r="E859" t="s">
        <v>46</v>
      </c>
    </row>
    <row r="860" spans="1:5" x14ac:dyDescent="0.25">
      <c r="A860" t="s">
        <v>33</v>
      </c>
      <c r="B860" s="93">
        <v>43591</v>
      </c>
      <c r="C860" t="s">
        <v>364</v>
      </c>
      <c r="D860" s="5">
        <v>299</v>
      </c>
      <c r="E860" t="s">
        <v>107</v>
      </c>
    </row>
    <row r="861" spans="1:5" x14ac:dyDescent="0.25">
      <c r="A861" t="s">
        <v>33</v>
      </c>
      <c r="B861" s="93">
        <v>43591</v>
      </c>
      <c r="C861" t="s">
        <v>1825</v>
      </c>
      <c r="D861" s="5">
        <v>1225</v>
      </c>
      <c r="E861" t="s">
        <v>35</v>
      </c>
    </row>
    <row r="862" spans="1:5" x14ac:dyDescent="0.25">
      <c r="A862" t="s">
        <v>33</v>
      </c>
      <c r="B862" s="93">
        <v>43591</v>
      </c>
      <c r="C862" t="s">
        <v>1826</v>
      </c>
      <c r="D862" s="5">
        <v>4.2300000000000004</v>
      </c>
      <c r="E862" t="s">
        <v>46</v>
      </c>
    </row>
    <row r="863" spans="1:5" x14ac:dyDescent="0.25">
      <c r="A863" t="s">
        <v>33</v>
      </c>
      <c r="B863" s="93">
        <v>43591</v>
      </c>
      <c r="C863" t="s">
        <v>1827</v>
      </c>
      <c r="D863" s="5">
        <v>7.69</v>
      </c>
      <c r="E863" t="s">
        <v>46</v>
      </c>
    </row>
    <row r="864" spans="1:5" x14ac:dyDescent="0.25">
      <c r="A864" t="s">
        <v>33</v>
      </c>
      <c r="B864" s="93">
        <v>43591</v>
      </c>
      <c r="C864" t="s">
        <v>1828</v>
      </c>
      <c r="D864" s="5">
        <v>47.39</v>
      </c>
      <c r="E864" t="s">
        <v>46</v>
      </c>
    </row>
    <row r="865" spans="1:5" x14ac:dyDescent="0.25">
      <c r="A865" t="s">
        <v>33</v>
      </c>
      <c r="B865" s="93">
        <v>43591</v>
      </c>
      <c r="C865" t="s">
        <v>1829</v>
      </c>
      <c r="D865" s="5">
        <v>13.06</v>
      </c>
      <c r="E865" t="s">
        <v>46</v>
      </c>
    </row>
    <row r="866" spans="1:5" x14ac:dyDescent="0.25">
      <c r="A866" t="s">
        <v>33</v>
      </c>
      <c r="B866" s="93">
        <v>43591</v>
      </c>
      <c r="C866" t="s">
        <v>1830</v>
      </c>
      <c r="D866" s="5">
        <v>35.229999999999997</v>
      </c>
      <c r="E866" t="s">
        <v>46</v>
      </c>
    </row>
    <row r="867" spans="1:5" x14ac:dyDescent="0.25">
      <c r="A867" t="s">
        <v>33</v>
      </c>
      <c r="B867" s="93">
        <v>43591</v>
      </c>
      <c r="C867" t="s">
        <v>1831</v>
      </c>
      <c r="D867" s="5">
        <v>6.96</v>
      </c>
      <c r="E867" t="s">
        <v>46</v>
      </c>
    </row>
    <row r="868" spans="1:5" x14ac:dyDescent="0.25">
      <c r="A868" t="s">
        <v>33</v>
      </c>
      <c r="B868" s="93">
        <v>43591</v>
      </c>
      <c r="C868" t="s">
        <v>1832</v>
      </c>
      <c r="D868" s="5">
        <v>4.2300000000000004</v>
      </c>
      <c r="E868" t="s">
        <v>46</v>
      </c>
    </row>
    <row r="869" spans="1:5" x14ac:dyDescent="0.25">
      <c r="A869" t="s">
        <v>33</v>
      </c>
      <c r="B869" s="93">
        <v>43591</v>
      </c>
      <c r="C869" t="s">
        <v>1833</v>
      </c>
      <c r="D869" s="5">
        <v>8.4499999999999993</v>
      </c>
      <c r="E869" t="s">
        <v>46</v>
      </c>
    </row>
    <row r="870" spans="1:5" x14ac:dyDescent="0.25">
      <c r="A870" t="s">
        <v>33</v>
      </c>
      <c r="B870" s="93">
        <v>43591</v>
      </c>
      <c r="C870" t="s">
        <v>1834</v>
      </c>
      <c r="D870" s="5">
        <v>19.79</v>
      </c>
      <c r="E870" t="s">
        <v>46</v>
      </c>
    </row>
    <row r="871" spans="1:5" x14ac:dyDescent="0.25">
      <c r="A871" t="s">
        <v>33</v>
      </c>
      <c r="B871" s="93">
        <v>43591</v>
      </c>
      <c r="C871" t="s">
        <v>1835</v>
      </c>
      <c r="D871" s="5">
        <v>8.49</v>
      </c>
      <c r="E871" t="s">
        <v>46</v>
      </c>
    </row>
    <row r="872" spans="1:5" x14ac:dyDescent="0.25">
      <c r="A872" t="s">
        <v>33</v>
      </c>
      <c r="B872" s="93">
        <v>43591</v>
      </c>
      <c r="C872" t="s">
        <v>1836</v>
      </c>
      <c r="D872" s="5">
        <v>42.37</v>
      </c>
      <c r="E872" t="s">
        <v>46</v>
      </c>
    </row>
    <row r="873" spans="1:5" x14ac:dyDescent="0.25">
      <c r="A873" t="s">
        <v>33</v>
      </c>
      <c r="B873" s="93">
        <v>43591</v>
      </c>
      <c r="C873" t="s">
        <v>1837</v>
      </c>
      <c r="D873" s="5">
        <v>2.65</v>
      </c>
      <c r="E873" t="s">
        <v>46</v>
      </c>
    </row>
    <row r="874" spans="1:5" x14ac:dyDescent="0.25">
      <c r="A874" t="s">
        <v>33</v>
      </c>
      <c r="B874" s="93">
        <v>43591</v>
      </c>
      <c r="C874" t="s">
        <v>1838</v>
      </c>
      <c r="D874" s="5">
        <v>30.11</v>
      </c>
      <c r="E874" t="s">
        <v>46</v>
      </c>
    </row>
    <row r="875" spans="1:5" x14ac:dyDescent="0.25">
      <c r="A875" t="s">
        <v>33</v>
      </c>
      <c r="B875" s="93">
        <v>43591</v>
      </c>
      <c r="C875" t="s">
        <v>1839</v>
      </c>
      <c r="D875" s="5">
        <v>4.2300000000000004</v>
      </c>
      <c r="E875" t="s">
        <v>46</v>
      </c>
    </row>
    <row r="876" spans="1:5" x14ac:dyDescent="0.25">
      <c r="A876" t="s">
        <v>33</v>
      </c>
      <c r="B876" s="93">
        <v>43591</v>
      </c>
      <c r="C876" t="s">
        <v>1840</v>
      </c>
      <c r="D876" s="5">
        <v>24</v>
      </c>
      <c r="E876" t="s">
        <v>46</v>
      </c>
    </row>
    <row r="877" spans="1:5" x14ac:dyDescent="0.25">
      <c r="A877" t="s">
        <v>33</v>
      </c>
      <c r="B877" s="93">
        <v>43591</v>
      </c>
      <c r="C877" t="s">
        <v>1841</v>
      </c>
      <c r="D877" s="5">
        <v>40</v>
      </c>
      <c r="E877" t="s">
        <v>58</v>
      </c>
    </row>
    <row r="878" spans="1:5" x14ac:dyDescent="0.25">
      <c r="A878" t="s">
        <v>33</v>
      </c>
      <c r="B878" s="93">
        <v>43591</v>
      </c>
      <c r="C878" t="s">
        <v>1842</v>
      </c>
      <c r="D878" s="5">
        <v>34.89</v>
      </c>
      <c r="E878" t="s">
        <v>46</v>
      </c>
    </row>
    <row r="879" spans="1:5" x14ac:dyDescent="0.25">
      <c r="A879" t="s">
        <v>33</v>
      </c>
      <c r="B879" s="93">
        <v>43588</v>
      </c>
      <c r="C879" t="s">
        <v>1843</v>
      </c>
      <c r="D879" s="5">
        <v>500</v>
      </c>
      <c r="E879" t="s">
        <v>128</v>
      </c>
    </row>
    <row r="880" spans="1:5" x14ac:dyDescent="0.25">
      <c r="A880" t="s">
        <v>49</v>
      </c>
      <c r="B880" s="93">
        <v>43588</v>
      </c>
      <c r="C880" t="s">
        <v>50</v>
      </c>
      <c r="D880" s="5">
        <v>-3485.05</v>
      </c>
      <c r="E880" t="s">
        <v>51</v>
      </c>
    </row>
    <row r="881" spans="1:5" x14ac:dyDescent="0.25">
      <c r="A881" t="s">
        <v>33</v>
      </c>
      <c r="B881" s="93">
        <v>43587</v>
      </c>
      <c r="C881" t="s">
        <v>377</v>
      </c>
      <c r="D881" s="5">
        <v>832.24</v>
      </c>
      <c r="E881" t="s">
        <v>107</v>
      </c>
    </row>
    <row r="882" spans="1:5" x14ac:dyDescent="0.25">
      <c r="A882" t="s">
        <v>33</v>
      </c>
      <c r="B882" s="93">
        <v>43587</v>
      </c>
      <c r="C882" t="s">
        <v>1006</v>
      </c>
      <c r="D882" s="5">
        <v>16.46</v>
      </c>
      <c r="E882" t="s">
        <v>46</v>
      </c>
    </row>
    <row r="883" spans="1:5" x14ac:dyDescent="0.25">
      <c r="A883" t="s">
        <v>33</v>
      </c>
      <c r="B883" s="93">
        <v>43586</v>
      </c>
      <c r="C883" t="s">
        <v>1007</v>
      </c>
      <c r="D883" s="5">
        <v>13.9</v>
      </c>
      <c r="E883" t="s">
        <v>46</v>
      </c>
    </row>
    <row r="884" spans="1:5" x14ac:dyDescent="0.25">
      <c r="A884" t="s">
        <v>49</v>
      </c>
      <c r="B884" s="93">
        <v>43586</v>
      </c>
      <c r="C884" t="s">
        <v>1844</v>
      </c>
      <c r="D884" s="5">
        <v>-29.95</v>
      </c>
      <c r="E884" t="s">
        <v>58</v>
      </c>
    </row>
    <row r="885" spans="1:5" x14ac:dyDescent="0.25">
      <c r="A885" t="s">
        <v>49</v>
      </c>
      <c r="B885" s="93">
        <v>43585</v>
      </c>
      <c r="C885" t="s">
        <v>104</v>
      </c>
      <c r="D885" s="5">
        <v>-0.01</v>
      </c>
      <c r="E885" t="s">
        <v>105</v>
      </c>
    </row>
    <row r="886" spans="1:5" x14ac:dyDescent="0.25">
      <c r="A886" t="s">
        <v>33</v>
      </c>
      <c r="B886" s="93">
        <v>43585</v>
      </c>
      <c r="C886" t="s">
        <v>1845</v>
      </c>
      <c r="D886" s="5">
        <v>29.95</v>
      </c>
      <c r="E886" t="s">
        <v>46</v>
      </c>
    </row>
    <row r="887" spans="1:5" x14ac:dyDescent="0.25">
      <c r="A887" t="s">
        <v>33</v>
      </c>
      <c r="B887" s="93">
        <v>43585</v>
      </c>
      <c r="C887" t="s">
        <v>1008</v>
      </c>
      <c r="D887" s="5">
        <v>13.54</v>
      </c>
      <c r="E887" t="s">
        <v>46</v>
      </c>
    </row>
    <row r="888" spans="1:5" x14ac:dyDescent="0.25">
      <c r="A888" t="s">
        <v>33</v>
      </c>
      <c r="B888" s="93">
        <v>43585</v>
      </c>
      <c r="C888" t="s">
        <v>1009</v>
      </c>
      <c r="D888" s="5">
        <v>14.1</v>
      </c>
      <c r="E888" t="s">
        <v>46</v>
      </c>
    </row>
    <row r="889" spans="1:5" x14ac:dyDescent="0.25">
      <c r="A889" t="s">
        <v>33</v>
      </c>
      <c r="B889" s="93">
        <v>43585</v>
      </c>
      <c r="C889" t="s">
        <v>1010</v>
      </c>
      <c r="D889" s="5">
        <v>31.59</v>
      </c>
      <c r="E889" t="s">
        <v>46</v>
      </c>
    </row>
    <row r="890" spans="1:5" x14ac:dyDescent="0.25">
      <c r="A890" t="s">
        <v>33</v>
      </c>
      <c r="B890" s="93">
        <v>43585</v>
      </c>
      <c r="C890" t="s">
        <v>1011</v>
      </c>
      <c r="D890" s="5">
        <v>44.45</v>
      </c>
      <c r="E890" t="s">
        <v>46</v>
      </c>
    </row>
    <row r="891" spans="1:5" x14ac:dyDescent="0.25">
      <c r="A891" t="s">
        <v>33</v>
      </c>
      <c r="B891" s="93">
        <v>43584</v>
      </c>
      <c r="C891" t="s">
        <v>1846</v>
      </c>
      <c r="D891" s="5">
        <v>21.39</v>
      </c>
      <c r="E891" t="s">
        <v>46</v>
      </c>
    </row>
    <row r="892" spans="1:5" x14ac:dyDescent="0.25">
      <c r="A892" t="s">
        <v>33</v>
      </c>
      <c r="B892" s="93">
        <v>43584</v>
      </c>
      <c r="C892" t="s">
        <v>106</v>
      </c>
      <c r="D892" s="5">
        <v>437.54</v>
      </c>
      <c r="E892" t="s">
        <v>107</v>
      </c>
    </row>
    <row r="893" spans="1:5" x14ac:dyDescent="0.25">
      <c r="A893" t="s">
        <v>33</v>
      </c>
      <c r="B893" s="93">
        <v>43584</v>
      </c>
      <c r="C893" t="s">
        <v>1000</v>
      </c>
      <c r="D893" s="5">
        <v>40</v>
      </c>
      <c r="E893" t="s">
        <v>35</v>
      </c>
    </row>
    <row r="894" spans="1:5" x14ac:dyDescent="0.25">
      <c r="A894" t="s">
        <v>33</v>
      </c>
      <c r="B894" s="93">
        <v>43584</v>
      </c>
      <c r="C894" t="s">
        <v>1847</v>
      </c>
      <c r="D894" s="5">
        <v>32.130000000000003</v>
      </c>
      <c r="E894" t="s">
        <v>46</v>
      </c>
    </row>
    <row r="895" spans="1:5" x14ac:dyDescent="0.25">
      <c r="A895" t="s">
        <v>33</v>
      </c>
      <c r="B895" s="93">
        <v>43584</v>
      </c>
      <c r="C895" t="s">
        <v>1848</v>
      </c>
      <c r="D895" s="5">
        <v>15.7</v>
      </c>
      <c r="E895" t="s">
        <v>46</v>
      </c>
    </row>
    <row r="896" spans="1:5" x14ac:dyDescent="0.25">
      <c r="A896" t="s">
        <v>33</v>
      </c>
      <c r="B896" s="93">
        <v>43584</v>
      </c>
      <c r="C896" t="s">
        <v>1849</v>
      </c>
      <c r="D896" s="5">
        <v>12.46</v>
      </c>
      <c r="E896" t="s">
        <v>46</v>
      </c>
    </row>
    <row r="897" spans="1:5" x14ac:dyDescent="0.25">
      <c r="A897" t="s">
        <v>33</v>
      </c>
      <c r="B897" s="93">
        <v>43584</v>
      </c>
      <c r="C897" t="s">
        <v>1850</v>
      </c>
      <c r="D897" s="5">
        <v>7.48</v>
      </c>
      <c r="E897" t="s">
        <v>46</v>
      </c>
    </row>
    <row r="898" spans="1:5" x14ac:dyDescent="0.25">
      <c r="A898" t="s">
        <v>33</v>
      </c>
      <c r="B898" s="93">
        <v>43584</v>
      </c>
      <c r="C898" t="s">
        <v>1851</v>
      </c>
      <c r="D898" s="5">
        <v>130.32</v>
      </c>
      <c r="E898" t="s">
        <v>46</v>
      </c>
    </row>
    <row r="899" spans="1:5" x14ac:dyDescent="0.25">
      <c r="A899" t="s">
        <v>33</v>
      </c>
      <c r="B899" s="93">
        <v>43584</v>
      </c>
      <c r="C899" t="s">
        <v>1852</v>
      </c>
      <c r="D899" s="5">
        <v>5.55</v>
      </c>
      <c r="E899" t="s">
        <v>46</v>
      </c>
    </row>
    <row r="900" spans="1:5" x14ac:dyDescent="0.25">
      <c r="A900" t="s">
        <v>33</v>
      </c>
      <c r="B900" s="93">
        <v>43584</v>
      </c>
      <c r="C900" t="s">
        <v>1853</v>
      </c>
      <c r="D900" s="5">
        <v>4.2300000000000004</v>
      </c>
      <c r="E900" t="s">
        <v>46</v>
      </c>
    </row>
    <row r="901" spans="1:5" x14ac:dyDescent="0.25">
      <c r="A901" t="s">
        <v>33</v>
      </c>
      <c r="B901" s="93">
        <v>43584</v>
      </c>
      <c r="C901" t="s">
        <v>1854</v>
      </c>
      <c r="D901" s="5">
        <v>21.25</v>
      </c>
      <c r="E901" t="s">
        <v>46</v>
      </c>
    </row>
    <row r="902" spans="1:5" x14ac:dyDescent="0.25">
      <c r="A902" t="s">
        <v>33</v>
      </c>
      <c r="B902" s="93">
        <v>43584</v>
      </c>
      <c r="C902" t="s">
        <v>1855</v>
      </c>
      <c r="D902" s="5">
        <v>2.65</v>
      </c>
      <c r="E902" t="s">
        <v>46</v>
      </c>
    </row>
    <row r="903" spans="1:5" x14ac:dyDescent="0.25">
      <c r="A903" t="s">
        <v>33</v>
      </c>
      <c r="B903" s="93">
        <v>43584</v>
      </c>
      <c r="C903" t="s">
        <v>1856</v>
      </c>
      <c r="D903" s="5">
        <v>42.78</v>
      </c>
      <c r="E903" t="s">
        <v>46</v>
      </c>
    </row>
    <row r="904" spans="1:5" x14ac:dyDescent="0.25">
      <c r="A904" t="s">
        <v>33</v>
      </c>
      <c r="B904" s="93">
        <v>43584</v>
      </c>
      <c r="C904" t="s">
        <v>1857</v>
      </c>
      <c r="D904" s="5">
        <v>30.21</v>
      </c>
      <c r="E904" t="s">
        <v>46</v>
      </c>
    </row>
    <row r="905" spans="1:5" x14ac:dyDescent="0.25">
      <c r="A905" t="s">
        <v>33</v>
      </c>
      <c r="B905" s="93">
        <v>43584</v>
      </c>
      <c r="C905" t="s">
        <v>1858</v>
      </c>
      <c r="D905" s="5">
        <v>160</v>
      </c>
      <c r="E905" t="s">
        <v>58</v>
      </c>
    </row>
    <row r="906" spans="1:5" x14ac:dyDescent="0.25">
      <c r="A906" t="s">
        <v>33</v>
      </c>
      <c r="B906" s="93">
        <v>43584</v>
      </c>
      <c r="C906" t="s">
        <v>1859</v>
      </c>
      <c r="D906" s="5">
        <v>8.42</v>
      </c>
      <c r="E906" t="s">
        <v>46</v>
      </c>
    </row>
    <row r="907" spans="1:5" x14ac:dyDescent="0.25">
      <c r="A907" t="s">
        <v>33</v>
      </c>
      <c r="B907" s="93">
        <v>43584</v>
      </c>
      <c r="C907" t="s">
        <v>1003</v>
      </c>
      <c r="D907" s="5">
        <v>69.98</v>
      </c>
      <c r="E907" t="s">
        <v>46</v>
      </c>
    </row>
    <row r="908" spans="1:5" x14ac:dyDescent="0.25">
      <c r="A908" t="s">
        <v>49</v>
      </c>
      <c r="B908" s="93">
        <v>43584</v>
      </c>
      <c r="C908" t="s">
        <v>1860</v>
      </c>
      <c r="D908" s="5">
        <v>-1100</v>
      </c>
      <c r="E908" t="s">
        <v>128</v>
      </c>
    </row>
    <row r="909" spans="1:5" x14ac:dyDescent="0.25">
      <c r="A909" t="s">
        <v>33</v>
      </c>
      <c r="B909" s="93">
        <v>43584</v>
      </c>
      <c r="C909" t="s">
        <v>1004</v>
      </c>
      <c r="D909" s="5">
        <v>-42.78</v>
      </c>
      <c r="E909" t="s">
        <v>46</v>
      </c>
    </row>
    <row r="910" spans="1:5" x14ac:dyDescent="0.25">
      <c r="A910" t="s">
        <v>33</v>
      </c>
      <c r="B910" s="93">
        <v>43581</v>
      </c>
      <c r="C910" t="s">
        <v>974</v>
      </c>
      <c r="D910" s="5">
        <v>2.13</v>
      </c>
      <c r="E910" t="s">
        <v>46</v>
      </c>
    </row>
    <row r="911" spans="1:5" x14ac:dyDescent="0.25">
      <c r="A911" t="s">
        <v>33</v>
      </c>
      <c r="B911" s="93">
        <v>43581</v>
      </c>
      <c r="C911" t="s">
        <v>975</v>
      </c>
      <c r="D911" s="5">
        <v>10.49</v>
      </c>
      <c r="E911" t="s">
        <v>46</v>
      </c>
    </row>
    <row r="912" spans="1:5" x14ac:dyDescent="0.25">
      <c r="A912" t="s">
        <v>33</v>
      </c>
      <c r="B912" s="93">
        <v>43580</v>
      </c>
      <c r="C912" t="s">
        <v>976</v>
      </c>
      <c r="D912" s="5">
        <v>39.06</v>
      </c>
      <c r="E912" t="s">
        <v>46</v>
      </c>
    </row>
    <row r="913" spans="1:5" x14ac:dyDescent="0.25">
      <c r="A913" t="s">
        <v>33</v>
      </c>
      <c r="B913" s="93">
        <v>43580</v>
      </c>
      <c r="C913" t="s">
        <v>977</v>
      </c>
      <c r="D913" s="5">
        <v>41.71</v>
      </c>
      <c r="E913" t="s">
        <v>46</v>
      </c>
    </row>
    <row r="914" spans="1:5" x14ac:dyDescent="0.25">
      <c r="A914" t="s">
        <v>33</v>
      </c>
      <c r="B914" s="93">
        <v>43580</v>
      </c>
      <c r="C914" t="s">
        <v>978</v>
      </c>
      <c r="D914" s="5">
        <v>13.78</v>
      </c>
      <c r="E914" t="s">
        <v>46</v>
      </c>
    </row>
    <row r="915" spans="1:5" x14ac:dyDescent="0.25">
      <c r="A915" t="s">
        <v>33</v>
      </c>
      <c r="B915" s="93">
        <v>43579</v>
      </c>
      <c r="C915" t="s">
        <v>979</v>
      </c>
      <c r="D915" s="5">
        <v>0.99</v>
      </c>
      <c r="E915" t="s">
        <v>46</v>
      </c>
    </row>
    <row r="916" spans="1:5" x14ac:dyDescent="0.25">
      <c r="A916" t="s">
        <v>33</v>
      </c>
      <c r="B916" s="93">
        <v>43579</v>
      </c>
      <c r="C916" t="s">
        <v>979</v>
      </c>
      <c r="D916" s="5">
        <v>2.99</v>
      </c>
      <c r="E916" t="s">
        <v>46</v>
      </c>
    </row>
    <row r="917" spans="1:5" x14ac:dyDescent="0.25">
      <c r="A917" t="s">
        <v>33</v>
      </c>
      <c r="B917" s="93">
        <v>43579</v>
      </c>
      <c r="C917" t="s">
        <v>980</v>
      </c>
      <c r="D917" s="5">
        <v>5.94</v>
      </c>
      <c r="E917" t="s">
        <v>46</v>
      </c>
    </row>
    <row r="918" spans="1:5" x14ac:dyDescent="0.25">
      <c r="A918" t="s">
        <v>33</v>
      </c>
      <c r="B918" s="93">
        <v>43579</v>
      </c>
      <c r="C918" t="s">
        <v>981</v>
      </c>
      <c r="D918" s="5">
        <v>9.6199999999999992</v>
      </c>
      <c r="E918" t="s">
        <v>46</v>
      </c>
    </row>
    <row r="919" spans="1:5" x14ac:dyDescent="0.25">
      <c r="A919" t="s">
        <v>33</v>
      </c>
      <c r="B919" s="93">
        <v>43579</v>
      </c>
      <c r="C919" t="s">
        <v>982</v>
      </c>
      <c r="D919" s="5">
        <v>39.770000000000003</v>
      </c>
      <c r="E919" t="s">
        <v>46</v>
      </c>
    </row>
    <row r="920" spans="1:5" x14ac:dyDescent="0.25">
      <c r="A920" t="s">
        <v>33</v>
      </c>
      <c r="B920" s="93">
        <v>43579</v>
      </c>
      <c r="C920" t="s">
        <v>983</v>
      </c>
      <c r="D920" s="5">
        <v>23.83</v>
      </c>
      <c r="E920" t="s">
        <v>46</v>
      </c>
    </row>
    <row r="921" spans="1:5" x14ac:dyDescent="0.25">
      <c r="A921" t="s">
        <v>33</v>
      </c>
      <c r="B921" s="93">
        <v>43578</v>
      </c>
      <c r="C921" t="s">
        <v>984</v>
      </c>
      <c r="D921" s="5">
        <v>12.97</v>
      </c>
      <c r="E921" t="s">
        <v>46</v>
      </c>
    </row>
    <row r="922" spans="1:5" x14ac:dyDescent="0.25">
      <c r="A922" t="s">
        <v>33</v>
      </c>
      <c r="B922" s="93">
        <v>43578</v>
      </c>
      <c r="C922" t="s">
        <v>985</v>
      </c>
      <c r="D922" s="5">
        <v>32</v>
      </c>
      <c r="E922" t="s">
        <v>46</v>
      </c>
    </row>
    <row r="923" spans="1:5" x14ac:dyDescent="0.25">
      <c r="A923" t="s">
        <v>33</v>
      </c>
      <c r="B923" s="93">
        <v>43577</v>
      </c>
      <c r="C923" t="s">
        <v>986</v>
      </c>
      <c r="D923" s="5">
        <v>9.6199999999999992</v>
      </c>
      <c r="E923" t="s">
        <v>46</v>
      </c>
    </row>
    <row r="924" spans="1:5" x14ac:dyDescent="0.25">
      <c r="A924" t="s">
        <v>33</v>
      </c>
      <c r="B924" s="93">
        <v>43577</v>
      </c>
      <c r="C924" t="s">
        <v>987</v>
      </c>
      <c r="D924" s="5">
        <v>35.5</v>
      </c>
      <c r="E924" t="s">
        <v>46</v>
      </c>
    </row>
    <row r="925" spans="1:5" x14ac:dyDescent="0.25">
      <c r="A925" t="s">
        <v>33</v>
      </c>
      <c r="B925" s="93">
        <v>43577</v>
      </c>
      <c r="C925" t="s">
        <v>988</v>
      </c>
      <c r="D925" s="5">
        <v>3.49</v>
      </c>
      <c r="E925" t="s">
        <v>46</v>
      </c>
    </row>
    <row r="926" spans="1:5" x14ac:dyDescent="0.25">
      <c r="A926" t="s">
        <v>33</v>
      </c>
      <c r="B926" s="93">
        <v>43577</v>
      </c>
      <c r="C926" t="s">
        <v>989</v>
      </c>
      <c r="D926" s="5">
        <v>4.9800000000000004</v>
      </c>
      <c r="E926" t="s">
        <v>46</v>
      </c>
    </row>
    <row r="927" spans="1:5" x14ac:dyDescent="0.25">
      <c r="A927" t="s">
        <v>33</v>
      </c>
      <c r="B927" s="93">
        <v>43577</v>
      </c>
      <c r="C927" t="s">
        <v>990</v>
      </c>
      <c r="D927" s="5">
        <v>29.08</v>
      </c>
      <c r="E927" t="s">
        <v>46</v>
      </c>
    </row>
    <row r="928" spans="1:5" x14ac:dyDescent="0.25">
      <c r="A928" t="s">
        <v>33</v>
      </c>
      <c r="B928" s="93">
        <v>43577</v>
      </c>
      <c r="C928" t="s">
        <v>991</v>
      </c>
      <c r="D928" s="5">
        <v>4.2300000000000004</v>
      </c>
      <c r="E928" t="s">
        <v>46</v>
      </c>
    </row>
    <row r="929" spans="1:5" x14ac:dyDescent="0.25">
      <c r="A929" t="s">
        <v>33</v>
      </c>
      <c r="B929" s="93">
        <v>43577</v>
      </c>
      <c r="C929" t="s">
        <v>992</v>
      </c>
      <c r="D929" s="5">
        <v>46.99</v>
      </c>
      <c r="E929" t="s">
        <v>46</v>
      </c>
    </row>
    <row r="930" spans="1:5" x14ac:dyDescent="0.25">
      <c r="A930" t="s">
        <v>33</v>
      </c>
      <c r="B930" s="93">
        <v>43577</v>
      </c>
      <c r="C930" t="s">
        <v>993</v>
      </c>
      <c r="D930" s="5">
        <v>21.39</v>
      </c>
      <c r="E930" t="s">
        <v>46</v>
      </c>
    </row>
    <row r="931" spans="1:5" x14ac:dyDescent="0.25">
      <c r="A931" t="s">
        <v>33</v>
      </c>
      <c r="B931" s="93">
        <v>43577</v>
      </c>
      <c r="C931" t="s">
        <v>994</v>
      </c>
      <c r="D931" s="5">
        <v>4.2300000000000004</v>
      </c>
      <c r="E931" t="s">
        <v>46</v>
      </c>
    </row>
    <row r="932" spans="1:5" x14ac:dyDescent="0.25">
      <c r="A932" t="s">
        <v>33</v>
      </c>
      <c r="B932" s="93">
        <v>43577</v>
      </c>
      <c r="C932" t="s">
        <v>995</v>
      </c>
      <c r="D932" s="5">
        <v>34.93</v>
      </c>
      <c r="E932" t="s">
        <v>46</v>
      </c>
    </row>
    <row r="933" spans="1:5" x14ac:dyDescent="0.25">
      <c r="A933" t="s">
        <v>33</v>
      </c>
      <c r="B933" s="93">
        <v>43577</v>
      </c>
      <c r="C933" t="s">
        <v>996</v>
      </c>
      <c r="D933" s="5">
        <v>4</v>
      </c>
      <c r="E933" t="s">
        <v>46</v>
      </c>
    </row>
    <row r="934" spans="1:5" x14ac:dyDescent="0.25">
      <c r="A934" t="s">
        <v>33</v>
      </c>
      <c r="B934" s="93">
        <v>43577</v>
      </c>
      <c r="C934" t="s">
        <v>997</v>
      </c>
      <c r="D934" s="5">
        <v>3.48</v>
      </c>
      <c r="E934" t="s">
        <v>46</v>
      </c>
    </row>
    <row r="935" spans="1:5" x14ac:dyDescent="0.25">
      <c r="A935" t="s">
        <v>33</v>
      </c>
      <c r="B935" s="93">
        <v>43577</v>
      </c>
      <c r="C935" t="s">
        <v>1861</v>
      </c>
      <c r="D935" s="5">
        <v>32.75</v>
      </c>
      <c r="E935" t="s">
        <v>46</v>
      </c>
    </row>
    <row r="936" spans="1:5" x14ac:dyDescent="0.25">
      <c r="A936" t="s">
        <v>33</v>
      </c>
      <c r="B936" s="93">
        <v>43574</v>
      </c>
      <c r="C936" t="s">
        <v>963</v>
      </c>
      <c r="D936" s="5">
        <v>17.11</v>
      </c>
      <c r="E936" t="s">
        <v>46</v>
      </c>
    </row>
    <row r="937" spans="1:5" x14ac:dyDescent="0.25">
      <c r="A937" t="s">
        <v>33</v>
      </c>
      <c r="B937" s="93">
        <v>43574</v>
      </c>
      <c r="C937" t="s">
        <v>964</v>
      </c>
      <c r="D937" s="5">
        <v>4.2300000000000004</v>
      </c>
      <c r="E937" t="s">
        <v>46</v>
      </c>
    </row>
    <row r="938" spans="1:5" x14ac:dyDescent="0.25">
      <c r="A938" t="s">
        <v>33</v>
      </c>
      <c r="B938" s="93">
        <v>43574</v>
      </c>
      <c r="C938" t="s">
        <v>965</v>
      </c>
      <c r="D938" s="5">
        <v>19.149999999999999</v>
      </c>
      <c r="E938" t="s">
        <v>46</v>
      </c>
    </row>
    <row r="939" spans="1:5" x14ac:dyDescent="0.25">
      <c r="A939" t="s">
        <v>33</v>
      </c>
      <c r="B939" s="93">
        <v>43574</v>
      </c>
      <c r="C939" t="s">
        <v>966</v>
      </c>
      <c r="D939" s="5">
        <v>30.07</v>
      </c>
      <c r="E939" t="s">
        <v>46</v>
      </c>
    </row>
    <row r="940" spans="1:5" x14ac:dyDescent="0.25">
      <c r="A940" t="s">
        <v>33</v>
      </c>
      <c r="B940" s="93">
        <v>43574</v>
      </c>
      <c r="C940" t="s">
        <v>967</v>
      </c>
      <c r="D940" s="5">
        <v>23</v>
      </c>
      <c r="E940" t="s">
        <v>46</v>
      </c>
    </row>
    <row r="941" spans="1:5" x14ac:dyDescent="0.25">
      <c r="A941" t="s">
        <v>33</v>
      </c>
      <c r="B941" s="93">
        <v>43574</v>
      </c>
      <c r="C941" t="s">
        <v>1862</v>
      </c>
      <c r="D941" s="5">
        <v>2000</v>
      </c>
      <c r="E941" t="s">
        <v>128</v>
      </c>
    </row>
    <row r="942" spans="1:5" x14ac:dyDescent="0.25">
      <c r="A942" t="s">
        <v>49</v>
      </c>
      <c r="B942" s="93">
        <v>43574</v>
      </c>
      <c r="C942" t="s">
        <v>50</v>
      </c>
      <c r="D942" s="5">
        <v>-3485.05</v>
      </c>
      <c r="E942" t="s">
        <v>51</v>
      </c>
    </row>
    <row r="943" spans="1:5" x14ac:dyDescent="0.25">
      <c r="A943" t="s">
        <v>33</v>
      </c>
      <c r="B943" s="93">
        <v>43572</v>
      </c>
      <c r="C943" t="s">
        <v>662</v>
      </c>
      <c r="D943" s="5">
        <v>84</v>
      </c>
      <c r="E943" t="s">
        <v>107</v>
      </c>
    </row>
    <row r="944" spans="1:5" x14ac:dyDescent="0.25">
      <c r="A944" t="s">
        <v>33</v>
      </c>
      <c r="B944" s="93">
        <v>43572</v>
      </c>
      <c r="C944" t="s">
        <v>938</v>
      </c>
      <c r="D944" s="5">
        <v>10.17</v>
      </c>
      <c r="E944" t="s">
        <v>46</v>
      </c>
    </row>
    <row r="945" spans="1:5" x14ac:dyDescent="0.25">
      <c r="A945" t="s">
        <v>33</v>
      </c>
      <c r="B945" s="93">
        <v>43572</v>
      </c>
      <c r="C945" t="s">
        <v>939</v>
      </c>
      <c r="D945" s="5">
        <v>2.2799999999999998</v>
      </c>
      <c r="E945" t="s">
        <v>46</v>
      </c>
    </row>
    <row r="946" spans="1:5" x14ac:dyDescent="0.25">
      <c r="A946" t="s">
        <v>33</v>
      </c>
      <c r="B946" s="93">
        <v>43572</v>
      </c>
      <c r="C946" t="s">
        <v>940</v>
      </c>
      <c r="D946" s="5">
        <v>24.33</v>
      </c>
      <c r="E946" t="s">
        <v>46</v>
      </c>
    </row>
    <row r="947" spans="1:5" x14ac:dyDescent="0.25">
      <c r="A947" t="s">
        <v>49</v>
      </c>
      <c r="B947" s="93">
        <v>43572</v>
      </c>
      <c r="C947" t="s">
        <v>1863</v>
      </c>
      <c r="D947" s="5">
        <v>-125</v>
      </c>
      <c r="E947" t="s">
        <v>128</v>
      </c>
    </row>
    <row r="948" spans="1:5" x14ac:dyDescent="0.25">
      <c r="A948" t="s">
        <v>33</v>
      </c>
      <c r="B948" s="93">
        <v>43571</v>
      </c>
      <c r="C948" t="s">
        <v>941</v>
      </c>
      <c r="D948" s="5">
        <v>161.72999999999999</v>
      </c>
      <c r="E948" t="s">
        <v>46</v>
      </c>
    </row>
    <row r="949" spans="1:5" x14ac:dyDescent="0.25">
      <c r="A949" t="s">
        <v>33</v>
      </c>
      <c r="B949" s="93">
        <v>43571</v>
      </c>
      <c r="C949" t="s">
        <v>942</v>
      </c>
      <c r="D949" s="5">
        <v>5.01</v>
      </c>
      <c r="E949" t="s">
        <v>46</v>
      </c>
    </row>
    <row r="950" spans="1:5" x14ac:dyDescent="0.25">
      <c r="A950" t="s">
        <v>33</v>
      </c>
      <c r="B950" s="93">
        <v>43571</v>
      </c>
      <c r="C950" t="s">
        <v>943</v>
      </c>
      <c r="D950" s="5">
        <v>10.199999999999999</v>
      </c>
      <c r="E950" t="s">
        <v>46</v>
      </c>
    </row>
    <row r="951" spans="1:5" x14ac:dyDescent="0.25">
      <c r="A951" t="s">
        <v>33</v>
      </c>
      <c r="B951" s="93">
        <v>43571</v>
      </c>
      <c r="C951" t="s">
        <v>944</v>
      </c>
      <c r="D951" s="5">
        <v>5.73</v>
      </c>
      <c r="E951" t="s">
        <v>46</v>
      </c>
    </row>
    <row r="952" spans="1:5" x14ac:dyDescent="0.25">
      <c r="A952" t="s">
        <v>33</v>
      </c>
      <c r="B952" s="93">
        <v>43571</v>
      </c>
      <c r="C952" t="s">
        <v>945</v>
      </c>
      <c r="D952" s="5">
        <v>56.23</v>
      </c>
      <c r="E952" t="s">
        <v>46</v>
      </c>
    </row>
    <row r="953" spans="1:5" x14ac:dyDescent="0.25">
      <c r="A953" t="s">
        <v>33</v>
      </c>
      <c r="B953" s="93">
        <v>43570</v>
      </c>
      <c r="C953" t="s">
        <v>946</v>
      </c>
      <c r="D953" s="5">
        <v>18.12</v>
      </c>
      <c r="E953" t="s">
        <v>46</v>
      </c>
    </row>
    <row r="954" spans="1:5" x14ac:dyDescent="0.25">
      <c r="A954" t="s">
        <v>33</v>
      </c>
      <c r="B954" s="93">
        <v>43570</v>
      </c>
      <c r="C954" t="s">
        <v>947</v>
      </c>
      <c r="D954" s="5">
        <v>22</v>
      </c>
      <c r="E954" t="s">
        <v>46</v>
      </c>
    </row>
    <row r="955" spans="1:5" x14ac:dyDescent="0.25">
      <c r="A955" t="s">
        <v>33</v>
      </c>
      <c r="B955" s="93">
        <v>43570</v>
      </c>
      <c r="C955" t="s">
        <v>948</v>
      </c>
      <c r="D955" s="5">
        <v>45.66</v>
      </c>
      <c r="E955" t="s">
        <v>46</v>
      </c>
    </row>
    <row r="956" spans="1:5" x14ac:dyDescent="0.25">
      <c r="A956" t="s">
        <v>33</v>
      </c>
      <c r="B956" s="93">
        <v>43570</v>
      </c>
      <c r="C956" t="s">
        <v>949</v>
      </c>
      <c r="D956" s="5">
        <v>128.34</v>
      </c>
      <c r="E956" t="s">
        <v>46</v>
      </c>
    </row>
    <row r="957" spans="1:5" x14ac:dyDescent="0.25">
      <c r="A957" t="s">
        <v>33</v>
      </c>
      <c r="B957" s="93">
        <v>43570</v>
      </c>
      <c r="C957" t="s">
        <v>950</v>
      </c>
      <c r="D957" s="5">
        <v>4.2300000000000004</v>
      </c>
      <c r="E957" t="s">
        <v>46</v>
      </c>
    </row>
    <row r="958" spans="1:5" x14ac:dyDescent="0.25">
      <c r="A958" t="s">
        <v>33</v>
      </c>
      <c r="B958" s="93">
        <v>43570</v>
      </c>
      <c r="C958" t="s">
        <v>951</v>
      </c>
      <c r="D958" s="5">
        <v>35.82</v>
      </c>
      <c r="E958" t="s">
        <v>46</v>
      </c>
    </row>
    <row r="959" spans="1:5" x14ac:dyDescent="0.25">
      <c r="A959" t="s">
        <v>33</v>
      </c>
      <c r="B959" s="93">
        <v>43570</v>
      </c>
      <c r="C959" t="s">
        <v>952</v>
      </c>
      <c r="D959" s="5">
        <v>9.6199999999999992</v>
      </c>
      <c r="E959" t="s">
        <v>46</v>
      </c>
    </row>
    <row r="960" spans="1:5" x14ac:dyDescent="0.25">
      <c r="A960" t="s">
        <v>33</v>
      </c>
      <c r="B960" s="93">
        <v>43570</v>
      </c>
      <c r="C960" t="s">
        <v>953</v>
      </c>
      <c r="D960" s="5">
        <v>220.47</v>
      </c>
      <c r="E960" t="s">
        <v>46</v>
      </c>
    </row>
    <row r="961" spans="1:5" x14ac:dyDescent="0.25">
      <c r="A961" t="s">
        <v>33</v>
      </c>
      <c r="B961" s="93">
        <v>43570</v>
      </c>
      <c r="C961" t="s">
        <v>954</v>
      </c>
      <c r="D961" s="5">
        <v>30.01</v>
      </c>
      <c r="E961" t="s">
        <v>46</v>
      </c>
    </row>
    <row r="962" spans="1:5" x14ac:dyDescent="0.25">
      <c r="A962" t="s">
        <v>33</v>
      </c>
      <c r="B962" s="93">
        <v>43570</v>
      </c>
      <c r="C962" t="s">
        <v>955</v>
      </c>
      <c r="D962" s="5">
        <v>4.2300000000000004</v>
      </c>
      <c r="E962" t="s">
        <v>46</v>
      </c>
    </row>
    <row r="963" spans="1:5" x14ac:dyDescent="0.25">
      <c r="A963" t="s">
        <v>33</v>
      </c>
      <c r="B963" s="93">
        <v>43570</v>
      </c>
      <c r="C963" t="s">
        <v>956</v>
      </c>
      <c r="D963" s="5">
        <v>26.32</v>
      </c>
      <c r="E963" t="s">
        <v>46</v>
      </c>
    </row>
    <row r="964" spans="1:5" x14ac:dyDescent="0.25">
      <c r="A964" t="s">
        <v>33</v>
      </c>
      <c r="B964" s="93">
        <v>43570</v>
      </c>
      <c r="C964" t="s">
        <v>957</v>
      </c>
      <c r="D964" s="5">
        <v>3.48</v>
      </c>
      <c r="E964" t="s">
        <v>46</v>
      </c>
    </row>
    <row r="965" spans="1:5" x14ac:dyDescent="0.25">
      <c r="A965" t="s">
        <v>33</v>
      </c>
      <c r="B965" s="93">
        <v>43570</v>
      </c>
      <c r="C965" t="s">
        <v>958</v>
      </c>
      <c r="D965" s="5">
        <v>2.99</v>
      </c>
      <c r="E965" t="s">
        <v>46</v>
      </c>
    </row>
    <row r="966" spans="1:5" x14ac:dyDescent="0.25">
      <c r="A966" t="s">
        <v>49</v>
      </c>
      <c r="B966" s="93">
        <v>43570</v>
      </c>
      <c r="C966" t="s">
        <v>1864</v>
      </c>
      <c r="D966" s="5">
        <v>-400</v>
      </c>
      <c r="E966" t="s">
        <v>128</v>
      </c>
    </row>
    <row r="967" spans="1:5" x14ac:dyDescent="0.25">
      <c r="A967" t="s">
        <v>33</v>
      </c>
      <c r="B967" s="93">
        <v>43567</v>
      </c>
      <c r="C967" t="s">
        <v>959</v>
      </c>
      <c r="D967" s="5">
        <v>23</v>
      </c>
      <c r="E967" t="s">
        <v>46</v>
      </c>
    </row>
    <row r="968" spans="1:5" x14ac:dyDescent="0.25">
      <c r="A968" t="s">
        <v>33</v>
      </c>
      <c r="B968" s="93">
        <v>43567</v>
      </c>
      <c r="C968" t="s">
        <v>960</v>
      </c>
      <c r="D968" s="5">
        <v>5.09</v>
      </c>
      <c r="E968" t="s">
        <v>46</v>
      </c>
    </row>
    <row r="969" spans="1:5" x14ac:dyDescent="0.25">
      <c r="A969" t="s">
        <v>33</v>
      </c>
      <c r="B969" s="93">
        <v>43567</v>
      </c>
      <c r="C969" t="s">
        <v>961</v>
      </c>
      <c r="D969" s="5">
        <v>5.85</v>
      </c>
      <c r="E969" t="s">
        <v>46</v>
      </c>
    </row>
    <row r="970" spans="1:5" x14ac:dyDescent="0.25">
      <c r="A970" t="s">
        <v>33</v>
      </c>
      <c r="B970" s="93">
        <v>43566</v>
      </c>
      <c r="C970" t="s">
        <v>962</v>
      </c>
      <c r="D970" s="5">
        <v>25.78</v>
      </c>
      <c r="E970" t="s">
        <v>46</v>
      </c>
    </row>
    <row r="971" spans="1:5" x14ac:dyDescent="0.25">
      <c r="A971" t="s">
        <v>33</v>
      </c>
      <c r="B971" s="93">
        <v>43566</v>
      </c>
      <c r="C971" t="s">
        <v>1865</v>
      </c>
      <c r="D971" s="5">
        <v>151</v>
      </c>
      <c r="E971" t="s">
        <v>128</v>
      </c>
    </row>
    <row r="972" spans="1:5" x14ac:dyDescent="0.25">
      <c r="A972" t="s">
        <v>33</v>
      </c>
      <c r="B972" s="93">
        <v>43566</v>
      </c>
      <c r="C972" t="s">
        <v>1866</v>
      </c>
      <c r="D972" s="5">
        <v>16.46</v>
      </c>
      <c r="E972" t="s">
        <v>46</v>
      </c>
    </row>
    <row r="973" spans="1:5" x14ac:dyDescent="0.25">
      <c r="A973" t="s">
        <v>33</v>
      </c>
      <c r="B973" s="93">
        <v>43566</v>
      </c>
      <c r="C973" t="s">
        <v>1867</v>
      </c>
      <c r="D973" s="5">
        <v>11.42</v>
      </c>
      <c r="E973" t="s">
        <v>46</v>
      </c>
    </row>
    <row r="974" spans="1:5" x14ac:dyDescent="0.25">
      <c r="A974" t="s">
        <v>33</v>
      </c>
      <c r="B974" s="93">
        <v>43565</v>
      </c>
      <c r="C974" t="s">
        <v>932</v>
      </c>
      <c r="D974" s="5">
        <v>7.47</v>
      </c>
      <c r="E974" t="s">
        <v>46</v>
      </c>
    </row>
    <row r="975" spans="1:5" x14ac:dyDescent="0.25">
      <c r="A975" t="s">
        <v>33</v>
      </c>
      <c r="B975" s="93">
        <v>43565</v>
      </c>
      <c r="C975" t="s">
        <v>933</v>
      </c>
      <c r="D975" s="5">
        <v>12.36</v>
      </c>
      <c r="E975" t="s">
        <v>46</v>
      </c>
    </row>
    <row r="976" spans="1:5" x14ac:dyDescent="0.25">
      <c r="A976" t="s">
        <v>33</v>
      </c>
      <c r="B976" s="93">
        <v>43565</v>
      </c>
      <c r="C976" t="s">
        <v>934</v>
      </c>
      <c r="D976" s="5">
        <v>5.09</v>
      </c>
      <c r="E976" t="s">
        <v>46</v>
      </c>
    </row>
    <row r="977" spans="1:5" x14ac:dyDescent="0.25">
      <c r="A977" t="s">
        <v>49</v>
      </c>
      <c r="B977" s="93">
        <v>43565</v>
      </c>
      <c r="C977" t="s">
        <v>935</v>
      </c>
      <c r="D977" s="5">
        <v>-411.28</v>
      </c>
      <c r="E977" t="s">
        <v>51</v>
      </c>
    </row>
    <row r="978" spans="1:5" x14ac:dyDescent="0.25">
      <c r="A978" t="s">
        <v>33</v>
      </c>
      <c r="B978" s="93">
        <v>43564</v>
      </c>
      <c r="C978" t="s">
        <v>724</v>
      </c>
      <c r="D978" s="5">
        <v>50.22</v>
      </c>
      <c r="E978" t="s">
        <v>107</v>
      </c>
    </row>
    <row r="979" spans="1:5" x14ac:dyDescent="0.25">
      <c r="A979" t="s">
        <v>33</v>
      </c>
      <c r="B979" s="93">
        <v>43564</v>
      </c>
      <c r="C979" t="s">
        <v>936</v>
      </c>
      <c r="D979" s="5">
        <v>4.2300000000000004</v>
      </c>
      <c r="E979" t="s">
        <v>46</v>
      </c>
    </row>
    <row r="980" spans="1:5" x14ac:dyDescent="0.25">
      <c r="A980" t="s">
        <v>33</v>
      </c>
      <c r="B980" s="93">
        <v>43564</v>
      </c>
      <c r="C980" t="s">
        <v>937</v>
      </c>
      <c r="D980" s="5">
        <v>5.09</v>
      </c>
      <c r="E980" t="s">
        <v>46</v>
      </c>
    </row>
    <row r="981" spans="1:5" x14ac:dyDescent="0.25">
      <c r="A981" t="s">
        <v>33</v>
      </c>
      <c r="B981" s="93">
        <v>43564</v>
      </c>
      <c r="C981" t="s">
        <v>1868</v>
      </c>
      <c r="D981" s="5">
        <v>29.08</v>
      </c>
      <c r="E981" t="s">
        <v>46</v>
      </c>
    </row>
    <row r="982" spans="1:5" x14ac:dyDescent="0.25">
      <c r="A982" t="s">
        <v>33</v>
      </c>
      <c r="B982" s="93">
        <v>43564</v>
      </c>
      <c r="C982" t="s">
        <v>1869</v>
      </c>
      <c r="D982" s="5">
        <v>15.28</v>
      </c>
      <c r="E982" t="s">
        <v>46</v>
      </c>
    </row>
    <row r="983" spans="1:5" x14ac:dyDescent="0.25">
      <c r="A983" t="s">
        <v>33</v>
      </c>
      <c r="B983" s="93">
        <v>43564</v>
      </c>
      <c r="C983" t="s">
        <v>1870</v>
      </c>
      <c r="D983" s="5">
        <v>103.35</v>
      </c>
      <c r="E983" t="s">
        <v>46</v>
      </c>
    </row>
    <row r="984" spans="1:5" x14ac:dyDescent="0.25">
      <c r="A984" t="s">
        <v>33</v>
      </c>
      <c r="B984" s="93">
        <v>43563</v>
      </c>
      <c r="C984" t="s">
        <v>929</v>
      </c>
      <c r="D984" s="5">
        <v>27.76</v>
      </c>
      <c r="E984" t="s">
        <v>46</v>
      </c>
    </row>
    <row r="985" spans="1:5" x14ac:dyDescent="0.25">
      <c r="A985" t="s">
        <v>33</v>
      </c>
      <c r="B985" s="93">
        <v>43563</v>
      </c>
      <c r="C985" t="s">
        <v>930</v>
      </c>
      <c r="D985" s="5">
        <v>4.2300000000000004</v>
      </c>
      <c r="E985" t="s">
        <v>46</v>
      </c>
    </row>
    <row r="986" spans="1:5" x14ac:dyDescent="0.25">
      <c r="A986" t="s">
        <v>33</v>
      </c>
      <c r="B986" s="93">
        <v>43563</v>
      </c>
      <c r="C986" t="s">
        <v>1871</v>
      </c>
      <c r="D986" s="5">
        <v>7.99</v>
      </c>
      <c r="E986" t="s">
        <v>46</v>
      </c>
    </row>
    <row r="987" spans="1:5" x14ac:dyDescent="0.25">
      <c r="A987" t="s">
        <v>33</v>
      </c>
      <c r="B987" s="93">
        <v>43563</v>
      </c>
      <c r="C987" t="s">
        <v>1872</v>
      </c>
      <c r="D987" s="5">
        <v>40</v>
      </c>
      <c r="E987" t="s">
        <v>58</v>
      </c>
    </row>
    <row r="988" spans="1:5" x14ac:dyDescent="0.25">
      <c r="A988" t="s">
        <v>33</v>
      </c>
      <c r="B988" s="93">
        <v>43563</v>
      </c>
      <c r="C988" t="s">
        <v>1873</v>
      </c>
      <c r="D988" s="5">
        <v>4.2300000000000004</v>
      </c>
      <c r="E988" t="s">
        <v>46</v>
      </c>
    </row>
    <row r="989" spans="1:5" x14ac:dyDescent="0.25">
      <c r="A989" t="s">
        <v>33</v>
      </c>
      <c r="B989" s="93">
        <v>43563</v>
      </c>
      <c r="C989" t="s">
        <v>1874</v>
      </c>
      <c r="D989" s="5">
        <v>27.08</v>
      </c>
      <c r="E989" t="s">
        <v>46</v>
      </c>
    </row>
    <row r="990" spans="1:5" x14ac:dyDescent="0.25">
      <c r="A990" t="s">
        <v>33</v>
      </c>
      <c r="B990" s="93">
        <v>43563</v>
      </c>
      <c r="C990" t="s">
        <v>1875</v>
      </c>
      <c r="D990" s="5">
        <v>4.2300000000000004</v>
      </c>
      <c r="E990" t="s">
        <v>46</v>
      </c>
    </row>
    <row r="991" spans="1:5" x14ac:dyDescent="0.25">
      <c r="A991" t="s">
        <v>33</v>
      </c>
      <c r="B991" s="93">
        <v>43563</v>
      </c>
      <c r="C991" t="s">
        <v>1876</v>
      </c>
      <c r="D991" s="5">
        <v>4.2300000000000004</v>
      </c>
      <c r="E991" t="s">
        <v>46</v>
      </c>
    </row>
    <row r="992" spans="1:5" x14ac:dyDescent="0.25">
      <c r="A992" t="s">
        <v>33</v>
      </c>
      <c r="B992" s="93">
        <v>43563</v>
      </c>
      <c r="C992" t="s">
        <v>1877</v>
      </c>
      <c r="D992" s="5">
        <v>22</v>
      </c>
      <c r="E992" t="s">
        <v>46</v>
      </c>
    </row>
    <row r="993" spans="1:5" x14ac:dyDescent="0.25">
      <c r="A993" t="s">
        <v>33</v>
      </c>
      <c r="B993" s="93">
        <v>43563</v>
      </c>
      <c r="C993" t="s">
        <v>1878</v>
      </c>
      <c r="D993" s="5">
        <v>11.36</v>
      </c>
      <c r="E993" t="s">
        <v>46</v>
      </c>
    </row>
    <row r="994" spans="1:5" x14ac:dyDescent="0.25">
      <c r="A994" t="s">
        <v>33</v>
      </c>
      <c r="B994" s="93">
        <v>43563</v>
      </c>
      <c r="C994" t="s">
        <v>1879</v>
      </c>
      <c r="D994" s="5">
        <v>42.39</v>
      </c>
      <c r="E994" t="s">
        <v>46</v>
      </c>
    </row>
    <row r="995" spans="1:5" x14ac:dyDescent="0.25">
      <c r="A995" t="s">
        <v>33</v>
      </c>
      <c r="B995" s="93">
        <v>43563</v>
      </c>
      <c r="C995" t="s">
        <v>1880</v>
      </c>
      <c r="D995" s="5">
        <v>13.89</v>
      </c>
      <c r="E995" t="s">
        <v>46</v>
      </c>
    </row>
    <row r="996" spans="1:5" x14ac:dyDescent="0.25">
      <c r="A996" t="s">
        <v>33</v>
      </c>
      <c r="B996" s="93">
        <v>43563</v>
      </c>
      <c r="C996" t="s">
        <v>1881</v>
      </c>
      <c r="D996" s="5">
        <v>23</v>
      </c>
      <c r="E996" t="s">
        <v>46</v>
      </c>
    </row>
    <row r="997" spans="1:5" x14ac:dyDescent="0.25">
      <c r="A997" t="s">
        <v>33</v>
      </c>
      <c r="B997" s="93">
        <v>43563</v>
      </c>
      <c r="C997" t="s">
        <v>1882</v>
      </c>
      <c r="D997" s="5">
        <v>21.35</v>
      </c>
      <c r="E997" t="s">
        <v>46</v>
      </c>
    </row>
    <row r="998" spans="1:5" x14ac:dyDescent="0.25">
      <c r="A998" t="s">
        <v>33</v>
      </c>
      <c r="B998" s="93">
        <v>43563</v>
      </c>
      <c r="C998" t="s">
        <v>1883</v>
      </c>
      <c r="D998" s="5">
        <v>4.2300000000000004</v>
      </c>
      <c r="E998" t="s">
        <v>46</v>
      </c>
    </row>
    <row r="999" spans="1:5" x14ac:dyDescent="0.25">
      <c r="A999" t="s">
        <v>33</v>
      </c>
      <c r="B999" s="93">
        <v>43563</v>
      </c>
      <c r="C999" t="s">
        <v>1884</v>
      </c>
      <c r="D999" s="5">
        <v>32.21</v>
      </c>
      <c r="E999" t="s">
        <v>46</v>
      </c>
    </row>
    <row r="1000" spans="1:5" x14ac:dyDescent="0.25">
      <c r="A1000" t="s">
        <v>33</v>
      </c>
      <c r="B1000" s="93">
        <v>43563</v>
      </c>
      <c r="C1000" t="s">
        <v>1885</v>
      </c>
      <c r="D1000" s="5">
        <v>5.09</v>
      </c>
      <c r="E1000" t="s">
        <v>46</v>
      </c>
    </row>
    <row r="1001" spans="1:5" x14ac:dyDescent="0.25">
      <c r="A1001" t="s">
        <v>33</v>
      </c>
      <c r="B1001" s="93">
        <v>43563</v>
      </c>
      <c r="C1001" t="s">
        <v>1886</v>
      </c>
      <c r="D1001" s="5">
        <v>8.0299999999999994</v>
      </c>
      <c r="E1001" t="s">
        <v>46</v>
      </c>
    </row>
    <row r="1002" spans="1:5" x14ac:dyDescent="0.25">
      <c r="A1002" t="s">
        <v>33</v>
      </c>
      <c r="B1002" s="93">
        <v>43560</v>
      </c>
      <c r="C1002" t="s">
        <v>364</v>
      </c>
      <c r="D1002" s="5">
        <v>299</v>
      </c>
      <c r="E1002" t="s">
        <v>107</v>
      </c>
    </row>
    <row r="1003" spans="1:5" x14ac:dyDescent="0.25">
      <c r="A1003" t="s">
        <v>33</v>
      </c>
      <c r="B1003" s="93">
        <v>43560</v>
      </c>
      <c r="C1003" t="s">
        <v>926</v>
      </c>
      <c r="D1003" s="5">
        <v>27.66</v>
      </c>
      <c r="E1003" t="s">
        <v>46</v>
      </c>
    </row>
    <row r="1004" spans="1:5" x14ac:dyDescent="0.25">
      <c r="A1004" t="s">
        <v>33</v>
      </c>
      <c r="B1004" s="93">
        <v>43560</v>
      </c>
      <c r="C1004" t="s">
        <v>927</v>
      </c>
      <c r="D1004" s="5">
        <v>6.96</v>
      </c>
      <c r="E1004" t="s">
        <v>46</v>
      </c>
    </row>
    <row r="1005" spans="1:5" x14ac:dyDescent="0.25">
      <c r="A1005" t="s">
        <v>33</v>
      </c>
      <c r="B1005" s="93">
        <v>43560</v>
      </c>
      <c r="C1005" t="s">
        <v>1887</v>
      </c>
      <c r="D1005" s="5">
        <v>1225</v>
      </c>
      <c r="E1005" t="s">
        <v>35</v>
      </c>
    </row>
    <row r="1006" spans="1:5" x14ac:dyDescent="0.25">
      <c r="A1006" t="s">
        <v>33</v>
      </c>
      <c r="B1006" s="93">
        <v>43560</v>
      </c>
      <c r="C1006" t="s">
        <v>928</v>
      </c>
      <c r="D1006" s="5">
        <v>26.03</v>
      </c>
      <c r="E1006" t="s">
        <v>46</v>
      </c>
    </row>
    <row r="1007" spans="1:5" x14ac:dyDescent="0.25">
      <c r="A1007" t="s">
        <v>33</v>
      </c>
      <c r="B1007" s="93">
        <v>43560</v>
      </c>
      <c r="C1007" t="s">
        <v>1888</v>
      </c>
      <c r="D1007" s="5">
        <v>1500</v>
      </c>
      <c r="E1007" t="s">
        <v>128</v>
      </c>
    </row>
    <row r="1008" spans="1:5" x14ac:dyDescent="0.25">
      <c r="A1008" t="s">
        <v>33</v>
      </c>
      <c r="B1008" s="93">
        <v>43560</v>
      </c>
      <c r="C1008" t="s">
        <v>1889</v>
      </c>
      <c r="D1008" s="5">
        <v>5.09</v>
      </c>
      <c r="E1008" t="s">
        <v>46</v>
      </c>
    </row>
    <row r="1009" spans="1:5" x14ac:dyDescent="0.25">
      <c r="A1009" t="s">
        <v>49</v>
      </c>
      <c r="B1009" s="93">
        <v>43560</v>
      </c>
      <c r="C1009" t="s">
        <v>50</v>
      </c>
      <c r="D1009" s="5">
        <v>-3485.06</v>
      </c>
      <c r="E1009" t="s">
        <v>51</v>
      </c>
    </row>
    <row r="1010" spans="1:5" x14ac:dyDescent="0.25">
      <c r="A1010" t="s">
        <v>33</v>
      </c>
      <c r="B1010" s="93">
        <v>43559</v>
      </c>
      <c r="C1010" t="s">
        <v>909</v>
      </c>
      <c r="D1010" s="5">
        <v>5.73</v>
      </c>
      <c r="E1010" t="s">
        <v>46</v>
      </c>
    </row>
    <row r="1011" spans="1:5" x14ac:dyDescent="0.25">
      <c r="A1011" t="s">
        <v>33</v>
      </c>
      <c r="B1011" s="93">
        <v>43559</v>
      </c>
      <c r="C1011" t="s">
        <v>910</v>
      </c>
      <c r="D1011" s="5">
        <v>2.2799999999999998</v>
      </c>
      <c r="E1011" t="s">
        <v>46</v>
      </c>
    </row>
    <row r="1012" spans="1:5" x14ac:dyDescent="0.25">
      <c r="A1012" t="s">
        <v>33</v>
      </c>
      <c r="B1012" s="93">
        <v>43559</v>
      </c>
      <c r="C1012" t="s">
        <v>911</v>
      </c>
      <c r="D1012" s="5">
        <v>26.4</v>
      </c>
      <c r="E1012" t="s">
        <v>46</v>
      </c>
    </row>
    <row r="1013" spans="1:5" x14ac:dyDescent="0.25">
      <c r="A1013" t="s">
        <v>33</v>
      </c>
      <c r="B1013" s="93">
        <v>43558</v>
      </c>
      <c r="C1013" t="s">
        <v>912</v>
      </c>
      <c r="D1013" s="5">
        <v>14.12</v>
      </c>
      <c r="E1013" t="s">
        <v>46</v>
      </c>
    </row>
    <row r="1014" spans="1:5" x14ac:dyDescent="0.25">
      <c r="A1014" t="s">
        <v>33</v>
      </c>
      <c r="B1014" s="93">
        <v>43558</v>
      </c>
      <c r="C1014" t="s">
        <v>913</v>
      </c>
      <c r="D1014" s="5">
        <v>65</v>
      </c>
      <c r="E1014" t="s">
        <v>46</v>
      </c>
    </row>
    <row r="1015" spans="1:5" x14ac:dyDescent="0.25">
      <c r="A1015" t="s">
        <v>33</v>
      </c>
      <c r="B1015" s="93">
        <v>43558</v>
      </c>
      <c r="C1015" t="s">
        <v>914</v>
      </c>
      <c r="D1015" s="5">
        <v>87.82</v>
      </c>
      <c r="E1015" t="s">
        <v>46</v>
      </c>
    </row>
    <row r="1016" spans="1:5" x14ac:dyDescent="0.25">
      <c r="A1016" t="s">
        <v>33</v>
      </c>
      <c r="B1016" s="93">
        <v>43558</v>
      </c>
      <c r="C1016" t="s">
        <v>915</v>
      </c>
      <c r="D1016" s="5">
        <v>5.09</v>
      </c>
      <c r="E1016" t="s">
        <v>46</v>
      </c>
    </row>
    <row r="1017" spans="1:5" x14ac:dyDescent="0.25">
      <c r="A1017" t="s">
        <v>33</v>
      </c>
      <c r="B1017" s="93">
        <v>43558</v>
      </c>
      <c r="C1017" t="s">
        <v>916</v>
      </c>
      <c r="D1017" s="5">
        <v>25.33</v>
      </c>
      <c r="E1017" t="s">
        <v>46</v>
      </c>
    </row>
    <row r="1018" spans="1:5" x14ac:dyDescent="0.25">
      <c r="A1018" t="s">
        <v>33</v>
      </c>
      <c r="B1018" s="93">
        <v>43557</v>
      </c>
      <c r="C1018" t="s">
        <v>377</v>
      </c>
      <c r="D1018" s="5">
        <v>832.24</v>
      </c>
      <c r="E1018" t="s">
        <v>107</v>
      </c>
    </row>
    <row r="1019" spans="1:5" x14ac:dyDescent="0.25">
      <c r="A1019" t="s">
        <v>33</v>
      </c>
      <c r="B1019" s="93">
        <v>43557</v>
      </c>
      <c r="C1019" t="s">
        <v>917</v>
      </c>
      <c r="D1019" s="5">
        <v>2.41</v>
      </c>
      <c r="E1019" t="s">
        <v>46</v>
      </c>
    </row>
    <row r="1020" spans="1:5" x14ac:dyDescent="0.25">
      <c r="A1020" t="s">
        <v>33</v>
      </c>
      <c r="B1020" s="93">
        <v>43557</v>
      </c>
      <c r="C1020" t="s">
        <v>918</v>
      </c>
      <c r="D1020" s="5">
        <v>7.73</v>
      </c>
      <c r="E1020" t="s">
        <v>46</v>
      </c>
    </row>
    <row r="1021" spans="1:5" x14ac:dyDescent="0.25">
      <c r="A1021" t="s">
        <v>33</v>
      </c>
      <c r="B1021" s="93">
        <v>43557</v>
      </c>
      <c r="C1021" t="s">
        <v>919</v>
      </c>
      <c r="D1021" s="5">
        <v>11.55</v>
      </c>
      <c r="E1021" t="s">
        <v>46</v>
      </c>
    </row>
    <row r="1022" spans="1:5" x14ac:dyDescent="0.25">
      <c r="A1022" t="s">
        <v>33</v>
      </c>
      <c r="B1022" s="93">
        <v>43557</v>
      </c>
      <c r="C1022" t="s">
        <v>920</v>
      </c>
      <c r="D1022" s="5">
        <v>20.59</v>
      </c>
      <c r="E1022" t="s">
        <v>46</v>
      </c>
    </row>
    <row r="1023" spans="1:5" x14ac:dyDescent="0.25">
      <c r="A1023" t="s">
        <v>49</v>
      </c>
      <c r="B1023" s="93">
        <v>43557</v>
      </c>
      <c r="C1023" t="s">
        <v>1890</v>
      </c>
      <c r="D1023" s="5">
        <v>-300</v>
      </c>
      <c r="E1023" t="s">
        <v>128</v>
      </c>
    </row>
    <row r="1024" spans="1:5" x14ac:dyDescent="0.25">
      <c r="A1024" t="s">
        <v>33</v>
      </c>
      <c r="B1024" s="93">
        <v>43556</v>
      </c>
      <c r="C1024" t="s">
        <v>894</v>
      </c>
      <c r="D1024" s="5">
        <v>29.95</v>
      </c>
      <c r="E1024" t="s">
        <v>46</v>
      </c>
    </row>
    <row r="1025" spans="1:5" x14ac:dyDescent="0.25">
      <c r="A1025" t="s">
        <v>33</v>
      </c>
      <c r="B1025" s="93">
        <v>43556</v>
      </c>
      <c r="C1025" t="s">
        <v>895</v>
      </c>
      <c r="D1025" s="5">
        <v>17.97</v>
      </c>
      <c r="E1025" t="s">
        <v>46</v>
      </c>
    </row>
    <row r="1026" spans="1:5" x14ac:dyDescent="0.25">
      <c r="A1026" t="s">
        <v>33</v>
      </c>
      <c r="B1026" s="93">
        <v>43556</v>
      </c>
      <c r="C1026" t="s">
        <v>896</v>
      </c>
      <c r="D1026" s="5">
        <v>30.01</v>
      </c>
      <c r="E1026" t="s">
        <v>46</v>
      </c>
    </row>
    <row r="1027" spans="1:5" x14ac:dyDescent="0.25">
      <c r="A1027" t="s">
        <v>33</v>
      </c>
      <c r="B1027" s="93">
        <v>43556</v>
      </c>
      <c r="C1027" t="s">
        <v>897</v>
      </c>
      <c r="D1027" s="5">
        <v>37.97</v>
      </c>
      <c r="E1027" t="s">
        <v>46</v>
      </c>
    </row>
    <row r="1028" spans="1:5" x14ac:dyDescent="0.25">
      <c r="A1028" t="s">
        <v>33</v>
      </c>
      <c r="B1028" s="93">
        <v>43556</v>
      </c>
      <c r="C1028" t="s">
        <v>898</v>
      </c>
      <c r="D1028" s="5">
        <v>29.47</v>
      </c>
      <c r="E1028" t="s">
        <v>46</v>
      </c>
    </row>
    <row r="1029" spans="1:5" x14ac:dyDescent="0.25">
      <c r="A1029" t="s">
        <v>33</v>
      </c>
      <c r="B1029" s="93">
        <v>43556</v>
      </c>
      <c r="C1029" t="s">
        <v>899</v>
      </c>
      <c r="D1029" s="5">
        <v>2.68</v>
      </c>
      <c r="E1029" t="s">
        <v>46</v>
      </c>
    </row>
    <row r="1030" spans="1:5" x14ac:dyDescent="0.25">
      <c r="A1030" t="s">
        <v>33</v>
      </c>
      <c r="B1030" s="93">
        <v>43556</v>
      </c>
      <c r="C1030" t="s">
        <v>900</v>
      </c>
      <c r="D1030" s="5">
        <v>5.62</v>
      </c>
      <c r="E1030" t="s">
        <v>46</v>
      </c>
    </row>
    <row r="1031" spans="1:5" x14ac:dyDescent="0.25">
      <c r="A1031" t="s">
        <v>33</v>
      </c>
      <c r="B1031" s="93">
        <v>43556</v>
      </c>
      <c r="C1031" t="s">
        <v>901</v>
      </c>
      <c r="D1031" s="5">
        <v>37.44</v>
      </c>
      <c r="E1031" t="s">
        <v>46</v>
      </c>
    </row>
    <row r="1032" spans="1:5" x14ac:dyDescent="0.25">
      <c r="A1032" t="s">
        <v>33</v>
      </c>
      <c r="B1032" s="93">
        <v>43556</v>
      </c>
      <c r="C1032" t="s">
        <v>902</v>
      </c>
      <c r="D1032" s="5">
        <v>5.51</v>
      </c>
      <c r="E1032" t="s">
        <v>46</v>
      </c>
    </row>
    <row r="1033" spans="1:5" x14ac:dyDescent="0.25">
      <c r="A1033" t="s">
        <v>33</v>
      </c>
      <c r="B1033" s="93">
        <v>43556</v>
      </c>
      <c r="C1033" t="s">
        <v>903</v>
      </c>
      <c r="D1033" s="5">
        <v>6.42</v>
      </c>
      <c r="E1033" t="s">
        <v>46</v>
      </c>
    </row>
    <row r="1034" spans="1:5" x14ac:dyDescent="0.25">
      <c r="A1034" t="s">
        <v>33</v>
      </c>
      <c r="B1034" s="93">
        <v>43556</v>
      </c>
      <c r="C1034" t="s">
        <v>904</v>
      </c>
      <c r="D1034" s="5">
        <v>2.68</v>
      </c>
      <c r="E1034" t="s">
        <v>46</v>
      </c>
    </row>
    <row r="1035" spans="1:5" x14ac:dyDescent="0.25">
      <c r="A1035" t="s">
        <v>33</v>
      </c>
      <c r="B1035" s="93">
        <v>43556</v>
      </c>
      <c r="C1035" t="s">
        <v>905</v>
      </c>
      <c r="D1035" s="5">
        <v>6.05</v>
      </c>
      <c r="E1035" t="s">
        <v>46</v>
      </c>
    </row>
    <row r="1036" spans="1:5" x14ac:dyDescent="0.25">
      <c r="A1036" t="s">
        <v>33</v>
      </c>
      <c r="B1036" s="93">
        <v>43556</v>
      </c>
      <c r="C1036" t="s">
        <v>906</v>
      </c>
      <c r="D1036" s="5">
        <v>53.49</v>
      </c>
      <c r="E1036" t="s">
        <v>46</v>
      </c>
    </row>
    <row r="1037" spans="1:5" x14ac:dyDescent="0.25">
      <c r="A1037" t="s">
        <v>33</v>
      </c>
      <c r="B1037" s="93">
        <v>43556</v>
      </c>
      <c r="C1037" t="s">
        <v>907</v>
      </c>
      <c r="D1037" s="5">
        <v>11.42</v>
      </c>
      <c r="E1037" t="s">
        <v>46</v>
      </c>
    </row>
    <row r="1038" spans="1:5" x14ac:dyDescent="0.25">
      <c r="A1038" t="s">
        <v>49</v>
      </c>
      <c r="B1038" s="93">
        <v>43553</v>
      </c>
      <c r="C1038" t="s">
        <v>104</v>
      </c>
      <c r="D1038" s="5">
        <v>-0.01</v>
      </c>
      <c r="E1038" t="s">
        <v>105</v>
      </c>
    </row>
    <row r="1039" spans="1:5" x14ac:dyDescent="0.25">
      <c r="A1039" t="s">
        <v>33</v>
      </c>
      <c r="B1039" s="93">
        <v>43553</v>
      </c>
      <c r="C1039" t="s">
        <v>1891</v>
      </c>
      <c r="D1039" s="5">
        <v>21.39</v>
      </c>
      <c r="E1039" t="s">
        <v>46</v>
      </c>
    </row>
    <row r="1040" spans="1:5" x14ac:dyDescent="0.25">
      <c r="A1040" t="s">
        <v>33</v>
      </c>
      <c r="B1040" s="93">
        <v>43553</v>
      </c>
      <c r="C1040" t="s">
        <v>106</v>
      </c>
      <c r="D1040" s="5">
        <v>437.54</v>
      </c>
      <c r="E1040" t="s">
        <v>107</v>
      </c>
    </row>
    <row r="1041" spans="1:5" x14ac:dyDescent="0.25">
      <c r="A1041" t="s">
        <v>33</v>
      </c>
      <c r="B1041" s="93">
        <v>43553</v>
      </c>
      <c r="C1041" t="s">
        <v>889</v>
      </c>
      <c r="D1041" s="5">
        <v>35.369999999999997</v>
      </c>
      <c r="E1041" t="s">
        <v>46</v>
      </c>
    </row>
    <row r="1042" spans="1:5" x14ac:dyDescent="0.25">
      <c r="A1042" t="s">
        <v>33</v>
      </c>
      <c r="B1042" s="93">
        <v>43553</v>
      </c>
      <c r="C1042" t="s">
        <v>890</v>
      </c>
      <c r="D1042" s="5">
        <v>5.94</v>
      </c>
      <c r="E1042" t="s">
        <v>46</v>
      </c>
    </row>
    <row r="1043" spans="1:5" x14ac:dyDescent="0.25">
      <c r="A1043" t="s">
        <v>33</v>
      </c>
      <c r="B1043" s="93">
        <v>43553</v>
      </c>
      <c r="C1043" t="s">
        <v>891</v>
      </c>
      <c r="D1043" s="5">
        <v>4.05</v>
      </c>
      <c r="E1043" t="s">
        <v>46</v>
      </c>
    </row>
    <row r="1044" spans="1:5" x14ac:dyDescent="0.25">
      <c r="A1044" t="s">
        <v>33</v>
      </c>
      <c r="B1044" s="93">
        <v>43553</v>
      </c>
      <c r="C1044" t="s">
        <v>892</v>
      </c>
      <c r="D1044" s="5">
        <v>13.78</v>
      </c>
      <c r="E1044" t="s">
        <v>46</v>
      </c>
    </row>
    <row r="1045" spans="1:5" x14ac:dyDescent="0.25">
      <c r="A1045" t="s">
        <v>33</v>
      </c>
      <c r="B1045" s="93">
        <v>43553</v>
      </c>
      <c r="C1045" t="s">
        <v>893</v>
      </c>
      <c r="D1045" s="5">
        <v>5.09</v>
      </c>
      <c r="E1045" t="s">
        <v>46</v>
      </c>
    </row>
    <row r="1046" spans="1:5" x14ac:dyDescent="0.25">
      <c r="A1046" t="s">
        <v>33</v>
      </c>
      <c r="B1046" s="93">
        <v>43553</v>
      </c>
      <c r="C1046" t="s">
        <v>1892</v>
      </c>
      <c r="D1046" s="5">
        <v>16.03</v>
      </c>
      <c r="E1046" t="s">
        <v>46</v>
      </c>
    </row>
    <row r="1047" spans="1:5" x14ac:dyDescent="0.25">
      <c r="A1047" t="s">
        <v>33</v>
      </c>
      <c r="B1047" s="93">
        <v>43552</v>
      </c>
      <c r="C1047" t="s">
        <v>887</v>
      </c>
      <c r="D1047" s="5">
        <v>30</v>
      </c>
      <c r="E1047" t="s">
        <v>46</v>
      </c>
    </row>
    <row r="1048" spans="1:5" x14ac:dyDescent="0.25">
      <c r="A1048" t="s">
        <v>33</v>
      </c>
      <c r="B1048" s="93">
        <v>43552</v>
      </c>
      <c r="C1048" t="s">
        <v>888</v>
      </c>
      <c r="D1048" s="5">
        <v>30.35</v>
      </c>
      <c r="E1048" t="s">
        <v>46</v>
      </c>
    </row>
    <row r="1049" spans="1:5" x14ac:dyDescent="0.25">
      <c r="A1049" t="s">
        <v>33</v>
      </c>
      <c r="B1049" s="93">
        <v>43552</v>
      </c>
      <c r="C1049" t="s">
        <v>1893</v>
      </c>
      <c r="D1049" s="5">
        <v>17.97</v>
      </c>
      <c r="E1049" t="s">
        <v>46</v>
      </c>
    </row>
    <row r="1050" spans="1:5" x14ac:dyDescent="0.25">
      <c r="A1050" t="s">
        <v>33</v>
      </c>
      <c r="B1050" s="93">
        <v>43552</v>
      </c>
      <c r="C1050" t="s">
        <v>1894</v>
      </c>
      <c r="D1050" s="5">
        <v>5.73</v>
      </c>
      <c r="E1050" t="s">
        <v>46</v>
      </c>
    </row>
    <row r="1051" spans="1:5" x14ac:dyDescent="0.25">
      <c r="A1051" t="s">
        <v>33</v>
      </c>
      <c r="B1051" s="93">
        <v>43551</v>
      </c>
      <c r="C1051" t="s">
        <v>864</v>
      </c>
      <c r="D1051" s="5">
        <v>20.149999999999999</v>
      </c>
      <c r="E1051" t="s">
        <v>46</v>
      </c>
    </row>
    <row r="1052" spans="1:5" x14ac:dyDescent="0.25">
      <c r="A1052" t="s">
        <v>33</v>
      </c>
      <c r="B1052" s="93">
        <v>43551</v>
      </c>
      <c r="C1052" t="s">
        <v>865</v>
      </c>
      <c r="D1052" s="5">
        <v>40.1</v>
      </c>
      <c r="E1052" t="s">
        <v>46</v>
      </c>
    </row>
    <row r="1053" spans="1:5" x14ac:dyDescent="0.25">
      <c r="A1053" t="s">
        <v>33</v>
      </c>
      <c r="B1053" s="93">
        <v>43550</v>
      </c>
      <c r="C1053" t="s">
        <v>866</v>
      </c>
      <c r="D1053" s="5">
        <v>42.79</v>
      </c>
      <c r="E1053" t="s">
        <v>46</v>
      </c>
    </row>
    <row r="1054" spans="1:5" x14ac:dyDescent="0.25">
      <c r="A1054" t="s">
        <v>33</v>
      </c>
      <c r="B1054" s="93">
        <v>43550</v>
      </c>
      <c r="C1054" t="s">
        <v>867</v>
      </c>
      <c r="D1054" s="5">
        <v>5.3</v>
      </c>
      <c r="E1054" t="s">
        <v>46</v>
      </c>
    </row>
    <row r="1055" spans="1:5" x14ac:dyDescent="0.25">
      <c r="A1055" t="s">
        <v>33</v>
      </c>
      <c r="B1055" s="93">
        <v>43550</v>
      </c>
      <c r="C1055" t="s">
        <v>868</v>
      </c>
      <c r="D1055" s="5">
        <v>12.42</v>
      </c>
      <c r="E1055" t="s">
        <v>46</v>
      </c>
    </row>
    <row r="1056" spans="1:5" x14ac:dyDescent="0.25">
      <c r="A1056" t="s">
        <v>33</v>
      </c>
      <c r="B1056" s="93">
        <v>43550</v>
      </c>
      <c r="C1056" t="s">
        <v>869</v>
      </c>
      <c r="D1056" s="5">
        <v>7.35</v>
      </c>
      <c r="E1056" t="s">
        <v>46</v>
      </c>
    </row>
    <row r="1057" spans="1:5" x14ac:dyDescent="0.25">
      <c r="A1057" t="s">
        <v>33</v>
      </c>
      <c r="B1057" s="93">
        <v>43549</v>
      </c>
      <c r="C1057" t="s">
        <v>870</v>
      </c>
      <c r="D1057" s="5">
        <v>0.99</v>
      </c>
      <c r="E1057" t="s">
        <v>46</v>
      </c>
    </row>
    <row r="1058" spans="1:5" x14ac:dyDescent="0.25">
      <c r="A1058" t="s">
        <v>33</v>
      </c>
      <c r="B1058" s="93">
        <v>43549</v>
      </c>
      <c r="C1058" t="s">
        <v>871</v>
      </c>
      <c r="D1058" s="5">
        <v>39.06</v>
      </c>
      <c r="E1058" t="s">
        <v>46</v>
      </c>
    </row>
    <row r="1059" spans="1:5" x14ac:dyDescent="0.25">
      <c r="A1059" t="s">
        <v>33</v>
      </c>
      <c r="B1059" s="93">
        <v>43549</v>
      </c>
      <c r="C1059" t="s">
        <v>872</v>
      </c>
      <c r="D1059" s="5">
        <v>26.95</v>
      </c>
      <c r="E1059" t="s">
        <v>46</v>
      </c>
    </row>
    <row r="1060" spans="1:5" x14ac:dyDescent="0.25">
      <c r="A1060" t="s">
        <v>33</v>
      </c>
      <c r="B1060" s="93">
        <v>43549</v>
      </c>
      <c r="C1060" t="s">
        <v>873</v>
      </c>
      <c r="D1060" s="5">
        <v>22.01</v>
      </c>
      <c r="E1060" t="s">
        <v>46</v>
      </c>
    </row>
    <row r="1061" spans="1:5" x14ac:dyDescent="0.25">
      <c r="A1061" t="s">
        <v>33</v>
      </c>
      <c r="B1061" s="93">
        <v>43549</v>
      </c>
      <c r="C1061" t="s">
        <v>874</v>
      </c>
      <c r="D1061" s="5">
        <v>6.05</v>
      </c>
      <c r="E1061" t="s">
        <v>46</v>
      </c>
    </row>
    <row r="1062" spans="1:5" x14ac:dyDescent="0.25">
      <c r="A1062" t="s">
        <v>33</v>
      </c>
      <c r="B1062" s="93">
        <v>43549</v>
      </c>
      <c r="C1062" t="s">
        <v>875</v>
      </c>
      <c r="D1062" s="5">
        <v>6.94</v>
      </c>
      <c r="E1062" t="s">
        <v>46</v>
      </c>
    </row>
    <row r="1063" spans="1:5" x14ac:dyDescent="0.25">
      <c r="A1063" t="s">
        <v>33</v>
      </c>
      <c r="B1063" s="93">
        <v>43549</v>
      </c>
      <c r="C1063" t="s">
        <v>876</v>
      </c>
      <c r="D1063" s="5">
        <v>11.11</v>
      </c>
      <c r="E1063" t="s">
        <v>46</v>
      </c>
    </row>
    <row r="1064" spans="1:5" x14ac:dyDescent="0.25">
      <c r="A1064" t="s">
        <v>33</v>
      </c>
      <c r="B1064" s="93">
        <v>43549</v>
      </c>
      <c r="C1064" t="s">
        <v>877</v>
      </c>
      <c r="D1064" s="5">
        <v>16.05</v>
      </c>
      <c r="E1064" t="s">
        <v>46</v>
      </c>
    </row>
    <row r="1065" spans="1:5" x14ac:dyDescent="0.25">
      <c r="A1065" t="s">
        <v>33</v>
      </c>
      <c r="B1065" s="93">
        <v>43549</v>
      </c>
      <c r="C1065" t="s">
        <v>878</v>
      </c>
      <c r="D1065" s="5">
        <v>63.95</v>
      </c>
      <c r="E1065" t="s">
        <v>58</v>
      </c>
    </row>
    <row r="1066" spans="1:5" x14ac:dyDescent="0.25">
      <c r="A1066" t="s">
        <v>33</v>
      </c>
      <c r="B1066" s="93">
        <v>43549</v>
      </c>
      <c r="C1066" t="s">
        <v>879</v>
      </c>
      <c r="D1066" s="5">
        <v>37.450000000000003</v>
      </c>
      <c r="E1066" t="s">
        <v>46</v>
      </c>
    </row>
    <row r="1067" spans="1:5" x14ac:dyDescent="0.25">
      <c r="A1067" t="s">
        <v>33</v>
      </c>
      <c r="B1067" s="93">
        <v>43549</v>
      </c>
      <c r="C1067" t="s">
        <v>880</v>
      </c>
      <c r="D1067" s="5">
        <v>13.97</v>
      </c>
      <c r="E1067" t="s">
        <v>46</v>
      </c>
    </row>
    <row r="1068" spans="1:5" x14ac:dyDescent="0.25">
      <c r="A1068" t="s">
        <v>33</v>
      </c>
      <c r="B1068" s="93">
        <v>43549</v>
      </c>
      <c r="C1068" t="s">
        <v>881</v>
      </c>
      <c r="D1068" s="5">
        <v>13.38</v>
      </c>
      <c r="E1068" t="s">
        <v>46</v>
      </c>
    </row>
    <row r="1069" spans="1:5" x14ac:dyDescent="0.25">
      <c r="A1069" t="s">
        <v>33</v>
      </c>
      <c r="B1069" s="93">
        <v>43549</v>
      </c>
      <c r="C1069" t="s">
        <v>882</v>
      </c>
      <c r="D1069" s="5">
        <v>4.2300000000000004</v>
      </c>
      <c r="E1069" t="s">
        <v>46</v>
      </c>
    </row>
    <row r="1070" spans="1:5" x14ac:dyDescent="0.25">
      <c r="A1070" t="s">
        <v>33</v>
      </c>
      <c r="B1070" s="93">
        <v>43549</v>
      </c>
      <c r="C1070" t="s">
        <v>883</v>
      </c>
      <c r="D1070" s="5">
        <v>5</v>
      </c>
      <c r="E1070" t="s">
        <v>46</v>
      </c>
    </row>
    <row r="1071" spans="1:5" x14ac:dyDescent="0.25">
      <c r="A1071" t="s">
        <v>33</v>
      </c>
      <c r="B1071" s="93">
        <v>43549</v>
      </c>
      <c r="C1071" t="s">
        <v>884</v>
      </c>
      <c r="D1071" s="5">
        <v>23.59</v>
      </c>
      <c r="E1071" t="s">
        <v>46</v>
      </c>
    </row>
    <row r="1072" spans="1:5" x14ac:dyDescent="0.25">
      <c r="A1072" t="s">
        <v>33</v>
      </c>
      <c r="B1072" s="93">
        <v>43549</v>
      </c>
      <c r="C1072" t="s">
        <v>885</v>
      </c>
      <c r="D1072" s="5">
        <v>30</v>
      </c>
      <c r="E1072" t="s">
        <v>46</v>
      </c>
    </row>
    <row r="1073" spans="1:5" x14ac:dyDescent="0.25">
      <c r="A1073" t="s">
        <v>33</v>
      </c>
      <c r="B1073" s="93">
        <v>43549</v>
      </c>
      <c r="C1073" t="s">
        <v>886</v>
      </c>
      <c r="D1073" s="5">
        <v>18.45</v>
      </c>
      <c r="E1073" t="s">
        <v>46</v>
      </c>
    </row>
    <row r="1074" spans="1:5" x14ac:dyDescent="0.25">
      <c r="A1074" t="s">
        <v>33</v>
      </c>
      <c r="B1074" s="93">
        <v>43549</v>
      </c>
      <c r="C1074" t="s">
        <v>1895</v>
      </c>
      <c r="D1074" s="5">
        <v>11.84</v>
      </c>
      <c r="E1074" t="s">
        <v>46</v>
      </c>
    </row>
    <row r="1075" spans="1:5" x14ac:dyDescent="0.25">
      <c r="A1075" t="s">
        <v>33</v>
      </c>
      <c r="B1075" s="93">
        <v>43549</v>
      </c>
      <c r="C1075" t="s">
        <v>1896</v>
      </c>
      <c r="D1075" s="5">
        <v>16.84</v>
      </c>
      <c r="E1075" t="s">
        <v>46</v>
      </c>
    </row>
    <row r="1076" spans="1:5" x14ac:dyDescent="0.25">
      <c r="A1076" t="s">
        <v>49</v>
      </c>
      <c r="B1076" s="93">
        <v>43549</v>
      </c>
      <c r="C1076" t="s">
        <v>857</v>
      </c>
      <c r="D1076" s="5">
        <v>-3.95</v>
      </c>
      <c r="E1076" t="s">
        <v>105</v>
      </c>
    </row>
    <row r="1077" spans="1:5" x14ac:dyDescent="0.25">
      <c r="A1077" t="s">
        <v>33</v>
      </c>
      <c r="B1077" s="93">
        <v>43546</v>
      </c>
      <c r="C1077" t="s">
        <v>858</v>
      </c>
      <c r="D1077" s="5">
        <v>11.45</v>
      </c>
      <c r="E1077" t="s">
        <v>46</v>
      </c>
    </row>
    <row r="1078" spans="1:5" x14ac:dyDescent="0.25">
      <c r="A1078" t="s">
        <v>33</v>
      </c>
      <c r="B1078" s="93">
        <v>43546</v>
      </c>
      <c r="C1078" t="s">
        <v>859</v>
      </c>
      <c r="D1078" s="5">
        <v>30.83</v>
      </c>
      <c r="E1078" t="s">
        <v>46</v>
      </c>
    </row>
    <row r="1079" spans="1:5" x14ac:dyDescent="0.25">
      <c r="A1079" t="s">
        <v>33</v>
      </c>
      <c r="B1079" s="93">
        <v>43546</v>
      </c>
      <c r="C1079" t="s">
        <v>860</v>
      </c>
      <c r="D1079" s="5">
        <v>23</v>
      </c>
      <c r="E1079" t="s">
        <v>46</v>
      </c>
    </row>
    <row r="1080" spans="1:5" x14ac:dyDescent="0.25">
      <c r="A1080" t="s">
        <v>33</v>
      </c>
      <c r="B1080" s="93">
        <v>43546</v>
      </c>
      <c r="C1080" t="s">
        <v>861</v>
      </c>
      <c r="D1080" s="5">
        <v>7.48</v>
      </c>
      <c r="E1080" t="s">
        <v>46</v>
      </c>
    </row>
    <row r="1081" spans="1:5" x14ac:dyDescent="0.25">
      <c r="A1081" t="s">
        <v>33</v>
      </c>
      <c r="B1081" s="93">
        <v>43546</v>
      </c>
      <c r="C1081" t="s">
        <v>1897</v>
      </c>
      <c r="D1081" s="5">
        <v>800</v>
      </c>
      <c r="E1081" t="s">
        <v>128</v>
      </c>
    </row>
    <row r="1082" spans="1:5" x14ac:dyDescent="0.25">
      <c r="A1082" t="s">
        <v>33</v>
      </c>
      <c r="B1082" s="93">
        <v>43546</v>
      </c>
      <c r="C1082" t="s">
        <v>1898</v>
      </c>
      <c r="D1082" s="5">
        <v>151</v>
      </c>
      <c r="E1082" t="s">
        <v>128</v>
      </c>
    </row>
    <row r="1083" spans="1:5" x14ac:dyDescent="0.25">
      <c r="A1083" t="s">
        <v>33</v>
      </c>
      <c r="B1083" s="93">
        <v>43546</v>
      </c>
      <c r="C1083" t="s">
        <v>1899</v>
      </c>
      <c r="D1083" s="5">
        <v>5.73</v>
      </c>
      <c r="E1083" t="s">
        <v>46</v>
      </c>
    </row>
    <row r="1084" spans="1:5" x14ac:dyDescent="0.25">
      <c r="A1084" t="s">
        <v>49</v>
      </c>
      <c r="B1084" s="93">
        <v>43546</v>
      </c>
      <c r="C1084" t="s">
        <v>50</v>
      </c>
      <c r="D1084" s="5">
        <v>-3485.06</v>
      </c>
      <c r="E1084" t="s">
        <v>51</v>
      </c>
    </row>
    <row r="1085" spans="1:5" x14ac:dyDescent="0.25">
      <c r="A1085" t="s">
        <v>33</v>
      </c>
      <c r="B1085" s="93">
        <v>43545</v>
      </c>
      <c r="C1085" t="s">
        <v>849</v>
      </c>
      <c r="D1085" s="5">
        <v>46.99</v>
      </c>
      <c r="E1085" t="s">
        <v>46</v>
      </c>
    </row>
    <row r="1086" spans="1:5" x14ac:dyDescent="0.25">
      <c r="A1086" t="s">
        <v>33</v>
      </c>
      <c r="B1086" s="93">
        <v>43545</v>
      </c>
      <c r="C1086" t="s">
        <v>850</v>
      </c>
      <c r="D1086" s="5">
        <v>2.25</v>
      </c>
      <c r="E1086" t="s">
        <v>46</v>
      </c>
    </row>
    <row r="1087" spans="1:5" x14ac:dyDescent="0.25">
      <c r="A1087" t="s">
        <v>33</v>
      </c>
      <c r="B1087" s="93">
        <v>43545</v>
      </c>
      <c r="C1087" t="s">
        <v>851</v>
      </c>
      <c r="D1087" s="5">
        <v>5.73</v>
      </c>
      <c r="E1087" t="s">
        <v>46</v>
      </c>
    </row>
    <row r="1088" spans="1:5" x14ac:dyDescent="0.25">
      <c r="A1088" t="s">
        <v>33</v>
      </c>
      <c r="B1088" s="93">
        <v>43544</v>
      </c>
      <c r="C1088" t="s">
        <v>852</v>
      </c>
      <c r="D1088" s="5">
        <v>10</v>
      </c>
      <c r="E1088" t="s">
        <v>46</v>
      </c>
    </row>
    <row r="1089" spans="1:5" x14ac:dyDescent="0.25">
      <c r="A1089" t="s">
        <v>33</v>
      </c>
      <c r="B1089" s="93">
        <v>43544</v>
      </c>
      <c r="C1089" t="s">
        <v>1900</v>
      </c>
      <c r="D1089" s="5">
        <v>13.6</v>
      </c>
      <c r="E1089" t="s">
        <v>46</v>
      </c>
    </row>
    <row r="1090" spans="1:5" x14ac:dyDescent="0.25">
      <c r="A1090" t="s">
        <v>33</v>
      </c>
      <c r="B1090" s="93">
        <v>43543</v>
      </c>
      <c r="C1090" t="s">
        <v>853</v>
      </c>
      <c r="D1090" s="5">
        <v>17.11</v>
      </c>
      <c r="E1090" t="s">
        <v>46</v>
      </c>
    </row>
    <row r="1091" spans="1:5" x14ac:dyDescent="0.25">
      <c r="A1091" t="s">
        <v>33</v>
      </c>
      <c r="B1091" s="93">
        <v>43543</v>
      </c>
      <c r="C1091" t="s">
        <v>854</v>
      </c>
      <c r="D1091" s="5">
        <v>13.96</v>
      </c>
      <c r="E1091" t="s">
        <v>46</v>
      </c>
    </row>
    <row r="1092" spans="1:5" x14ac:dyDescent="0.25">
      <c r="A1092" t="s">
        <v>33</v>
      </c>
      <c r="B1092" s="93">
        <v>43543</v>
      </c>
      <c r="C1092" t="s">
        <v>855</v>
      </c>
      <c r="D1092" s="5">
        <v>25.03</v>
      </c>
      <c r="E1092" t="s">
        <v>46</v>
      </c>
    </row>
    <row r="1093" spans="1:5" x14ac:dyDescent="0.25">
      <c r="A1093" t="s">
        <v>33</v>
      </c>
      <c r="B1093" s="93">
        <v>43543</v>
      </c>
      <c r="C1093" t="s">
        <v>856</v>
      </c>
      <c r="D1093" s="5">
        <v>25.94</v>
      </c>
      <c r="E1093" t="s">
        <v>46</v>
      </c>
    </row>
    <row r="1094" spans="1:5" x14ac:dyDescent="0.25">
      <c r="A1094" t="s">
        <v>33</v>
      </c>
      <c r="B1094" s="93">
        <v>43543</v>
      </c>
      <c r="C1094" t="s">
        <v>1901</v>
      </c>
      <c r="D1094" s="5">
        <v>3.4</v>
      </c>
      <c r="E1094" t="s">
        <v>46</v>
      </c>
    </row>
    <row r="1095" spans="1:5" x14ac:dyDescent="0.25">
      <c r="A1095" t="s">
        <v>33</v>
      </c>
      <c r="B1095" s="93">
        <v>43543</v>
      </c>
      <c r="C1095" t="s">
        <v>1902</v>
      </c>
      <c r="D1095" s="5">
        <v>11.24</v>
      </c>
      <c r="E1095" t="s">
        <v>46</v>
      </c>
    </row>
    <row r="1096" spans="1:5" x14ac:dyDescent="0.25">
      <c r="A1096" t="s">
        <v>49</v>
      </c>
      <c r="B1096" s="93">
        <v>43543</v>
      </c>
      <c r="C1096" t="s">
        <v>1903</v>
      </c>
      <c r="D1096" s="5">
        <v>-300</v>
      </c>
      <c r="E1096" t="s">
        <v>128</v>
      </c>
    </row>
    <row r="1097" spans="1:5" x14ac:dyDescent="0.25">
      <c r="A1097" t="s">
        <v>33</v>
      </c>
      <c r="B1097" s="93">
        <v>43542</v>
      </c>
      <c r="C1097" t="s">
        <v>662</v>
      </c>
      <c r="D1097" s="5">
        <v>150</v>
      </c>
      <c r="E1097" t="s">
        <v>107</v>
      </c>
    </row>
    <row r="1098" spans="1:5" x14ac:dyDescent="0.25">
      <c r="A1098" t="s">
        <v>33</v>
      </c>
      <c r="B1098" s="93">
        <v>43542</v>
      </c>
      <c r="C1098" t="s">
        <v>1904</v>
      </c>
      <c r="D1098" s="5">
        <v>11.23</v>
      </c>
      <c r="E1098" t="s">
        <v>46</v>
      </c>
    </row>
    <row r="1099" spans="1:5" x14ac:dyDescent="0.25">
      <c r="A1099" t="s">
        <v>33</v>
      </c>
      <c r="B1099" s="93">
        <v>43542</v>
      </c>
      <c r="C1099" t="s">
        <v>1905</v>
      </c>
      <c r="D1099" s="5">
        <v>5.94</v>
      </c>
      <c r="E1099" t="s">
        <v>46</v>
      </c>
    </row>
    <row r="1100" spans="1:5" x14ac:dyDescent="0.25">
      <c r="A1100" t="s">
        <v>33</v>
      </c>
      <c r="B1100" s="93">
        <v>43542</v>
      </c>
      <c r="C1100" t="s">
        <v>1906</v>
      </c>
      <c r="D1100" s="5">
        <v>47.03</v>
      </c>
      <c r="E1100" t="s">
        <v>46</v>
      </c>
    </row>
    <row r="1101" spans="1:5" x14ac:dyDescent="0.25">
      <c r="A1101" t="s">
        <v>33</v>
      </c>
      <c r="B1101" s="93">
        <v>43542</v>
      </c>
      <c r="C1101" t="s">
        <v>1907</v>
      </c>
      <c r="D1101" s="5">
        <v>21.59</v>
      </c>
      <c r="E1101" t="s">
        <v>46</v>
      </c>
    </row>
    <row r="1102" spans="1:5" x14ac:dyDescent="0.25">
      <c r="A1102" t="s">
        <v>33</v>
      </c>
      <c r="B1102" s="93">
        <v>43542</v>
      </c>
      <c r="C1102" t="s">
        <v>1908</v>
      </c>
      <c r="D1102" s="5">
        <v>31.68</v>
      </c>
      <c r="E1102" t="s">
        <v>46</v>
      </c>
    </row>
    <row r="1103" spans="1:5" x14ac:dyDescent="0.25">
      <c r="A1103" t="s">
        <v>33</v>
      </c>
      <c r="B1103" s="93">
        <v>43542</v>
      </c>
      <c r="C1103" t="s">
        <v>1909</v>
      </c>
      <c r="D1103" s="5">
        <v>2.25</v>
      </c>
      <c r="E1103" t="s">
        <v>46</v>
      </c>
    </row>
    <row r="1104" spans="1:5" x14ac:dyDescent="0.25">
      <c r="A1104" t="s">
        <v>33</v>
      </c>
      <c r="B1104" s="93">
        <v>43542</v>
      </c>
      <c r="C1104" t="s">
        <v>1910</v>
      </c>
      <c r="D1104" s="5">
        <v>32.08</v>
      </c>
      <c r="E1104" t="s">
        <v>46</v>
      </c>
    </row>
    <row r="1105" spans="1:5" x14ac:dyDescent="0.25">
      <c r="A1105" t="s">
        <v>33</v>
      </c>
      <c r="B1105" s="93">
        <v>43542</v>
      </c>
      <c r="C1105" t="s">
        <v>1911</v>
      </c>
      <c r="D1105" s="5">
        <v>5.19</v>
      </c>
      <c r="E1105" t="s">
        <v>46</v>
      </c>
    </row>
    <row r="1106" spans="1:5" x14ac:dyDescent="0.25">
      <c r="A1106" t="s">
        <v>33</v>
      </c>
      <c r="B1106" s="93">
        <v>43542</v>
      </c>
      <c r="C1106" t="s">
        <v>1912</v>
      </c>
      <c r="D1106" s="5">
        <v>40.26</v>
      </c>
      <c r="E1106" t="s">
        <v>46</v>
      </c>
    </row>
    <row r="1107" spans="1:5" x14ac:dyDescent="0.25">
      <c r="A1107" t="s">
        <v>33</v>
      </c>
      <c r="B1107" s="93">
        <v>43542</v>
      </c>
      <c r="C1107" t="s">
        <v>1913</v>
      </c>
      <c r="D1107" s="5">
        <v>2.2999999999999998</v>
      </c>
      <c r="E1107" t="s">
        <v>46</v>
      </c>
    </row>
    <row r="1108" spans="1:5" x14ac:dyDescent="0.25">
      <c r="A1108" t="s">
        <v>33</v>
      </c>
      <c r="B1108" s="93">
        <v>43542</v>
      </c>
      <c r="C1108" t="s">
        <v>1914</v>
      </c>
      <c r="D1108" s="5">
        <v>60.95</v>
      </c>
      <c r="E1108" t="s">
        <v>46</v>
      </c>
    </row>
    <row r="1109" spans="1:5" x14ac:dyDescent="0.25">
      <c r="A1109" t="s">
        <v>33</v>
      </c>
      <c r="B1109" s="93">
        <v>43542</v>
      </c>
      <c r="C1109" t="s">
        <v>1915</v>
      </c>
      <c r="D1109" s="5">
        <v>42.79</v>
      </c>
      <c r="E1109" t="s">
        <v>46</v>
      </c>
    </row>
    <row r="1110" spans="1:5" x14ac:dyDescent="0.25">
      <c r="A1110" t="s">
        <v>33</v>
      </c>
      <c r="B1110" s="93">
        <v>43542</v>
      </c>
      <c r="C1110" t="s">
        <v>1916</v>
      </c>
      <c r="D1110" s="5">
        <v>4.55</v>
      </c>
      <c r="E1110" t="s">
        <v>46</v>
      </c>
    </row>
    <row r="1111" spans="1:5" x14ac:dyDescent="0.25">
      <c r="A1111" t="s">
        <v>33</v>
      </c>
      <c r="B1111" s="93">
        <v>43542</v>
      </c>
      <c r="C1111" t="s">
        <v>1917</v>
      </c>
      <c r="D1111" s="5">
        <v>3.91</v>
      </c>
      <c r="E1111" t="s">
        <v>46</v>
      </c>
    </row>
    <row r="1112" spans="1:5" x14ac:dyDescent="0.25">
      <c r="A1112" t="s">
        <v>33</v>
      </c>
      <c r="B1112" s="93">
        <v>43542</v>
      </c>
      <c r="C1112" t="s">
        <v>1918</v>
      </c>
      <c r="D1112" s="5">
        <v>30</v>
      </c>
      <c r="E1112" t="s">
        <v>46</v>
      </c>
    </row>
    <row r="1113" spans="1:5" x14ac:dyDescent="0.25">
      <c r="A1113" t="s">
        <v>33</v>
      </c>
      <c r="B1113" s="93">
        <v>43542</v>
      </c>
      <c r="C1113" t="s">
        <v>1919</v>
      </c>
      <c r="D1113" s="5">
        <v>5.09</v>
      </c>
      <c r="E1113" t="s">
        <v>46</v>
      </c>
    </row>
    <row r="1114" spans="1:5" x14ac:dyDescent="0.25">
      <c r="A1114" t="s">
        <v>33</v>
      </c>
      <c r="B1114" s="93">
        <v>43542</v>
      </c>
      <c r="C1114" t="s">
        <v>1920</v>
      </c>
      <c r="D1114" s="5">
        <v>17.84</v>
      </c>
      <c r="E1114" t="s">
        <v>46</v>
      </c>
    </row>
    <row r="1115" spans="1:5" x14ac:dyDescent="0.25">
      <c r="A1115" t="s">
        <v>49</v>
      </c>
      <c r="B1115" s="93">
        <v>43542</v>
      </c>
      <c r="C1115" t="s">
        <v>1921</v>
      </c>
      <c r="D1115" s="5">
        <v>-250</v>
      </c>
      <c r="E1115" t="s">
        <v>128</v>
      </c>
    </row>
    <row r="1116" spans="1:5" x14ac:dyDescent="0.25">
      <c r="A1116" t="s">
        <v>33</v>
      </c>
      <c r="B1116" s="93">
        <v>43539</v>
      </c>
      <c r="C1116" t="s">
        <v>837</v>
      </c>
      <c r="D1116" s="5">
        <v>11.84</v>
      </c>
      <c r="E1116" t="s">
        <v>46</v>
      </c>
    </row>
    <row r="1117" spans="1:5" x14ac:dyDescent="0.25">
      <c r="A1117" t="s">
        <v>33</v>
      </c>
      <c r="B1117" s="93">
        <v>43539</v>
      </c>
      <c r="C1117" t="s">
        <v>838</v>
      </c>
      <c r="D1117" s="5">
        <v>23.52</v>
      </c>
      <c r="E1117" t="s">
        <v>46</v>
      </c>
    </row>
    <row r="1118" spans="1:5" x14ac:dyDescent="0.25">
      <c r="A1118" t="s">
        <v>33</v>
      </c>
      <c r="B1118" s="93">
        <v>43539</v>
      </c>
      <c r="C1118" t="s">
        <v>1922</v>
      </c>
      <c r="D1118" s="5">
        <v>13.97</v>
      </c>
      <c r="E1118" t="s">
        <v>46</v>
      </c>
    </row>
    <row r="1119" spans="1:5" x14ac:dyDescent="0.25">
      <c r="A1119" t="s">
        <v>33</v>
      </c>
      <c r="B1119" s="93">
        <v>43538</v>
      </c>
      <c r="C1119" t="s">
        <v>810</v>
      </c>
      <c r="D1119" s="5">
        <v>3.89</v>
      </c>
      <c r="E1119" t="s">
        <v>46</v>
      </c>
    </row>
    <row r="1120" spans="1:5" x14ac:dyDescent="0.25">
      <c r="A1120" t="s">
        <v>33</v>
      </c>
      <c r="B1120" s="93">
        <v>43537</v>
      </c>
      <c r="C1120" t="s">
        <v>811</v>
      </c>
      <c r="D1120" s="5">
        <v>8.5399999999999991</v>
      </c>
      <c r="E1120" t="s">
        <v>46</v>
      </c>
    </row>
    <row r="1121" spans="1:5" x14ac:dyDescent="0.25">
      <c r="A1121" t="s">
        <v>33</v>
      </c>
      <c r="B1121" s="93">
        <v>43537</v>
      </c>
      <c r="C1121" t="s">
        <v>812</v>
      </c>
      <c r="D1121" s="5">
        <v>9.5299999999999994</v>
      </c>
      <c r="E1121" t="s">
        <v>46</v>
      </c>
    </row>
    <row r="1122" spans="1:5" x14ac:dyDescent="0.25">
      <c r="A1122" t="s">
        <v>33</v>
      </c>
      <c r="B1122" s="93">
        <v>43537</v>
      </c>
      <c r="C1122" t="s">
        <v>813</v>
      </c>
      <c r="D1122" s="5">
        <v>45.58</v>
      </c>
      <c r="E1122" t="s">
        <v>46</v>
      </c>
    </row>
    <row r="1123" spans="1:5" x14ac:dyDescent="0.25">
      <c r="A1123" t="s">
        <v>33</v>
      </c>
      <c r="B1123" s="93">
        <v>43537</v>
      </c>
      <c r="C1123" t="s">
        <v>814</v>
      </c>
      <c r="D1123" s="5">
        <v>18.18</v>
      </c>
      <c r="E1123" t="s">
        <v>46</v>
      </c>
    </row>
    <row r="1124" spans="1:5" x14ac:dyDescent="0.25">
      <c r="A1124" t="s">
        <v>33</v>
      </c>
      <c r="B1124" s="93">
        <v>43537</v>
      </c>
      <c r="C1124" t="s">
        <v>815</v>
      </c>
      <c r="D1124" s="5">
        <v>27.7</v>
      </c>
      <c r="E1124" t="s">
        <v>46</v>
      </c>
    </row>
    <row r="1125" spans="1:5" x14ac:dyDescent="0.25">
      <c r="A1125" t="s">
        <v>33</v>
      </c>
      <c r="B1125" s="93">
        <v>43536</v>
      </c>
      <c r="C1125" t="s">
        <v>816</v>
      </c>
      <c r="D1125" s="5">
        <v>3.2</v>
      </c>
      <c r="E1125" t="s">
        <v>46</v>
      </c>
    </row>
    <row r="1126" spans="1:5" x14ac:dyDescent="0.25">
      <c r="A1126" t="s">
        <v>33</v>
      </c>
      <c r="B1126" s="93">
        <v>43536</v>
      </c>
      <c r="C1126" t="s">
        <v>817</v>
      </c>
      <c r="D1126" s="5">
        <v>5.09</v>
      </c>
      <c r="E1126" t="s">
        <v>46</v>
      </c>
    </row>
    <row r="1127" spans="1:5" x14ac:dyDescent="0.25">
      <c r="A1127" t="s">
        <v>33</v>
      </c>
      <c r="B1127" s="93">
        <v>43536</v>
      </c>
      <c r="C1127" t="s">
        <v>818</v>
      </c>
      <c r="D1127" s="5">
        <v>130.27000000000001</v>
      </c>
      <c r="E1127" t="s">
        <v>46</v>
      </c>
    </row>
    <row r="1128" spans="1:5" x14ac:dyDescent="0.25">
      <c r="A1128" t="s">
        <v>33</v>
      </c>
      <c r="B1128" s="93">
        <v>43536</v>
      </c>
      <c r="C1128" t="s">
        <v>819</v>
      </c>
      <c r="D1128" s="5">
        <v>10</v>
      </c>
      <c r="E1128" t="s">
        <v>46</v>
      </c>
    </row>
    <row r="1129" spans="1:5" x14ac:dyDescent="0.25">
      <c r="A1129" t="s">
        <v>33</v>
      </c>
      <c r="B1129" s="93">
        <v>43535</v>
      </c>
      <c r="C1129" t="s">
        <v>820</v>
      </c>
      <c r="D1129" s="5">
        <v>12.36</v>
      </c>
      <c r="E1129" t="s">
        <v>46</v>
      </c>
    </row>
    <row r="1130" spans="1:5" x14ac:dyDescent="0.25">
      <c r="A1130" t="s">
        <v>33</v>
      </c>
      <c r="B1130" s="93">
        <v>43535</v>
      </c>
      <c r="C1130" t="s">
        <v>821</v>
      </c>
      <c r="D1130" s="5">
        <v>6.96</v>
      </c>
      <c r="E1130" t="s">
        <v>46</v>
      </c>
    </row>
    <row r="1131" spans="1:5" x14ac:dyDescent="0.25">
      <c r="A1131" t="s">
        <v>33</v>
      </c>
      <c r="B1131" s="93">
        <v>43535</v>
      </c>
      <c r="C1131" t="s">
        <v>822</v>
      </c>
      <c r="D1131" s="5">
        <v>29.55</v>
      </c>
      <c r="E1131" t="s">
        <v>46</v>
      </c>
    </row>
    <row r="1132" spans="1:5" x14ac:dyDescent="0.25">
      <c r="A1132" t="s">
        <v>33</v>
      </c>
      <c r="B1132" s="93">
        <v>43535</v>
      </c>
      <c r="C1132" t="s">
        <v>823</v>
      </c>
      <c r="D1132" s="5">
        <v>23.5</v>
      </c>
      <c r="E1132" t="s">
        <v>46</v>
      </c>
    </row>
    <row r="1133" spans="1:5" x14ac:dyDescent="0.25">
      <c r="A1133" t="s">
        <v>33</v>
      </c>
      <c r="B1133" s="93">
        <v>43535</v>
      </c>
      <c r="C1133" t="s">
        <v>824</v>
      </c>
      <c r="D1133" s="5">
        <v>13.9</v>
      </c>
      <c r="E1133" t="s">
        <v>46</v>
      </c>
    </row>
    <row r="1134" spans="1:5" x14ac:dyDescent="0.25">
      <c r="A1134" t="s">
        <v>33</v>
      </c>
      <c r="B1134" s="93">
        <v>43535</v>
      </c>
      <c r="C1134" t="s">
        <v>825</v>
      </c>
      <c r="D1134" s="5">
        <v>8.23</v>
      </c>
      <c r="E1134" t="s">
        <v>46</v>
      </c>
    </row>
    <row r="1135" spans="1:5" x14ac:dyDescent="0.25">
      <c r="A1135" t="s">
        <v>33</v>
      </c>
      <c r="B1135" s="93">
        <v>43535</v>
      </c>
      <c r="C1135" t="s">
        <v>826</v>
      </c>
      <c r="D1135" s="5">
        <v>33.49</v>
      </c>
      <c r="E1135" t="s">
        <v>46</v>
      </c>
    </row>
    <row r="1136" spans="1:5" x14ac:dyDescent="0.25">
      <c r="A1136" t="s">
        <v>33</v>
      </c>
      <c r="B1136" s="93">
        <v>43535</v>
      </c>
      <c r="C1136" t="s">
        <v>827</v>
      </c>
      <c r="D1136" s="5">
        <v>30.01</v>
      </c>
      <c r="E1136" t="s">
        <v>46</v>
      </c>
    </row>
    <row r="1137" spans="1:5" x14ac:dyDescent="0.25">
      <c r="A1137" t="s">
        <v>33</v>
      </c>
      <c r="B1137" s="93">
        <v>43535</v>
      </c>
      <c r="C1137" t="s">
        <v>828</v>
      </c>
      <c r="D1137" s="5">
        <v>5.2</v>
      </c>
      <c r="E1137" t="s">
        <v>46</v>
      </c>
    </row>
    <row r="1138" spans="1:5" x14ac:dyDescent="0.25">
      <c r="A1138" t="s">
        <v>33</v>
      </c>
      <c r="B1138" s="93">
        <v>43535</v>
      </c>
      <c r="C1138" t="s">
        <v>829</v>
      </c>
      <c r="D1138" s="5">
        <v>17.84</v>
      </c>
      <c r="E1138" t="s">
        <v>46</v>
      </c>
    </row>
    <row r="1139" spans="1:5" x14ac:dyDescent="0.25">
      <c r="A1139" t="s">
        <v>33</v>
      </c>
      <c r="B1139" s="93">
        <v>43535</v>
      </c>
      <c r="C1139" t="s">
        <v>830</v>
      </c>
      <c r="D1139" s="5">
        <v>10</v>
      </c>
      <c r="E1139" t="s">
        <v>46</v>
      </c>
    </row>
    <row r="1140" spans="1:5" x14ac:dyDescent="0.25">
      <c r="A1140" t="s">
        <v>33</v>
      </c>
      <c r="B1140" s="93">
        <v>43535</v>
      </c>
      <c r="C1140" t="s">
        <v>831</v>
      </c>
      <c r="D1140" s="5">
        <v>8.3699999999999992</v>
      </c>
      <c r="E1140" t="s">
        <v>46</v>
      </c>
    </row>
    <row r="1141" spans="1:5" x14ac:dyDescent="0.25">
      <c r="A1141" t="s">
        <v>33</v>
      </c>
      <c r="B1141" s="93">
        <v>43535</v>
      </c>
      <c r="C1141" t="s">
        <v>832</v>
      </c>
      <c r="D1141" s="5">
        <v>14.57</v>
      </c>
      <c r="E1141" t="s">
        <v>46</v>
      </c>
    </row>
    <row r="1142" spans="1:5" x14ac:dyDescent="0.25">
      <c r="A1142" t="s">
        <v>33</v>
      </c>
      <c r="B1142" s="93">
        <v>43535</v>
      </c>
      <c r="C1142" t="s">
        <v>833</v>
      </c>
      <c r="D1142" s="5">
        <v>30.22</v>
      </c>
      <c r="E1142" t="s">
        <v>46</v>
      </c>
    </row>
    <row r="1143" spans="1:5" x14ac:dyDescent="0.25">
      <c r="A1143" t="s">
        <v>33</v>
      </c>
      <c r="B1143" s="93">
        <v>43535</v>
      </c>
      <c r="C1143" t="s">
        <v>834</v>
      </c>
      <c r="D1143" s="5">
        <v>60</v>
      </c>
      <c r="E1143" t="s">
        <v>58</v>
      </c>
    </row>
    <row r="1144" spans="1:5" x14ac:dyDescent="0.25">
      <c r="A1144" t="s">
        <v>33</v>
      </c>
      <c r="B1144" s="93">
        <v>43535</v>
      </c>
      <c r="C1144" t="s">
        <v>835</v>
      </c>
      <c r="D1144" s="5">
        <v>16.46</v>
      </c>
      <c r="E1144" t="s">
        <v>46</v>
      </c>
    </row>
    <row r="1145" spans="1:5" x14ac:dyDescent="0.25">
      <c r="A1145" t="s">
        <v>33</v>
      </c>
      <c r="B1145" s="93">
        <v>43535</v>
      </c>
      <c r="C1145" t="s">
        <v>836</v>
      </c>
      <c r="D1145" s="5">
        <v>15.7</v>
      </c>
      <c r="E1145" t="s">
        <v>46</v>
      </c>
    </row>
    <row r="1146" spans="1:5" x14ac:dyDescent="0.25">
      <c r="A1146" t="s">
        <v>33</v>
      </c>
      <c r="B1146" s="93">
        <v>43532</v>
      </c>
      <c r="C1146" t="s">
        <v>1923</v>
      </c>
      <c r="D1146" s="5">
        <v>2500</v>
      </c>
      <c r="E1146" t="s">
        <v>128</v>
      </c>
    </row>
    <row r="1147" spans="1:5" x14ac:dyDescent="0.25">
      <c r="A1147" t="s">
        <v>33</v>
      </c>
      <c r="B1147" s="93">
        <v>43532</v>
      </c>
      <c r="C1147" t="s">
        <v>1924</v>
      </c>
      <c r="D1147" s="5">
        <v>23</v>
      </c>
      <c r="E1147" t="s">
        <v>46</v>
      </c>
    </row>
    <row r="1148" spans="1:5" x14ac:dyDescent="0.25">
      <c r="A1148" t="s">
        <v>33</v>
      </c>
      <c r="B1148" s="93">
        <v>43532</v>
      </c>
      <c r="C1148" t="s">
        <v>1925</v>
      </c>
      <c r="D1148" s="5">
        <v>5.99</v>
      </c>
      <c r="E1148" t="s">
        <v>46</v>
      </c>
    </row>
    <row r="1149" spans="1:5" x14ac:dyDescent="0.25">
      <c r="A1149" t="s">
        <v>33</v>
      </c>
      <c r="B1149" s="93">
        <v>43532</v>
      </c>
      <c r="C1149" t="s">
        <v>1926</v>
      </c>
      <c r="D1149" s="5">
        <v>10.35</v>
      </c>
      <c r="E1149" t="s">
        <v>46</v>
      </c>
    </row>
    <row r="1150" spans="1:5" x14ac:dyDescent="0.25">
      <c r="A1150" t="s">
        <v>33</v>
      </c>
      <c r="B1150" s="93">
        <v>43532</v>
      </c>
      <c r="C1150" t="s">
        <v>1927</v>
      </c>
      <c r="D1150" s="5">
        <v>59.99</v>
      </c>
      <c r="E1150" t="s">
        <v>46</v>
      </c>
    </row>
    <row r="1151" spans="1:5" x14ac:dyDescent="0.25">
      <c r="A1151" t="s">
        <v>49</v>
      </c>
      <c r="B1151" s="93">
        <v>43532</v>
      </c>
      <c r="C1151" t="s">
        <v>50</v>
      </c>
      <c r="D1151" s="5">
        <v>-3485.05</v>
      </c>
      <c r="E1151" t="s">
        <v>51</v>
      </c>
    </row>
    <row r="1152" spans="1:5" x14ac:dyDescent="0.25">
      <c r="A1152" t="s">
        <v>33</v>
      </c>
      <c r="B1152" s="93">
        <v>43531</v>
      </c>
      <c r="C1152" t="s">
        <v>807</v>
      </c>
      <c r="D1152" s="5">
        <v>15.85</v>
      </c>
      <c r="E1152" t="s">
        <v>46</v>
      </c>
    </row>
    <row r="1153" spans="1:5" x14ac:dyDescent="0.25">
      <c r="A1153" t="s">
        <v>33</v>
      </c>
      <c r="B1153" s="93">
        <v>43531</v>
      </c>
      <c r="C1153" t="s">
        <v>808</v>
      </c>
      <c r="D1153" s="5">
        <v>6.42</v>
      </c>
      <c r="E1153" t="s">
        <v>46</v>
      </c>
    </row>
    <row r="1154" spans="1:5" x14ac:dyDescent="0.25">
      <c r="A1154" t="s">
        <v>33</v>
      </c>
      <c r="B1154" s="93">
        <v>43531</v>
      </c>
      <c r="C1154" t="s">
        <v>1928</v>
      </c>
      <c r="D1154" s="5">
        <v>21.39</v>
      </c>
      <c r="E1154" t="s">
        <v>46</v>
      </c>
    </row>
    <row r="1155" spans="1:5" x14ac:dyDescent="0.25">
      <c r="A1155" t="s">
        <v>33</v>
      </c>
      <c r="B1155" s="93">
        <v>43531</v>
      </c>
      <c r="C1155" t="s">
        <v>1929</v>
      </c>
      <c r="D1155" s="5">
        <v>16.46</v>
      </c>
      <c r="E1155" t="s">
        <v>46</v>
      </c>
    </row>
    <row r="1156" spans="1:5" x14ac:dyDescent="0.25">
      <c r="A1156" t="s">
        <v>33</v>
      </c>
      <c r="B1156" s="93">
        <v>43531</v>
      </c>
      <c r="C1156" t="s">
        <v>1930</v>
      </c>
      <c r="D1156" s="5">
        <v>5.09</v>
      </c>
      <c r="E1156" t="s">
        <v>46</v>
      </c>
    </row>
    <row r="1157" spans="1:5" x14ac:dyDescent="0.25">
      <c r="A1157" t="s">
        <v>33</v>
      </c>
      <c r="B1157" s="93">
        <v>43530</v>
      </c>
      <c r="C1157" t="s">
        <v>724</v>
      </c>
      <c r="D1157" s="5">
        <v>41.6</v>
      </c>
      <c r="E1157" t="s">
        <v>107</v>
      </c>
    </row>
    <row r="1158" spans="1:5" x14ac:dyDescent="0.25">
      <c r="A1158" t="s">
        <v>33</v>
      </c>
      <c r="B1158" s="93">
        <v>43530</v>
      </c>
      <c r="C1158" t="s">
        <v>804</v>
      </c>
      <c r="D1158" s="5">
        <v>33.15</v>
      </c>
      <c r="E1158" t="s">
        <v>46</v>
      </c>
    </row>
    <row r="1159" spans="1:5" x14ac:dyDescent="0.25">
      <c r="A1159" t="s">
        <v>33</v>
      </c>
      <c r="B1159" s="93">
        <v>43530</v>
      </c>
      <c r="C1159" t="s">
        <v>805</v>
      </c>
      <c r="D1159" s="5">
        <v>20.05</v>
      </c>
      <c r="E1159" t="s">
        <v>46</v>
      </c>
    </row>
    <row r="1160" spans="1:5" x14ac:dyDescent="0.25">
      <c r="A1160" t="s">
        <v>49</v>
      </c>
      <c r="B1160" s="93">
        <v>43530</v>
      </c>
      <c r="C1160" t="s">
        <v>1931</v>
      </c>
      <c r="D1160" s="5">
        <v>-200</v>
      </c>
      <c r="E1160" t="s">
        <v>128</v>
      </c>
    </row>
    <row r="1161" spans="1:5" x14ac:dyDescent="0.25">
      <c r="A1161" t="s">
        <v>33</v>
      </c>
      <c r="B1161" s="93">
        <v>43529</v>
      </c>
      <c r="C1161" t="s">
        <v>364</v>
      </c>
      <c r="D1161" s="5">
        <v>299</v>
      </c>
      <c r="E1161" t="s">
        <v>107</v>
      </c>
    </row>
    <row r="1162" spans="1:5" x14ac:dyDescent="0.25">
      <c r="A1162" t="s">
        <v>33</v>
      </c>
      <c r="B1162" s="93">
        <v>43529</v>
      </c>
      <c r="C1162" t="s">
        <v>1932</v>
      </c>
      <c r="D1162" s="5">
        <v>77.97</v>
      </c>
      <c r="E1162" t="s">
        <v>46</v>
      </c>
    </row>
    <row r="1163" spans="1:5" x14ac:dyDescent="0.25">
      <c r="A1163" t="s">
        <v>33</v>
      </c>
      <c r="B1163" s="93">
        <v>43529</v>
      </c>
      <c r="C1163" t="s">
        <v>1933</v>
      </c>
      <c r="D1163" s="5">
        <v>10.42</v>
      </c>
      <c r="E1163" t="s">
        <v>46</v>
      </c>
    </row>
    <row r="1164" spans="1:5" x14ac:dyDescent="0.25">
      <c r="A1164" t="s">
        <v>33</v>
      </c>
      <c r="B1164" s="93">
        <v>43528</v>
      </c>
      <c r="C1164" t="s">
        <v>1934</v>
      </c>
      <c r="D1164" s="5">
        <v>14.12</v>
      </c>
      <c r="E1164" t="s">
        <v>46</v>
      </c>
    </row>
    <row r="1165" spans="1:5" x14ac:dyDescent="0.25">
      <c r="A1165" t="s">
        <v>33</v>
      </c>
      <c r="B1165" s="93">
        <v>43528</v>
      </c>
      <c r="C1165" t="s">
        <v>1935</v>
      </c>
      <c r="D1165" s="5">
        <v>87.82</v>
      </c>
      <c r="E1165" t="s">
        <v>46</v>
      </c>
    </row>
    <row r="1166" spans="1:5" x14ac:dyDescent="0.25">
      <c r="A1166" t="s">
        <v>33</v>
      </c>
      <c r="B1166" s="93">
        <v>43528</v>
      </c>
      <c r="C1166" t="s">
        <v>377</v>
      </c>
      <c r="D1166" s="5">
        <v>832.24</v>
      </c>
      <c r="E1166" t="s">
        <v>107</v>
      </c>
    </row>
    <row r="1167" spans="1:5" x14ac:dyDescent="0.25">
      <c r="A1167" t="s">
        <v>33</v>
      </c>
      <c r="B1167" s="93">
        <v>43528</v>
      </c>
      <c r="C1167" t="s">
        <v>800</v>
      </c>
      <c r="D1167" s="5">
        <v>38.729999999999997</v>
      </c>
      <c r="E1167" t="s">
        <v>46</v>
      </c>
    </row>
    <row r="1168" spans="1:5" x14ac:dyDescent="0.25">
      <c r="A1168" t="s">
        <v>33</v>
      </c>
      <c r="B1168" s="93">
        <v>43528</v>
      </c>
      <c r="C1168" t="s">
        <v>801</v>
      </c>
      <c r="D1168" s="5">
        <v>8.85</v>
      </c>
      <c r="E1168" t="s">
        <v>46</v>
      </c>
    </row>
    <row r="1169" spans="1:5" x14ac:dyDescent="0.25">
      <c r="A1169" t="s">
        <v>33</v>
      </c>
      <c r="B1169" s="93">
        <v>43528</v>
      </c>
      <c r="C1169" t="s">
        <v>1936</v>
      </c>
      <c r="D1169" s="5">
        <v>4.2300000000000004</v>
      </c>
      <c r="E1169" t="s">
        <v>46</v>
      </c>
    </row>
    <row r="1170" spans="1:5" x14ac:dyDescent="0.25">
      <c r="A1170" t="s">
        <v>33</v>
      </c>
      <c r="B1170" s="93">
        <v>43528</v>
      </c>
      <c r="C1170" t="s">
        <v>1937</v>
      </c>
      <c r="D1170" s="5">
        <v>869.88</v>
      </c>
      <c r="E1170" t="s">
        <v>46</v>
      </c>
    </row>
    <row r="1171" spans="1:5" x14ac:dyDescent="0.25">
      <c r="A1171" t="s">
        <v>33</v>
      </c>
      <c r="B1171" s="93">
        <v>43528</v>
      </c>
      <c r="C1171" t="s">
        <v>1938</v>
      </c>
      <c r="D1171" s="5">
        <v>17.11</v>
      </c>
      <c r="E1171" t="s">
        <v>46</v>
      </c>
    </row>
    <row r="1172" spans="1:5" x14ac:dyDescent="0.25">
      <c r="A1172" t="s">
        <v>33</v>
      </c>
      <c r="B1172" s="93">
        <v>43528</v>
      </c>
      <c r="C1172" t="s">
        <v>1939</v>
      </c>
      <c r="D1172" s="5">
        <v>2.41</v>
      </c>
      <c r="E1172" t="s">
        <v>46</v>
      </c>
    </row>
    <row r="1173" spans="1:5" x14ac:dyDescent="0.25">
      <c r="A1173" t="s">
        <v>33</v>
      </c>
      <c r="B1173" s="93">
        <v>43528</v>
      </c>
      <c r="C1173" t="s">
        <v>1940</v>
      </c>
      <c r="D1173" s="5">
        <v>23.02</v>
      </c>
      <c r="E1173" t="s">
        <v>46</v>
      </c>
    </row>
    <row r="1174" spans="1:5" x14ac:dyDescent="0.25">
      <c r="A1174" t="s">
        <v>33</v>
      </c>
      <c r="B1174" s="93">
        <v>43528</v>
      </c>
      <c r="C1174" t="s">
        <v>1941</v>
      </c>
      <c r="D1174" s="5">
        <v>5.94</v>
      </c>
      <c r="E1174" t="s">
        <v>46</v>
      </c>
    </row>
    <row r="1175" spans="1:5" x14ac:dyDescent="0.25">
      <c r="A1175" t="s">
        <v>33</v>
      </c>
      <c r="B1175" s="93">
        <v>43528</v>
      </c>
      <c r="C1175" t="s">
        <v>1942</v>
      </c>
      <c r="D1175" s="5">
        <v>6.06</v>
      </c>
      <c r="E1175" t="s">
        <v>46</v>
      </c>
    </row>
    <row r="1176" spans="1:5" x14ac:dyDescent="0.25">
      <c r="A1176" t="s">
        <v>33</v>
      </c>
      <c r="B1176" s="93">
        <v>43528</v>
      </c>
      <c r="C1176" t="s">
        <v>1943</v>
      </c>
      <c r="D1176" s="5">
        <v>65</v>
      </c>
      <c r="E1176" t="s">
        <v>46</v>
      </c>
    </row>
    <row r="1177" spans="1:5" x14ac:dyDescent="0.25">
      <c r="A1177" t="s">
        <v>33</v>
      </c>
      <c r="B1177" s="93">
        <v>43528</v>
      </c>
      <c r="C1177" t="s">
        <v>1944</v>
      </c>
      <c r="D1177" s="5">
        <v>13.9</v>
      </c>
      <c r="E1177" t="s">
        <v>46</v>
      </c>
    </row>
    <row r="1178" spans="1:5" x14ac:dyDescent="0.25">
      <c r="A1178" t="s">
        <v>33</v>
      </c>
      <c r="B1178" s="93">
        <v>43528</v>
      </c>
      <c r="C1178" t="s">
        <v>1945</v>
      </c>
      <c r="D1178" s="5">
        <v>19.52</v>
      </c>
      <c r="E1178" t="s">
        <v>46</v>
      </c>
    </row>
    <row r="1179" spans="1:5" x14ac:dyDescent="0.25">
      <c r="A1179" t="s">
        <v>33</v>
      </c>
      <c r="B1179" s="93">
        <v>43528</v>
      </c>
      <c r="C1179" t="s">
        <v>1946</v>
      </c>
      <c r="D1179" s="5">
        <v>29.17</v>
      </c>
      <c r="E1179" t="s">
        <v>46</v>
      </c>
    </row>
    <row r="1180" spans="1:5" x14ac:dyDescent="0.25">
      <c r="A1180" t="s">
        <v>33</v>
      </c>
      <c r="B1180" s="93">
        <v>43528</v>
      </c>
      <c r="C1180" t="s">
        <v>1947</v>
      </c>
      <c r="D1180" s="5">
        <v>5.09</v>
      </c>
      <c r="E1180" t="s">
        <v>46</v>
      </c>
    </row>
    <row r="1181" spans="1:5" x14ac:dyDescent="0.25">
      <c r="A1181" t="s">
        <v>33</v>
      </c>
      <c r="B1181" s="93">
        <v>43528</v>
      </c>
      <c r="C1181" t="s">
        <v>1948</v>
      </c>
      <c r="D1181" s="5">
        <v>5.3</v>
      </c>
      <c r="E1181" t="s">
        <v>46</v>
      </c>
    </row>
    <row r="1182" spans="1:5" x14ac:dyDescent="0.25">
      <c r="A1182" t="s">
        <v>33</v>
      </c>
      <c r="B1182" s="93">
        <v>43525</v>
      </c>
      <c r="C1182" t="s">
        <v>780</v>
      </c>
      <c r="D1182" s="5">
        <v>21.39</v>
      </c>
      <c r="E1182" t="s">
        <v>46</v>
      </c>
    </row>
    <row r="1183" spans="1:5" x14ac:dyDescent="0.25">
      <c r="A1183" t="s">
        <v>33</v>
      </c>
      <c r="B1183" s="93">
        <v>43525</v>
      </c>
      <c r="C1183" t="s">
        <v>106</v>
      </c>
      <c r="D1183" s="5">
        <v>437.54</v>
      </c>
      <c r="E1183" t="s">
        <v>107</v>
      </c>
    </row>
    <row r="1184" spans="1:5" x14ac:dyDescent="0.25">
      <c r="A1184" t="s">
        <v>33</v>
      </c>
      <c r="B1184" s="93">
        <v>43525</v>
      </c>
      <c r="C1184" t="s">
        <v>781</v>
      </c>
      <c r="D1184" s="5">
        <v>50</v>
      </c>
      <c r="E1184" t="s">
        <v>46</v>
      </c>
    </row>
    <row r="1185" spans="1:5" x14ac:dyDescent="0.25">
      <c r="A1185" t="s">
        <v>33</v>
      </c>
      <c r="B1185" s="93">
        <v>43525</v>
      </c>
      <c r="C1185" t="s">
        <v>782</v>
      </c>
      <c r="D1185" s="5">
        <v>2.25</v>
      </c>
      <c r="E1185" t="s">
        <v>46</v>
      </c>
    </row>
    <row r="1186" spans="1:5" x14ac:dyDescent="0.25">
      <c r="A1186" t="s">
        <v>33</v>
      </c>
      <c r="B1186" s="93">
        <v>43525</v>
      </c>
      <c r="C1186" t="s">
        <v>783</v>
      </c>
      <c r="D1186" s="5">
        <v>5.73</v>
      </c>
      <c r="E1186" t="s">
        <v>46</v>
      </c>
    </row>
    <row r="1187" spans="1:5" x14ac:dyDescent="0.25">
      <c r="A1187" t="s">
        <v>33</v>
      </c>
      <c r="B1187" s="93">
        <v>43525</v>
      </c>
      <c r="C1187" t="s">
        <v>784</v>
      </c>
      <c r="D1187" s="5">
        <v>40.520000000000003</v>
      </c>
      <c r="E1187" t="s">
        <v>46</v>
      </c>
    </row>
    <row r="1188" spans="1:5" x14ac:dyDescent="0.25">
      <c r="A1188" t="s">
        <v>49</v>
      </c>
      <c r="B1188" s="93">
        <v>43524</v>
      </c>
      <c r="C1188" t="s">
        <v>104</v>
      </c>
      <c r="D1188" s="5">
        <v>-0.02</v>
      </c>
      <c r="E1188" t="s">
        <v>105</v>
      </c>
    </row>
    <row r="1189" spans="1:5" x14ac:dyDescent="0.25">
      <c r="A1189" t="s">
        <v>33</v>
      </c>
      <c r="B1189" s="93">
        <v>43524</v>
      </c>
      <c r="C1189" t="s">
        <v>785</v>
      </c>
      <c r="D1189" s="5">
        <v>30.01</v>
      </c>
      <c r="E1189" t="s">
        <v>46</v>
      </c>
    </row>
    <row r="1190" spans="1:5" x14ac:dyDescent="0.25">
      <c r="A1190" t="s">
        <v>33</v>
      </c>
      <c r="B1190" s="93">
        <v>43524</v>
      </c>
      <c r="C1190" t="s">
        <v>786</v>
      </c>
      <c r="D1190" s="5">
        <v>10.88</v>
      </c>
      <c r="E1190" t="s">
        <v>46</v>
      </c>
    </row>
    <row r="1191" spans="1:5" x14ac:dyDescent="0.25">
      <c r="A1191" t="s">
        <v>33</v>
      </c>
      <c r="B1191" s="93">
        <v>43524</v>
      </c>
      <c r="C1191" t="s">
        <v>787</v>
      </c>
      <c r="D1191" s="5">
        <v>8.56</v>
      </c>
      <c r="E1191" t="s">
        <v>46</v>
      </c>
    </row>
    <row r="1192" spans="1:5" x14ac:dyDescent="0.25">
      <c r="A1192" t="s">
        <v>33</v>
      </c>
      <c r="B1192" s="93">
        <v>43524</v>
      </c>
      <c r="C1192" t="s">
        <v>788</v>
      </c>
      <c r="D1192" s="5">
        <v>29.95</v>
      </c>
      <c r="E1192" t="s">
        <v>46</v>
      </c>
    </row>
    <row r="1193" spans="1:5" x14ac:dyDescent="0.25">
      <c r="A1193" t="s">
        <v>33</v>
      </c>
      <c r="B1193" s="93">
        <v>43524</v>
      </c>
      <c r="C1193" t="s">
        <v>789</v>
      </c>
      <c r="D1193" s="5">
        <v>5.55</v>
      </c>
      <c r="E1193" t="s">
        <v>46</v>
      </c>
    </row>
    <row r="1194" spans="1:5" x14ac:dyDescent="0.25">
      <c r="A1194" t="s">
        <v>33</v>
      </c>
      <c r="B1194" s="93">
        <v>43524</v>
      </c>
      <c r="C1194" t="s">
        <v>789</v>
      </c>
      <c r="D1194" s="5">
        <v>8.01</v>
      </c>
      <c r="E1194" t="s">
        <v>46</v>
      </c>
    </row>
    <row r="1195" spans="1:5" x14ac:dyDescent="0.25">
      <c r="A1195" t="s">
        <v>33</v>
      </c>
      <c r="B1195" s="93">
        <v>43524</v>
      </c>
      <c r="C1195" t="s">
        <v>790</v>
      </c>
      <c r="D1195" s="5">
        <v>31.17</v>
      </c>
      <c r="E1195" t="s">
        <v>46</v>
      </c>
    </row>
    <row r="1196" spans="1:5" x14ac:dyDescent="0.25">
      <c r="A1196" t="s">
        <v>33</v>
      </c>
      <c r="B1196" s="93">
        <v>43524</v>
      </c>
      <c r="C1196" t="s">
        <v>791</v>
      </c>
      <c r="D1196" s="5">
        <v>5.73</v>
      </c>
      <c r="E1196" t="s">
        <v>46</v>
      </c>
    </row>
    <row r="1197" spans="1:5" x14ac:dyDescent="0.25">
      <c r="A1197" t="s">
        <v>33</v>
      </c>
      <c r="B1197" s="93">
        <v>43524</v>
      </c>
      <c r="C1197" t="s">
        <v>792</v>
      </c>
      <c r="D1197" s="5">
        <v>31.82</v>
      </c>
      <c r="E1197" t="s">
        <v>46</v>
      </c>
    </row>
    <row r="1198" spans="1:5" x14ac:dyDescent="0.25">
      <c r="A1198" t="s">
        <v>33</v>
      </c>
      <c r="B1198" s="93">
        <v>43523</v>
      </c>
      <c r="C1198" t="s">
        <v>793</v>
      </c>
      <c r="D1198" s="5">
        <v>22.26</v>
      </c>
      <c r="E1198" t="s">
        <v>46</v>
      </c>
    </row>
    <row r="1199" spans="1:5" x14ac:dyDescent="0.25">
      <c r="A1199" t="s">
        <v>33</v>
      </c>
      <c r="B1199" s="93">
        <v>43522</v>
      </c>
      <c r="C1199" t="s">
        <v>794</v>
      </c>
      <c r="D1199" s="5">
        <v>42.79</v>
      </c>
      <c r="E1199" t="s">
        <v>46</v>
      </c>
    </row>
    <row r="1200" spans="1:5" x14ac:dyDescent="0.25">
      <c r="A1200" t="s">
        <v>33</v>
      </c>
      <c r="B1200" s="93">
        <v>43522</v>
      </c>
      <c r="C1200" t="s">
        <v>795</v>
      </c>
      <c r="D1200" s="5">
        <v>15.78</v>
      </c>
      <c r="E1200" t="s">
        <v>46</v>
      </c>
    </row>
    <row r="1201" spans="1:5" x14ac:dyDescent="0.25">
      <c r="A1201" t="s">
        <v>33</v>
      </c>
      <c r="B1201" s="93">
        <v>43522</v>
      </c>
      <c r="C1201" t="s">
        <v>796</v>
      </c>
      <c r="D1201" s="5">
        <v>9.9499999999999993</v>
      </c>
      <c r="E1201" t="s">
        <v>46</v>
      </c>
    </row>
    <row r="1202" spans="1:5" x14ac:dyDescent="0.25">
      <c r="A1202" t="s">
        <v>33</v>
      </c>
      <c r="B1202" s="93">
        <v>43522</v>
      </c>
      <c r="C1202" t="s">
        <v>797</v>
      </c>
      <c r="D1202" s="5">
        <v>22.66</v>
      </c>
      <c r="E1202" t="s">
        <v>46</v>
      </c>
    </row>
    <row r="1203" spans="1:5" x14ac:dyDescent="0.25">
      <c r="A1203" t="s">
        <v>33</v>
      </c>
      <c r="B1203" s="93">
        <v>43521</v>
      </c>
      <c r="C1203" t="s">
        <v>798</v>
      </c>
      <c r="D1203" s="5">
        <v>0.99</v>
      </c>
      <c r="E1203" t="s">
        <v>46</v>
      </c>
    </row>
    <row r="1204" spans="1:5" x14ac:dyDescent="0.25">
      <c r="A1204" t="s">
        <v>33</v>
      </c>
      <c r="B1204" s="93">
        <v>43521</v>
      </c>
      <c r="C1204" t="s">
        <v>798</v>
      </c>
      <c r="D1204" s="5">
        <v>2.99</v>
      </c>
      <c r="E1204" t="s">
        <v>46</v>
      </c>
    </row>
    <row r="1205" spans="1:5" x14ac:dyDescent="0.25">
      <c r="A1205" t="s">
        <v>33</v>
      </c>
      <c r="B1205" s="93">
        <v>43521</v>
      </c>
      <c r="C1205" t="s">
        <v>1949</v>
      </c>
      <c r="D1205" s="5">
        <v>39.06</v>
      </c>
      <c r="E1205" t="s">
        <v>46</v>
      </c>
    </row>
    <row r="1206" spans="1:5" x14ac:dyDescent="0.25">
      <c r="A1206" t="s">
        <v>33</v>
      </c>
      <c r="B1206" s="93">
        <v>43521</v>
      </c>
      <c r="C1206" t="s">
        <v>799</v>
      </c>
      <c r="D1206" s="5">
        <v>6.25</v>
      </c>
      <c r="E1206" t="s">
        <v>46</v>
      </c>
    </row>
    <row r="1207" spans="1:5" x14ac:dyDescent="0.25">
      <c r="A1207" t="s">
        <v>33</v>
      </c>
      <c r="B1207" s="93">
        <v>43521</v>
      </c>
      <c r="C1207" t="s">
        <v>1950</v>
      </c>
      <c r="D1207" s="5">
        <v>80</v>
      </c>
      <c r="E1207" t="s">
        <v>46</v>
      </c>
    </row>
    <row r="1208" spans="1:5" x14ac:dyDescent="0.25">
      <c r="A1208" t="s">
        <v>33</v>
      </c>
      <c r="B1208" s="93">
        <v>43521</v>
      </c>
      <c r="C1208" t="s">
        <v>1951</v>
      </c>
      <c r="D1208" s="5">
        <v>9.2899999999999991</v>
      </c>
      <c r="E1208" t="s">
        <v>46</v>
      </c>
    </row>
    <row r="1209" spans="1:5" x14ac:dyDescent="0.25">
      <c r="A1209" t="s">
        <v>33</v>
      </c>
      <c r="B1209" s="93">
        <v>43521</v>
      </c>
      <c r="C1209" t="s">
        <v>1952</v>
      </c>
      <c r="D1209" s="5">
        <v>8.23</v>
      </c>
      <c r="E1209" t="s">
        <v>46</v>
      </c>
    </row>
    <row r="1210" spans="1:5" x14ac:dyDescent="0.25">
      <c r="A1210" t="s">
        <v>33</v>
      </c>
      <c r="B1210" s="93">
        <v>43521</v>
      </c>
      <c r="C1210" t="s">
        <v>1953</v>
      </c>
      <c r="D1210" s="5">
        <v>32.33</v>
      </c>
      <c r="E1210" t="s">
        <v>46</v>
      </c>
    </row>
    <row r="1211" spans="1:5" x14ac:dyDescent="0.25">
      <c r="A1211" t="s">
        <v>33</v>
      </c>
      <c r="B1211" s="93">
        <v>43521</v>
      </c>
      <c r="C1211" t="s">
        <v>1954</v>
      </c>
      <c r="D1211" s="5">
        <v>160.37</v>
      </c>
      <c r="E1211" t="s">
        <v>46</v>
      </c>
    </row>
    <row r="1212" spans="1:5" x14ac:dyDescent="0.25">
      <c r="A1212" t="s">
        <v>33</v>
      </c>
      <c r="B1212" s="93">
        <v>43521</v>
      </c>
      <c r="C1212" t="s">
        <v>1955</v>
      </c>
      <c r="D1212" s="5">
        <v>7.22</v>
      </c>
      <c r="E1212" t="s">
        <v>46</v>
      </c>
    </row>
    <row r="1213" spans="1:5" x14ac:dyDescent="0.25">
      <c r="A1213" t="s">
        <v>33</v>
      </c>
      <c r="B1213" s="93">
        <v>43521</v>
      </c>
      <c r="C1213" t="s">
        <v>1956</v>
      </c>
      <c r="D1213" s="5">
        <v>90</v>
      </c>
      <c r="E1213" t="s">
        <v>46</v>
      </c>
    </row>
    <row r="1214" spans="1:5" x14ac:dyDescent="0.25">
      <c r="A1214" t="s">
        <v>33</v>
      </c>
      <c r="B1214" s="93">
        <v>43521</v>
      </c>
      <c r="C1214" t="s">
        <v>1957</v>
      </c>
      <c r="D1214" s="5">
        <v>20.05</v>
      </c>
      <c r="E1214" t="s">
        <v>46</v>
      </c>
    </row>
    <row r="1215" spans="1:5" x14ac:dyDescent="0.25">
      <c r="A1215" t="s">
        <v>33</v>
      </c>
      <c r="B1215" s="93">
        <v>43521</v>
      </c>
      <c r="C1215" t="s">
        <v>1958</v>
      </c>
      <c r="D1215" s="5">
        <v>2.2999999999999998</v>
      </c>
      <c r="E1215" t="s">
        <v>46</v>
      </c>
    </row>
    <row r="1216" spans="1:5" x14ac:dyDescent="0.25">
      <c r="A1216" t="s">
        <v>33</v>
      </c>
      <c r="B1216" s="93">
        <v>43521</v>
      </c>
      <c r="C1216" t="s">
        <v>1959</v>
      </c>
      <c r="D1216" s="5">
        <v>11.26</v>
      </c>
      <c r="E1216" t="s">
        <v>46</v>
      </c>
    </row>
    <row r="1217" spans="1:5" x14ac:dyDescent="0.25">
      <c r="A1217" t="s">
        <v>33</v>
      </c>
      <c r="B1217" s="93">
        <v>43521</v>
      </c>
      <c r="C1217" t="s">
        <v>1960</v>
      </c>
      <c r="D1217" s="5">
        <v>3.51</v>
      </c>
      <c r="E1217" t="s">
        <v>46</v>
      </c>
    </row>
    <row r="1218" spans="1:5" x14ac:dyDescent="0.25">
      <c r="A1218" t="s">
        <v>33</v>
      </c>
      <c r="B1218" s="93">
        <v>43521</v>
      </c>
      <c r="C1218" t="s">
        <v>1960</v>
      </c>
      <c r="D1218" s="5">
        <v>15.33</v>
      </c>
      <c r="E1218" t="s">
        <v>46</v>
      </c>
    </row>
    <row r="1219" spans="1:5" x14ac:dyDescent="0.25">
      <c r="A1219" t="s">
        <v>33</v>
      </c>
      <c r="B1219" s="93">
        <v>43521</v>
      </c>
      <c r="C1219" t="s">
        <v>1961</v>
      </c>
      <c r="D1219" s="5">
        <v>81.64</v>
      </c>
      <c r="E1219" t="s">
        <v>46</v>
      </c>
    </row>
    <row r="1220" spans="1:5" x14ac:dyDescent="0.25">
      <c r="A1220" t="s">
        <v>33</v>
      </c>
      <c r="B1220" s="93">
        <v>43521</v>
      </c>
      <c r="C1220" t="s">
        <v>1962</v>
      </c>
      <c r="D1220" s="5">
        <v>24</v>
      </c>
      <c r="E1220" t="s">
        <v>46</v>
      </c>
    </row>
    <row r="1221" spans="1:5" x14ac:dyDescent="0.25">
      <c r="A1221" t="s">
        <v>33</v>
      </c>
      <c r="B1221" s="93">
        <v>43521</v>
      </c>
      <c r="C1221" t="s">
        <v>1963</v>
      </c>
      <c r="D1221" s="5">
        <v>17.11</v>
      </c>
      <c r="E1221" t="s">
        <v>46</v>
      </c>
    </row>
    <row r="1222" spans="1:5" x14ac:dyDescent="0.25">
      <c r="A1222" t="s">
        <v>33</v>
      </c>
      <c r="B1222" s="93">
        <v>43521</v>
      </c>
      <c r="C1222" t="s">
        <v>1964</v>
      </c>
      <c r="D1222" s="5">
        <v>4.2300000000000004</v>
      </c>
      <c r="E1222" t="s">
        <v>46</v>
      </c>
    </row>
    <row r="1223" spans="1:5" x14ac:dyDescent="0.25">
      <c r="A1223" t="s">
        <v>33</v>
      </c>
      <c r="B1223" s="93">
        <v>43521</v>
      </c>
      <c r="C1223" t="s">
        <v>1965</v>
      </c>
      <c r="D1223" s="5">
        <v>5.73</v>
      </c>
      <c r="E1223" t="s">
        <v>46</v>
      </c>
    </row>
    <row r="1224" spans="1:5" x14ac:dyDescent="0.25">
      <c r="A1224" t="s">
        <v>33</v>
      </c>
      <c r="B1224" s="93">
        <v>43521</v>
      </c>
      <c r="C1224" t="s">
        <v>1966</v>
      </c>
      <c r="D1224" s="5">
        <v>-18.75</v>
      </c>
      <c r="E1224" t="s">
        <v>46</v>
      </c>
    </row>
    <row r="1225" spans="1:5" x14ac:dyDescent="0.25">
      <c r="A1225" t="s">
        <v>33</v>
      </c>
      <c r="B1225" s="93">
        <v>43521</v>
      </c>
      <c r="C1225" t="s">
        <v>1967</v>
      </c>
      <c r="D1225" s="5">
        <v>-31.82</v>
      </c>
      <c r="E1225" t="s">
        <v>46</v>
      </c>
    </row>
    <row r="1226" spans="1:5" x14ac:dyDescent="0.25">
      <c r="A1226" t="s">
        <v>33</v>
      </c>
      <c r="B1226" s="93">
        <v>43518</v>
      </c>
      <c r="C1226" t="s">
        <v>662</v>
      </c>
      <c r="D1226" s="5">
        <v>150</v>
      </c>
      <c r="E1226" t="s">
        <v>107</v>
      </c>
    </row>
    <row r="1227" spans="1:5" x14ac:dyDescent="0.25">
      <c r="A1227" t="s">
        <v>33</v>
      </c>
      <c r="B1227" s="93">
        <v>43518</v>
      </c>
      <c r="C1227" t="s">
        <v>774</v>
      </c>
      <c r="D1227" s="5">
        <v>39.549999999999997</v>
      </c>
      <c r="E1227" t="s">
        <v>46</v>
      </c>
    </row>
    <row r="1228" spans="1:5" x14ac:dyDescent="0.25">
      <c r="A1228" t="s">
        <v>33</v>
      </c>
      <c r="B1228" s="93">
        <v>43518</v>
      </c>
      <c r="C1228" t="s">
        <v>1968</v>
      </c>
      <c r="D1228" s="5">
        <v>500</v>
      </c>
      <c r="E1228" t="s">
        <v>128</v>
      </c>
    </row>
    <row r="1229" spans="1:5" x14ac:dyDescent="0.25">
      <c r="A1229" t="s">
        <v>49</v>
      </c>
      <c r="B1229" s="93">
        <v>43518</v>
      </c>
      <c r="C1229" t="s">
        <v>50</v>
      </c>
      <c r="D1229" s="5">
        <v>-3485.05</v>
      </c>
      <c r="E1229" t="s">
        <v>51</v>
      </c>
    </row>
    <row r="1230" spans="1:5" x14ac:dyDescent="0.25">
      <c r="A1230" t="s">
        <v>33</v>
      </c>
      <c r="B1230" s="93">
        <v>43517</v>
      </c>
      <c r="C1230" t="s">
        <v>755</v>
      </c>
      <c r="D1230" s="5">
        <v>8.56</v>
      </c>
      <c r="E1230" t="s">
        <v>46</v>
      </c>
    </row>
    <row r="1231" spans="1:5" x14ac:dyDescent="0.25">
      <c r="A1231" t="s">
        <v>33</v>
      </c>
      <c r="B1231" s="93">
        <v>43517</v>
      </c>
      <c r="C1231" t="s">
        <v>756</v>
      </c>
      <c r="D1231" s="5">
        <v>33</v>
      </c>
      <c r="E1231" t="s">
        <v>46</v>
      </c>
    </row>
    <row r="1232" spans="1:5" x14ac:dyDescent="0.25">
      <c r="A1232" t="s">
        <v>33</v>
      </c>
      <c r="B1232" s="93">
        <v>43517</v>
      </c>
      <c r="C1232" t="s">
        <v>757</v>
      </c>
      <c r="D1232" s="5">
        <v>6.61</v>
      </c>
      <c r="E1232" t="s">
        <v>46</v>
      </c>
    </row>
    <row r="1233" spans="1:5" x14ac:dyDescent="0.25">
      <c r="A1233" t="s">
        <v>33</v>
      </c>
      <c r="B1233" s="93">
        <v>43517</v>
      </c>
      <c r="C1233" t="s">
        <v>758</v>
      </c>
      <c r="D1233" s="5">
        <v>10.95</v>
      </c>
      <c r="E1233" t="s">
        <v>46</v>
      </c>
    </row>
    <row r="1234" spans="1:5" x14ac:dyDescent="0.25">
      <c r="A1234" t="s">
        <v>33</v>
      </c>
      <c r="B1234" s="93">
        <v>43517</v>
      </c>
      <c r="C1234" t="s">
        <v>758</v>
      </c>
      <c r="D1234" s="5">
        <v>16.03</v>
      </c>
      <c r="E1234" t="s">
        <v>46</v>
      </c>
    </row>
    <row r="1235" spans="1:5" x14ac:dyDescent="0.25">
      <c r="A1235" t="s">
        <v>33</v>
      </c>
      <c r="B1235" s="93">
        <v>43517</v>
      </c>
      <c r="C1235" t="s">
        <v>759</v>
      </c>
      <c r="D1235" s="5">
        <v>5.09</v>
      </c>
      <c r="E1235" t="s">
        <v>46</v>
      </c>
    </row>
    <row r="1236" spans="1:5" x14ac:dyDescent="0.25">
      <c r="A1236" t="s">
        <v>33</v>
      </c>
      <c r="B1236" s="93">
        <v>43516</v>
      </c>
      <c r="C1236" t="s">
        <v>760</v>
      </c>
      <c r="D1236" s="5">
        <v>23</v>
      </c>
      <c r="E1236" t="s">
        <v>46</v>
      </c>
    </row>
    <row r="1237" spans="1:5" x14ac:dyDescent="0.25">
      <c r="A1237" t="s">
        <v>33</v>
      </c>
      <c r="B1237" s="93">
        <v>43516</v>
      </c>
      <c r="C1237" t="s">
        <v>761</v>
      </c>
      <c r="D1237" s="5">
        <v>15.51</v>
      </c>
      <c r="E1237" t="s">
        <v>46</v>
      </c>
    </row>
    <row r="1238" spans="1:5" x14ac:dyDescent="0.25">
      <c r="A1238" t="s">
        <v>33</v>
      </c>
      <c r="B1238" s="93">
        <v>43516</v>
      </c>
      <c r="C1238" t="s">
        <v>762</v>
      </c>
      <c r="D1238" s="5">
        <v>5.09</v>
      </c>
      <c r="E1238" t="s">
        <v>46</v>
      </c>
    </row>
    <row r="1239" spans="1:5" x14ac:dyDescent="0.25">
      <c r="A1239" t="s">
        <v>33</v>
      </c>
      <c r="B1239" s="93">
        <v>43515</v>
      </c>
      <c r="C1239" t="s">
        <v>763</v>
      </c>
      <c r="D1239" s="5">
        <v>151</v>
      </c>
      <c r="E1239" t="s">
        <v>128</v>
      </c>
    </row>
    <row r="1240" spans="1:5" x14ac:dyDescent="0.25">
      <c r="A1240" t="s">
        <v>33</v>
      </c>
      <c r="B1240" s="93">
        <v>43515</v>
      </c>
      <c r="C1240" t="s">
        <v>1969</v>
      </c>
      <c r="D1240" s="5">
        <v>25.66</v>
      </c>
      <c r="E1240" t="s">
        <v>46</v>
      </c>
    </row>
    <row r="1241" spans="1:5" x14ac:dyDescent="0.25">
      <c r="A1241" t="s">
        <v>33</v>
      </c>
      <c r="B1241" s="93">
        <v>43515</v>
      </c>
      <c r="C1241" t="s">
        <v>1970</v>
      </c>
      <c r="D1241" s="5">
        <v>19.649999999999999</v>
      </c>
      <c r="E1241" t="s">
        <v>46</v>
      </c>
    </row>
    <row r="1242" spans="1:5" x14ac:dyDescent="0.25">
      <c r="A1242" t="s">
        <v>33</v>
      </c>
      <c r="B1242" s="93">
        <v>43515</v>
      </c>
      <c r="C1242" t="s">
        <v>1971</v>
      </c>
      <c r="D1242" s="5">
        <v>5.09</v>
      </c>
      <c r="E1242" t="s">
        <v>46</v>
      </c>
    </row>
    <row r="1243" spans="1:5" x14ac:dyDescent="0.25">
      <c r="A1243" t="s">
        <v>33</v>
      </c>
      <c r="B1243" s="93">
        <v>43515</v>
      </c>
      <c r="C1243" t="s">
        <v>1972</v>
      </c>
      <c r="D1243" s="5">
        <v>31.84</v>
      </c>
      <c r="E1243" t="s">
        <v>46</v>
      </c>
    </row>
    <row r="1244" spans="1:5" x14ac:dyDescent="0.25">
      <c r="A1244" t="s">
        <v>33</v>
      </c>
      <c r="B1244" s="93">
        <v>43515</v>
      </c>
      <c r="C1244" t="s">
        <v>1973</v>
      </c>
      <c r="D1244" s="5">
        <v>2.99</v>
      </c>
      <c r="E1244" t="s">
        <v>46</v>
      </c>
    </row>
    <row r="1245" spans="1:5" x14ac:dyDescent="0.25">
      <c r="A1245" t="s">
        <v>33</v>
      </c>
      <c r="B1245" s="93">
        <v>43515</v>
      </c>
      <c r="C1245" t="s">
        <v>1974</v>
      </c>
      <c r="D1245" s="5">
        <v>2.58</v>
      </c>
      <c r="E1245" t="s">
        <v>46</v>
      </c>
    </row>
    <row r="1246" spans="1:5" x14ac:dyDescent="0.25">
      <c r="A1246" t="s">
        <v>33</v>
      </c>
      <c r="B1246" s="93">
        <v>43515</v>
      </c>
      <c r="C1246" t="s">
        <v>1975</v>
      </c>
      <c r="D1246" s="5">
        <v>45.27</v>
      </c>
      <c r="E1246" t="s">
        <v>46</v>
      </c>
    </row>
    <row r="1247" spans="1:5" x14ac:dyDescent="0.25">
      <c r="A1247" t="s">
        <v>33</v>
      </c>
      <c r="B1247" s="93">
        <v>43515</v>
      </c>
      <c r="C1247" t="s">
        <v>1976</v>
      </c>
      <c r="D1247" s="5">
        <v>5.94</v>
      </c>
      <c r="E1247" t="s">
        <v>46</v>
      </c>
    </row>
    <row r="1248" spans="1:5" x14ac:dyDescent="0.25">
      <c r="A1248" t="s">
        <v>33</v>
      </c>
      <c r="B1248" s="93">
        <v>43515</v>
      </c>
      <c r="C1248" t="s">
        <v>1977</v>
      </c>
      <c r="D1248" s="5">
        <v>25.02</v>
      </c>
      <c r="E1248" t="s">
        <v>46</v>
      </c>
    </row>
    <row r="1249" spans="1:5" x14ac:dyDescent="0.25">
      <c r="A1249" t="s">
        <v>33</v>
      </c>
      <c r="B1249" s="93">
        <v>43515</v>
      </c>
      <c r="C1249" t="s">
        <v>1978</v>
      </c>
      <c r="D1249" s="5">
        <v>22.81</v>
      </c>
      <c r="E1249" t="s">
        <v>46</v>
      </c>
    </row>
    <row r="1250" spans="1:5" x14ac:dyDescent="0.25">
      <c r="A1250" t="s">
        <v>33</v>
      </c>
      <c r="B1250" s="93">
        <v>43515</v>
      </c>
      <c r="C1250" t="s">
        <v>1979</v>
      </c>
      <c r="D1250" s="5">
        <v>52.8</v>
      </c>
      <c r="E1250" t="s">
        <v>46</v>
      </c>
    </row>
    <row r="1251" spans="1:5" x14ac:dyDescent="0.25">
      <c r="A1251" t="s">
        <v>33</v>
      </c>
      <c r="B1251" s="93">
        <v>43515</v>
      </c>
      <c r="C1251" t="s">
        <v>1980</v>
      </c>
      <c r="D1251" s="5">
        <v>48.66</v>
      </c>
      <c r="E1251" t="s">
        <v>46</v>
      </c>
    </row>
    <row r="1252" spans="1:5" x14ac:dyDescent="0.25">
      <c r="A1252" t="s">
        <v>33</v>
      </c>
      <c r="B1252" s="93">
        <v>43515</v>
      </c>
      <c r="C1252" t="s">
        <v>1981</v>
      </c>
      <c r="D1252" s="5">
        <v>42.8</v>
      </c>
      <c r="E1252" t="s">
        <v>46</v>
      </c>
    </row>
    <row r="1253" spans="1:5" x14ac:dyDescent="0.25">
      <c r="A1253" t="s">
        <v>33</v>
      </c>
      <c r="B1253" s="93">
        <v>43515</v>
      </c>
      <c r="C1253" t="s">
        <v>1982</v>
      </c>
      <c r="D1253" s="5">
        <v>4.2300000000000004</v>
      </c>
      <c r="E1253" t="s">
        <v>46</v>
      </c>
    </row>
    <row r="1254" spans="1:5" x14ac:dyDescent="0.25">
      <c r="A1254" t="s">
        <v>33</v>
      </c>
      <c r="B1254" s="93">
        <v>43515</v>
      </c>
      <c r="C1254" t="s">
        <v>1983</v>
      </c>
      <c r="D1254" s="5">
        <v>12.84</v>
      </c>
      <c r="E1254" t="s">
        <v>46</v>
      </c>
    </row>
    <row r="1255" spans="1:5" x14ac:dyDescent="0.25">
      <c r="A1255" t="s">
        <v>33</v>
      </c>
      <c r="B1255" s="93">
        <v>43515</v>
      </c>
      <c r="C1255" t="s">
        <v>1984</v>
      </c>
      <c r="D1255" s="5">
        <v>29.08</v>
      </c>
      <c r="E1255" t="s">
        <v>46</v>
      </c>
    </row>
    <row r="1256" spans="1:5" x14ac:dyDescent="0.25">
      <c r="A1256" t="s">
        <v>33</v>
      </c>
      <c r="B1256" s="93">
        <v>43511</v>
      </c>
      <c r="C1256" t="s">
        <v>748</v>
      </c>
      <c r="D1256" s="5">
        <v>16.38</v>
      </c>
      <c r="E1256" t="s">
        <v>46</v>
      </c>
    </row>
    <row r="1257" spans="1:5" x14ac:dyDescent="0.25">
      <c r="A1257" t="s">
        <v>33</v>
      </c>
      <c r="B1257" s="93">
        <v>43510</v>
      </c>
      <c r="C1257" t="s">
        <v>749</v>
      </c>
      <c r="D1257" s="5">
        <v>5.55</v>
      </c>
      <c r="E1257" t="s">
        <v>46</v>
      </c>
    </row>
    <row r="1258" spans="1:5" x14ac:dyDescent="0.25">
      <c r="A1258" t="s">
        <v>33</v>
      </c>
      <c r="B1258" s="93">
        <v>43510</v>
      </c>
      <c r="C1258" t="s">
        <v>750</v>
      </c>
      <c r="D1258" s="5">
        <v>17.11</v>
      </c>
      <c r="E1258" t="s">
        <v>46</v>
      </c>
    </row>
    <row r="1259" spans="1:5" x14ac:dyDescent="0.25">
      <c r="A1259" t="s">
        <v>33</v>
      </c>
      <c r="B1259" s="93">
        <v>43510</v>
      </c>
      <c r="C1259" t="s">
        <v>751</v>
      </c>
      <c r="D1259" s="5">
        <v>25.67</v>
      </c>
      <c r="E1259" t="s">
        <v>46</v>
      </c>
    </row>
    <row r="1260" spans="1:5" x14ac:dyDescent="0.25">
      <c r="A1260" t="s">
        <v>33</v>
      </c>
      <c r="B1260" s="93">
        <v>43510</v>
      </c>
      <c r="C1260" t="s">
        <v>1985</v>
      </c>
      <c r="D1260" s="5">
        <v>90</v>
      </c>
      <c r="E1260" t="s">
        <v>46</v>
      </c>
    </row>
    <row r="1261" spans="1:5" x14ac:dyDescent="0.25">
      <c r="A1261" t="s">
        <v>33</v>
      </c>
      <c r="B1261" s="93">
        <v>43509</v>
      </c>
      <c r="C1261" t="s">
        <v>752</v>
      </c>
      <c r="D1261" s="5">
        <v>12.79</v>
      </c>
      <c r="E1261" t="s">
        <v>46</v>
      </c>
    </row>
    <row r="1262" spans="1:5" x14ac:dyDescent="0.25">
      <c r="A1262" t="s">
        <v>33</v>
      </c>
      <c r="B1262" s="93">
        <v>43509</v>
      </c>
      <c r="C1262" t="s">
        <v>1986</v>
      </c>
      <c r="D1262" s="5">
        <v>12.22</v>
      </c>
      <c r="E1262" t="s">
        <v>46</v>
      </c>
    </row>
    <row r="1263" spans="1:5" x14ac:dyDescent="0.25">
      <c r="A1263" t="s">
        <v>33</v>
      </c>
      <c r="B1263" s="93">
        <v>43509</v>
      </c>
      <c r="C1263" t="s">
        <v>1987</v>
      </c>
      <c r="D1263" s="5">
        <v>16.920000000000002</v>
      </c>
      <c r="E1263" t="s">
        <v>46</v>
      </c>
    </row>
    <row r="1264" spans="1:5" x14ac:dyDescent="0.25">
      <c r="A1264" t="s">
        <v>33</v>
      </c>
      <c r="B1264" s="93">
        <v>43509</v>
      </c>
      <c r="C1264" t="s">
        <v>1988</v>
      </c>
      <c r="D1264" s="5">
        <v>5.09</v>
      </c>
      <c r="E1264" t="s">
        <v>46</v>
      </c>
    </row>
    <row r="1265" spans="1:5" x14ac:dyDescent="0.25">
      <c r="A1265" t="s">
        <v>33</v>
      </c>
      <c r="B1265" s="93">
        <v>43508</v>
      </c>
      <c r="C1265" t="s">
        <v>740</v>
      </c>
      <c r="D1265" s="5">
        <v>60</v>
      </c>
      <c r="E1265" t="s">
        <v>58</v>
      </c>
    </row>
    <row r="1266" spans="1:5" x14ac:dyDescent="0.25">
      <c r="A1266" t="s">
        <v>33</v>
      </c>
      <c r="B1266" s="93">
        <v>43508</v>
      </c>
      <c r="C1266" t="s">
        <v>1989</v>
      </c>
      <c r="D1266" s="5">
        <v>250</v>
      </c>
      <c r="E1266" t="s">
        <v>46</v>
      </c>
    </row>
    <row r="1267" spans="1:5" x14ac:dyDescent="0.25">
      <c r="A1267" t="s">
        <v>33</v>
      </c>
      <c r="B1267" s="93">
        <v>43508</v>
      </c>
      <c r="C1267" t="s">
        <v>741</v>
      </c>
      <c r="D1267" s="5">
        <v>18.52</v>
      </c>
      <c r="E1267" t="s">
        <v>46</v>
      </c>
    </row>
    <row r="1268" spans="1:5" x14ac:dyDescent="0.25">
      <c r="A1268" t="s">
        <v>33</v>
      </c>
      <c r="B1268" s="93">
        <v>43507</v>
      </c>
      <c r="C1268" t="s">
        <v>742</v>
      </c>
      <c r="D1268" s="5">
        <v>9</v>
      </c>
      <c r="E1268" t="s">
        <v>46</v>
      </c>
    </row>
    <row r="1269" spans="1:5" x14ac:dyDescent="0.25">
      <c r="A1269" t="s">
        <v>33</v>
      </c>
      <c r="B1269" s="93">
        <v>43507</v>
      </c>
      <c r="C1269" t="s">
        <v>743</v>
      </c>
      <c r="D1269" s="5">
        <v>80.7</v>
      </c>
      <c r="E1269" t="s">
        <v>46</v>
      </c>
    </row>
    <row r="1270" spans="1:5" x14ac:dyDescent="0.25">
      <c r="A1270" t="s">
        <v>33</v>
      </c>
      <c r="B1270" s="93">
        <v>43507</v>
      </c>
      <c r="C1270" t="s">
        <v>744</v>
      </c>
      <c r="D1270" s="5">
        <v>9.94</v>
      </c>
      <c r="E1270" t="s">
        <v>46</v>
      </c>
    </row>
    <row r="1271" spans="1:5" x14ac:dyDescent="0.25">
      <c r="A1271" t="s">
        <v>33</v>
      </c>
      <c r="B1271" s="93">
        <v>43507</v>
      </c>
      <c r="C1271" t="s">
        <v>1990</v>
      </c>
      <c r="D1271" s="5">
        <v>1500</v>
      </c>
      <c r="E1271" t="s">
        <v>128</v>
      </c>
    </row>
    <row r="1272" spans="1:5" x14ac:dyDescent="0.25">
      <c r="A1272" t="s">
        <v>33</v>
      </c>
      <c r="B1272" s="93">
        <v>43507</v>
      </c>
      <c r="C1272" t="s">
        <v>1991</v>
      </c>
      <c r="D1272" s="5">
        <v>10</v>
      </c>
      <c r="E1272" t="s">
        <v>46</v>
      </c>
    </row>
    <row r="1273" spans="1:5" x14ac:dyDescent="0.25">
      <c r="A1273" t="s">
        <v>33</v>
      </c>
      <c r="B1273" s="93">
        <v>43507</v>
      </c>
      <c r="C1273" t="s">
        <v>1992</v>
      </c>
      <c r="D1273" s="5">
        <v>11.41</v>
      </c>
      <c r="E1273" t="s">
        <v>46</v>
      </c>
    </row>
    <row r="1274" spans="1:5" x14ac:dyDescent="0.25">
      <c r="A1274" t="s">
        <v>33</v>
      </c>
      <c r="B1274" s="93">
        <v>43507</v>
      </c>
      <c r="C1274" t="s">
        <v>1993</v>
      </c>
      <c r="D1274" s="5">
        <v>15.51</v>
      </c>
      <c r="E1274" t="s">
        <v>46</v>
      </c>
    </row>
    <row r="1275" spans="1:5" x14ac:dyDescent="0.25">
      <c r="A1275" t="s">
        <v>33</v>
      </c>
      <c r="B1275" s="93">
        <v>43507</v>
      </c>
      <c r="C1275" t="s">
        <v>1994</v>
      </c>
      <c r="D1275" s="5">
        <v>6.42</v>
      </c>
      <c r="E1275" t="s">
        <v>46</v>
      </c>
    </row>
    <row r="1276" spans="1:5" x14ac:dyDescent="0.25">
      <c r="A1276" t="s">
        <v>33</v>
      </c>
      <c r="B1276" s="93">
        <v>43507</v>
      </c>
      <c r="C1276" t="s">
        <v>1995</v>
      </c>
      <c r="D1276" s="5">
        <v>4.2300000000000004</v>
      </c>
      <c r="E1276" t="s">
        <v>46</v>
      </c>
    </row>
    <row r="1277" spans="1:5" x14ac:dyDescent="0.25">
      <c r="A1277" t="s">
        <v>33</v>
      </c>
      <c r="B1277" s="93">
        <v>43507</v>
      </c>
      <c r="C1277" t="s">
        <v>1996</v>
      </c>
      <c r="D1277" s="5">
        <v>199.71</v>
      </c>
      <c r="E1277" t="s">
        <v>46</v>
      </c>
    </row>
    <row r="1278" spans="1:5" x14ac:dyDescent="0.25">
      <c r="A1278" t="s">
        <v>33</v>
      </c>
      <c r="B1278" s="93">
        <v>43507</v>
      </c>
      <c r="C1278" t="s">
        <v>1997</v>
      </c>
      <c r="D1278" s="5">
        <v>557.80999999999995</v>
      </c>
      <c r="E1278" t="s">
        <v>46</v>
      </c>
    </row>
    <row r="1279" spans="1:5" x14ac:dyDescent="0.25">
      <c r="A1279" t="s">
        <v>33</v>
      </c>
      <c r="B1279" s="93">
        <v>43507</v>
      </c>
      <c r="C1279" t="s">
        <v>1998</v>
      </c>
      <c r="D1279" s="5">
        <v>24</v>
      </c>
      <c r="E1279" t="s">
        <v>46</v>
      </c>
    </row>
    <row r="1280" spans="1:5" x14ac:dyDescent="0.25">
      <c r="A1280" t="s">
        <v>33</v>
      </c>
      <c r="B1280" s="93">
        <v>43507</v>
      </c>
      <c r="C1280" t="s">
        <v>1999</v>
      </c>
      <c r="D1280" s="5">
        <v>45.08</v>
      </c>
      <c r="E1280" t="s">
        <v>46</v>
      </c>
    </row>
    <row r="1281" spans="1:5" x14ac:dyDescent="0.25">
      <c r="A1281" t="s">
        <v>33</v>
      </c>
      <c r="B1281" s="93">
        <v>43507</v>
      </c>
      <c r="C1281" t="s">
        <v>2000</v>
      </c>
      <c r="D1281" s="5">
        <v>19.54</v>
      </c>
      <c r="E1281" t="s">
        <v>46</v>
      </c>
    </row>
    <row r="1282" spans="1:5" x14ac:dyDescent="0.25">
      <c r="A1282" t="s">
        <v>33</v>
      </c>
      <c r="B1282" s="93">
        <v>43507</v>
      </c>
      <c r="C1282" t="s">
        <v>2001</v>
      </c>
      <c r="D1282" s="5">
        <v>17.98</v>
      </c>
      <c r="E1282" t="s">
        <v>46</v>
      </c>
    </row>
    <row r="1283" spans="1:5" x14ac:dyDescent="0.25">
      <c r="A1283" t="s">
        <v>33</v>
      </c>
      <c r="B1283" s="93">
        <v>43507</v>
      </c>
      <c r="C1283" t="s">
        <v>2002</v>
      </c>
      <c r="D1283" s="5">
        <v>71.06</v>
      </c>
      <c r="E1283" t="s">
        <v>46</v>
      </c>
    </row>
    <row r="1284" spans="1:5" x14ac:dyDescent="0.25">
      <c r="A1284" t="s">
        <v>33</v>
      </c>
      <c r="B1284" s="93">
        <v>43507</v>
      </c>
      <c r="C1284" t="s">
        <v>2003</v>
      </c>
      <c r="D1284" s="5">
        <v>31.82</v>
      </c>
      <c r="E1284" t="s">
        <v>46</v>
      </c>
    </row>
    <row r="1285" spans="1:5" x14ac:dyDescent="0.25">
      <c r="A1285" t="s">
        <v>93</v>
      </c>
      <c r="B1285" s="93">
        <v>43507</v>
      </c>
      <c r="C1285" t="s">
        <v>2004</v>
      </c>
      <c r="D1285" s="5">
        <v>-1250</v>
      </c>
      <c r="E1285" t="s">
        <v>95</v>
      </c>
    </row>
    <row r="1286" spans="1:5" x14ac:dyDescent="0.25">
      <c r="A1286" t="s">
        <v>33</v>
      </c>
      <c r="B1286" s="93">
        <v>43504</v>
      </c>
      <c r="C1286" t="s">
        <v>719</v>
      </c>
      <c r="D1286" s="5">
        <v>29.61</v>
      </c>
      <c r="E1286" t="s">
        <v>46</v>
      </c>
    </row>
    <row r="1287" spans="1:5" x14ac:dyDescent="0.25">
      <c r="A1287" t="s">
        <v>49</v>
      </c>
      <c r="B1287" s="93">
        <v>43504</v>
      </c>
      <c r="C1287" t="s">
        <v>50</v>
      </c>
      <c r="D1287" s="5">
        <v>-3485.05</v>
      </c>
      <c r="E1287" t="s">
        <v>51</v>
      </c>
    </row>
    <row r="1288" spans="1:5" x14ac:dyDescent="0.25">
      <c r="A1288" t="s">
        <v>33</v>
      </c>
      <c r="B1288" s="93">
        <v>43503</v>
      </c>
      <c r="C1288" t="s">
        <v>720</v>
      </c>
      <c r="D1288" s="5">
        <v>12.49</v>
      </c>
      <c r="E1288" t="s">
        <v>46</v>
      </c>
    </row>
    <row r="1289" spans="1:5" x14ac:dyDescent="0.25">
      <c r="A1289" t="s">
        <v>33</v>
      </c>
      <c r="B1289" s="93">
        <v>43503</v>
      </c>
      <c r="C1289" t="s">
        <v>721</v>
      </c>
      <c r="D1289" s="5">
        <v>27.81</v>
      </c>
      <c r="E1289" t="s">
        <v>46</v>
      </c>
    </row>
    <row r="1290" spans="1:5" x14ac:dyDescent="0.25">
      <c r="A1290" t="s">
        <v>33</v>
      </c>
      <c r="B1290" s="93">
        <v>43503</v>
      </c>
      <c r="C1290" t="s">
        <v>722</v>
      </c>
      <c r="D1290" s="5">
        <v>8.01</v>
      </c>
      <c r="E1290" t="s">
        <v>46</v>
      </c>
    </row>
    <row r="1291" spans="1:5" x14ac:dyDescent="0.25">
      <c r="A1291" t="s">
        <v>49</v>
      </c>
      <c r="B1291" s="93">
        <v>43503</v>
      </c>
      <c r="C1291" t="s">
        <v>723</v>
      </c>
      <c r="D1291" s="5">
        <v>-115</v>
      </c>
      <c r="E1291" t="s">
        <v>128</v>
      </c>
    </row>
    <row r="1292" spans="1:5" x14ac:dyDescent="0.25">
      <c r="A1292" t="s">
        <v>33</v>
      </c>
      <c r="B1292" s="93">
        <v>43502</v>
      </c>
      <c r="C1292" t="s">
        <v>724</v>
      </c>
      <c r="D1292" s="5">
        <v>40.950000000000003</v>
      </c>
      <c r="E1292" t="s">
        <v>107</v>
      </c>
    </row>
    <row r="1293" spans="1:5" x14ac:dyDescent="0.25">
      <c r="A1293" t="s">
        <v>33</v>
      </c>
      <c r="B1293" s="93">
        <v>43502</v>
      </c>
      <c r="C1293" t="s">
        <v>725</v>
      </c>
      <c r="D1293" s="5">
        <v>7.18</v>
      </c>
      <c r="E1293" t="s">
        <v>46</v>
      </c>
    </row>
    <row r="1294" spans="1:5" x14ac:dyDescent="0.25">
      <c r="A1294" t="s">
        <v>33</v>
      </c>
      <c r="B1294" s="93">
        <v>43502</v>
      </c>
      <c r="C1294" t="s">
        <v>726</v>
      </c>
      <c r="D1294" s="5">
        <v>13.9</v>
      </c>
      <c r="E1294" t="s">
        <v>46</v>
      </c>
    </row>
    <row r="1295" spans="1:5" x14ac:dyDescent="0.25">
      <c r="A1295" t="s">
        <v>33</v>
      </c>
      <c r="B1295" s="93">
        <v>43502</v>
      </c>
      <c r="C1295" t="s">
        <v>727</v>
      </c>
      <c r="D1295" s="5">
        <v>6.02</v>
      </c>
      <c r="E1295" t="s">
        <v>46</v>
      </c>
    </row>
    <row r="1296" spans="1:5" x14ac:dyDescent="0.25">
      <c r="A1296" t="s">
        <v>33</v>
      </c>
      <c r="B1296" s="93">
        <v>43502</v>
      </c>
      <c r="C1296" t="s">
        <v>728</v>
      </c>
      <c r="D1296" s="5">
        <v>17.170000000000002</v>
      </c>
      <c r="E1296" t="s">
        <v>46</v>
      </c>
    </row>
    <row r="1297" spans="1:5" x14ac:dyDescent="0.25">
      <c r="A1297" t="s">
        <v>33</v>
      </c>
      <c r="B1297" s="93">
        <v>43502</v>
      </c>
      <c r="C1297" t="s">
        <v>729</v>
      </c>
      <c r="D1297" s="5">
        <v>5.55</v>
      </c>
      <c r="E1297" t="s">
        <v>46</v>
      </c>
    </row>
    <row r="1298" spans="1:5" x14ac:dyDescent="0.25">
      <c r="A1298" t="s">
        <v>33</v>
      </c>
      <c r="B1298" s="93">
        <v>43502</v>
      </c>
      <c r="C1298" t="s">
        <v>730</v>
      </c>
      <c r="D1298" s="5">
        <v>90</v>
      </c>
      <c r="E1298" t="s">
        <v>46</v>
      </c>
    </row>
    <row r="1299" spans="1:5" x14ac:dyDescent="0.25">
      <c r="A1299" t="s">
        <v>33</v>
      </c>
      <c r="B1299" s="93">
        <v>43502</v>
      </c>
      <c r="C1299" t="s">
        <v>731</v>
      </c>
      <c r="D1299" s="5">
        <v>20.12</v>
      </c>
      <c r="E1299" t="s">
        <v>46</v>
      </c>
    </row>
    <row r="1300" spans="1:5" x14ac:dyDescent="0.25">
      <c r="A1300" t="s">
        <v>33</v>
      </c>
      <c r="B1300" s="93">
        <v>43501</v>
      </c>
      <c r="C1300" t="s">
        <v>364</v>
      </c>
      <c r="D1300" s="5">
        <v>299</v>
      </c>
      <c r="E1300" t="s">
        <v>107</v>
      </c>
    </row>
    <row r="1301" spans="1:5" x14ac:dyDescent="0.25">
      <c r="A1301" t="s">
        <v>33</v>
      </c>
      <c r="B1301" s="93">
        <v>43501</v>
      </c>
      <c r="C1301" t="s">
        <v>732</v>
      </c>
      <c r="D1301" s="5">
        <v>20</v>
      </c>
      <c r="E1301" t="s">
        <v>46</v>
      </c>
    </row>
    <row r="1302" spans="1:5" x14ac:dyDescent="0.25">
      <c r="A1302" t="s">
        <v>33</v>
      </c>
      <c r="B1302" s="93">
        <v>43501</v>
      </c>
      <c r="C1302" t="s">
        <v>733</v>
      </c>
      <c r="D1302" s="5">
        <v>1225</v>
      </c>
      <c r="E1302" t="s">
        <v>35</v>
      </c>
    </row>
    <row r="1303" spans="1:5" x14ac:dyDescent="0.25">
      <c r="A1303" t="s">
        <v>33</v>
      </c>
      <c r="B1303" s="93">
        <v>43501</v>
      </c>
      <c r="C1303" t="s">
        <v>734</v>
      </c>
      <c r="D1303" s="5">
        <v>2.54</v>
      </c>
      <c r="E1303" t="s">
        <v>46</v>
      </c>
    </row>
    <row r="1304" spans="1:5" x14ac:dyDescent="0.25">
      <c r="A1304" t="s">
        <v>33</v>
      </c>
      <c r="B1304" s="93">
        <v>43501</v>
      </c>
      <c r="C1304" t="s">
        <v>735</v>
      </c>
      <c r="D1304" s="5">
        <v>1145.3800000000001</v>
      </c>
      <c r="E1304" t="s">
        <v>46</v>
      </c>
    </row>
    <row r="1305" spans="1:5" x14ac:dyDescent="0.25">
      <c r="A1305" t="s">
        <v>33</v>
      </c>
      <c r="B1305" s="93">
        <v>43500</v>
      </c>
      <c r="C1305" t="s">
        <v>2005</v>
      </c>
      <c r="D1305" s="5">
        <v>11.95</v>
      </c>
      <c r="E1305" t="s">
        <v>46</v>
      </c>
    </row>
    <row r="1306" spans="1:5" x14ac:dyDescent="0.25">
      <c r="A1306" t="s">
        <v>33</v>
      </c>
      <c r="B1306" s="93">
        <v>43500</v>
      </c>
      <c r="C1306" t="s">
        <v>2006</v>
      </c>
      <c r="D1306" s="5">
        <v>65</v>
      </c>
      <c r="E1306" t="s">
        <v>46</v>
      </c>
    </row>
    <row r="1307" spans="1:5" x14ac:dyDescent="0.25">
      <c r="A1307" t="s">
        <v>33</v>
      </c>
      <c r="B1307" s="93">
        <v>43500</v>
      </c>
      <c r="C1307" t="s">
        <v>2007</v>
      </c>
      <c r="D1307" s="5">
        <v>87.82</v>
      </c>
      <c r="E1307" t="s">
        <v>46</v>
      </c>
    </row>
    <row r="1308" spans="1:5" x14ac:dyDescent="0.25">
      <c r="A1308" t="s">
        <v>33</v>
      </c>
      <c r="B1308" s="93">
        <v>43500</v>
      </c>
      <c r="C1308" t="s">
        <v>377</v>
      </c>
      <c r="D1308" s="5">
        <v>828.15</v>
      </c>
      <c r="E1308" t="s">
        <v>107</v>
      </c>
    </row>
    <row r="1309" spans="1:5" x14ac:dyDescent="0.25">
      <c r="A1309" t="s">
        <v>33</v>
      </c>
      <c r="B1309" s="93">
        <v>43500</v>
      </c>
      <c r="C1309" t="s">
        <v>2008</v>
      </c>
      <c r="D1309" s="5">
        <v>34.97</v>
      </c>
      <c r="E1309" t="s">
        <v>46</v>
      </c>
    </row>
    <row r="1310" spans="1:5" x14ac:dyDescent="0.25">
      <c r="A1310" t="s">
        <v>33</v>
      </c>
      <c r="B1310" s="93">
        <v>43500</v>
      </c>
      <c r="C1310" t="s">
        <v>2009</v>
      </c>
      <c r="D1310" s="5">
        <v>124.33</v>
      </c>
      <c r="E1310" t="s">
        <v>46</v>
      </c>
    </row>
    <row r="1311" spans="1:5" x14ac:dyDescent="0.25">
      <c r="A1311" t="s">
        <v>33</v>
      </c>
      <c r="B1311" s="93">
        <v>43500</v>
      </c>
      <c r="C1311" t="s">
        <v>2010</v>
      </c>
      <c r="D1311" s="5">
        <v>20</v>
      </c>
      <c r="E1311" t="s">
        <v>46</v>
      </c>
    </row>
    <row r="1312" spans="1:5" x14ac:dyDescent="0.25">
      <c r="A1312" t="s">
        <v>33</v>
      </c>
      <c r="B1312" s="93">
        <v>43500</v>
      </c>
      <c r="C1312" t="s">
        <v>2011</v>
      </c>
      <c r="D1312" s="5">
        <v>32</v>
      </c>
      <c r="E1312" t="s">
        <v>46</v>
      </c>
    </row>
    <row r="1313" spans="1:5" x14ac:dyDescent="0.25">
      <c r="A1313" t="s">
        <v>33</v>
      </c>
      <c r="B1313" s="93">
        <v>43500</v>
      </c>
      <c r="C1313" t="s">
        <v>2012</v>
      </c>
      <c r="D1313" s="5">
        <v>8.56</v>
      </c>
      <c r="E1313" t="s">
        <v>46</v>
      </c>
    </row>
    <row r="1314" spans="1:5" x14ac:dyDescent="0.25">
      <c r="A1314" t="s">
        <v>33</v>
      </c>
      <c r="B1314" s="93">
        <v>43500</v>
      </c>
      <c r="C1314" t="s">
        <v>2013</v>
      </c>
      <c r="D1314" s="5">
        <v>21.66</v>
      </c>
      <c r="E1314" t="s">
        <v>46</v>
      </c>
    </row>
    <row r="1315" spans="1:5" x14ac:dyDescent="0.25">
      <c r="A1315" t="s">
        <v>33</v>
      </c>
      <c r="B1315" s="93">
        <v>43500</v>
      </c>
      <c r="C1315" t="s">
        <v>2014</v>
      </c>
      <c r="D1315" s="5">
        <v>25.7</v>
      </c>
      <c r="E1315" t="s">
        <v>46</v>
      </c>
    </row>
    <row r="1316" spans="1:5" x14ac:dyDescent="0.25">
      <c r="A1316" t="s">
        <v>33</v>
      </c>
      <c r="B1316" s="93">
        <v>43500</v>
      </c>
      <c r="C1316" t="s">
        <v>2015</v>
      </c>
      <c r="D1316" s="5">
        <v>28.61</v>
      </c>
      <c r="E1316" t="s">
        <v>46</v>
      </c>
    </row>
    <row r="1317" spans="1:5" x14ac:dyDescent="0.25">
      <c r="A1317" t="s">
        <v>33</v>
      </c>
      <c r="B1317" s="93">
        <v>43500</v>
      </c>
      <c r="C1317" t="s">
        <v>2016</v>
      </c>
      <c r="D1317" s="5">
        <v>2.25</v>
      </c>
      <c r="E1317" t="s">
        <v>46</v>
      </c>
    </row>
    <row r="1318" spans="1:5" x14ac:dyDescent="0.25">
      <c r="A1318" t="s">
        <v>33</v>
      </c>
      <c r="B1318" s="93">
        <v>43500</v>
      </c>
      <c r="C1318" t="s">
        <v>2017</v>
      </c>
      <c r="D1318" s="5">
        <v>21.39</v>
      </c>
      <c r="E1318" t="s">
        <v>46</v>
      </c>
    </row>
    <row r="1319" spans="1:5" x14ac:dyDescent="0.25">
      <c r="A1319" t="s">
        <v>33</v>
      </c>
      <c r="B1319" s="93">
        <v>43500</v>
      </c>
      <c r="C1319" t="s">
        <v>2018</v>
      </c>
      <c r="D1319" s="5">
        <v>5.56</v>
      </c>
      <c r="E1319" t="s">
        <v>46</v>
      </c>
    </row>
    <row r="1320" spans="1:5" x14ac:dyDescent="0.25">
      <c r="A1320" t="s">
        <v>33</v>
      </c>
      <c r="B1320" s="93">
        <v>43500</v>
      </c>
      <c r="C1320" t="s">
        <v>2019</v>
      </c>
      <c r="D1320" s="5">
        <v>7.35</v>
      </c>
      <c r="E1320" t="s">
        <v>46</v>
      </c>
    </row>
    <row r="1321" spans="1:5" x14ac:dyDescent="0.25">
      <c r="A1321" t="s">
        <v>33</v>
      </c>
      <c r="B1321" s="93">
        <v>43500</v>
      </c>
      <c r="C1321" t="s">
        <v>2019</v>
      </c>
      <c r="D1321" s="5">
        <v>17.98</v>
      </c>
      <c r="E1321" t="s">
        <v>46</v>
      </c>
    </row>
    <row r="1322" spans="1:5" x14ac:dyDescent="0.25">
      <c r="A1322" t="s">
        <v>49</v>
      </c>
      <c r="B1322" s="93">
        <v>43500</v>
      </c>
      <c r="C1322" t="s">
        <v>2020</v>
      </c>
      <c r="D1322" s="5">
        <v>-2000</v>
      </c>
      <c r="E1322" t="s">
        <v>128</v>
      </c>
    </row>
    <row r="1323" spans="1:5" x14ac:dyDescent="0.25">
      <c r="A1323" t="s">
        <v>33</v>
      </c>
      <c r="B1323" s="93">
        <v>43497</v>
      </c>
      <c r="C1323" t="s">
        <v>709</v>
      </c>
      <c r="D1323" s="5">
        <v>60</v>
      </c>
      <c r="E1323" t="s">
        <v>58</v>
      </c>
    </row>
    <row r="1324" spans="1:5" x14ac:dyDescent="0.25">
      <c r="A1324" t="s">
        <v>33</v>
      </c>
      <c r="B1324" s="93">
        <v>43497</v>
      </c>
      <c r="C1324" t="s">
        <v>710</v>
      </c>
      <c r="D1324" s="5">
        <v>90</v>
      </c>
      <c r="E1324" t="s">
        <v>46</v>
      </c>
    </row>
    <row r="1325" spans="1:5" x14ac:dyDescent="0.25">
      <c r="A1325" t="s">
        <v>49</v>
      </c>
      <c r="B1325" s="93">
        <v>43496</v>
      </c>
      <c r="C1325" t="s">
        <v>104</v>
      </c>
      <c r="D1325" s="5">
        <v>-0.01</v>
      </c>
      <c r="E1325" t="s">
        <v>105</v>
      </c>
    </row>
    <row r="1326" spans="1:5" x14ac:dyDescent="0.25">
      <c r="A1326" t="s">
        <v>33</v>
      </c>
      <c r="B1326" s="93">
        <v>43496</v>
      </c>
      <c r="C1326" t="s">
        <v>696</v>
      </c>
      <c r="D1326" s="5">
        <v>17.64</v>
      </c>
      <c r="E1326" t="s">
        <v>46</v>
      </c>
    </row>
    <row r="1327" spans="1:5" x14ac:dyDescent="0.25">
      <c r="A1327" t="s">
        <v>33</v>
      </c>
      <c r="B1327" s="93">
        <v>43496</v>
      </c>
      <c r="C1327" t="s">
        <v>697</v>
      </c>
      <c r="D1327" s="5">
        <v>16.03</v>
      </c>
      <c r="E1327" t="s">
        <v>46</v>
      </c>
    </row>
    <row r="1328" spans="1:5" x14ac:dyDescent="0.25">
      <c r="A1328" t="s">
        <v>33</v>
      </c>
      <c r="B1328" s="93">
        <v>43496</v>
      </c>
      <c r="C1328" t="s">
        <v>698</v>
      </c>
      <c r="D1328" s="5">
        <v>17.72</v>
      </c>
      <c r="E1328" t="s">
        <v>46</v>
      </c>
    </row>
    <row r="1329" spans="1:5" x14ac:dyDescent="0.25">
      <c r="A1329" t="s">
        <v>33</v>
      </c>
      <c r="B1329" s="93">
        <v>43495</v>
      </c>
      <c r="C1329" t="s">
        <v>699</v>
      </c>
      <c r="D1329" s="5">
        <v>20.04</v>
      </c>
      <c r="E1329" t="s">
        <v>46</v>
      </c>
    </row>
    <row r="1330" spans="1:5" x14ac:dyDescent="0.25">
      <c r="A1330" t="s">
        <v>33</v>
      </c>
      <c r="B1330" s="93">
        <v>43495</v>
      </c>
      <c r="C1330" t="s">
        <v>700</v>
      </c>
      <c r="D1330" s="5">
        <v>5.67</v>
      </c>
      <c r="E1330" t="s">
        <v>46</v>
      </c>
    </row>
    <row r="1331" spans="1:5" x14ac:dyDescent="0.25">
      <c r="A1331" t="s">
        <v>33</v>
      </c>
      <c r="B1331" s="93">
        <v>43495</v>
      </c>
      <c r="C1331" t="s">
        <v>701</v>
      </c>
      <c r="D1331" s="5">
        <v>27.8</v>
      </c>
      <c r="E1331" t="s">
        <v>46</v>
      </c>
    </row>
    <row r="1332" spans="1:5" x14ac:dyDescent="0.25">
      <c r="A1332" t="s">
        <v>33</v>
      </c>
      <c r="B1332" s="93">
        <v>43495</v>
      </c>
      <c r="C1332" t="s">
        <v>2021</v>
      </c>
      <c r="D1332" s="5">
        <v>10</v>
      </c>
      <c r="E1332" t="s">
        <v>46</v>
      </c>
    </row>
    <row r="1333" spans="1:5" x14ac:dyDescent="0.25">
      <c r="A1333" t="s">
        <v>33</v>
      </c>
      <c r="B1333" s="93">
        <v>43494</v>
      </c>
      <c r="C1333" t="s">
        <v>2022</v>
      </c>
      <c r="D1333" s="5">
        <v>21.39</v>
      </c>
      <c r="E1333" t="s">
        <v>46</v>
      </c>
    </row>
    <row r="1334" spans="1:5" x14ac:dyDescent="0.25">
      <c r="A1334" t="s">
        <v>33</v>
      </c>
      <c r="B1334" s="93">
        <v>43494</v>
      </c>
      <c r="C1334" t="s">
        <v>106</v>
      </c>
      <c r="D1334" s="5">
        <v>437.54</v>
      </c>
      <c r="E1334" t="s">
        <v>107</v>
      </c>
    </row>
    <row r="1335" spans="1:5" x14ac:dyDescent="0.25">
      <c r="A1335" t="s">
        <v>33</v>
      </c>
      <c r="B1335" s="93">
        <v>43494</v>
      </c>
      <c r="C1335" t="s">
        <v>695</v>
      </c>
      <c r="D1335" s="5">
        <v>6.5</v>
      </c>
      <c r="E1335" t="s">
        <v>46</v>
      </c>
    </row>
    <row r="1336" spans="1:5" x14ac:dyDescent="0.25">
      <c r="A1336" t="s">
        <v>33</v>
      </c>
      <c r="B1336" s="93">
        <v>43494</v>
      </c>
      <c r="C1336" t="s">
        <v>2023</v>
      </c>
      <c r="D1336" s="5">
        <v>64.73</v>
      </c>
      <c r="E1336" t="s">
        <v>46</v>
      </c>
    </row>
    <row r="1337" spans="1:5" x14ac:dyDescent="0.25">
      <c r="A1337" t="s">
        <v>33</v>
      </c>
      <c r="B1337" s="93">
        <v>43493</v>
      </c>
      <c r="C1337" t="s">
        <v>680</v>
      </c>
      <c r="D1337" s="5">
        <v>14.93</v>
      </c>
      <c r="E1337" t="s">
        <v>46</v>
      </c>
    </row>
    <row r="1338" spans="1:5" x14ac:dyDescent="0.25">
      <c r="A1338" t="s">
        <v>33</v>
      </c>
      <c r="B1338" s="93">
        <v>43493</v>
      </c>
      <c r="C1338" t="s">
        <v>681</v>
      </c>
      <c r="D1338" s="5">
        <v>13.73</v>
      </c>
      <c r="E1338" t="s">
        <v>46</v>
      </c>
    </row>
    <row r="1339" spans="1:5" x14ac:dyDescent="0.25">
      <c r="A1339" t="s">
        <v>33</v>
      </c>
      <c r="B1339" s="93">
        <v>43493</v>
      </c>
      <c r="C1339" t="s">
        <v>682</v>
      </c>
      <c r="D1339" s="5">
        <v>22.75</v>
      </c>
      <c r="E1339" t="s">
        <v>46</v>
      </c>
    </row>
    <row r="1340" spans="1:5" x14ac:dyDescent="0.25">
      <c r="A1340" t="s">
        <v>33</v>
      </c>
      <c r="B1340" s="93">
        <v>43493</v>
      </c>
      <c r="C1340" t="s">
        <v>683</v>
      </c>
      <c r="D1340" s="5">
        <v>9.24</v>
      </c>
      <c r="E1340" t="s">
        <v>46</v>
      </c>
    </row>
    <row r="1341" spans="1:5" x14ac:dyDescent="0.25">
      <c r="A1341" t="s">
        <v>33</v>
      </c>
      <c r="B1341" s="93">
        <v>43493</v>
      </c>
      <c r="C1341" t="s">
        <v>684</v>
      </c>
      <c r="D1341" s="5">
        <v>2.73</v>
      </c>
      <c r="E1341" t="s">
        <v>46</v>
      </c>
    </row>
    <row r="1342" spans="1:5" x14ac:dyDescent="0.25">
      <c r="A1342" t="s">
        <v>33</v>
      </c>
      <c r="B1342" s="93">
        <v>43493</v>
      </c>
      <c r="C1342" t="s">
        <v>685</v>
      </c>
      <c r="D1342" s="5">
        <v>9.24</v>
      </c>
      <c r="E1342" t="s">
        <v>46</v>
      </c>
    </row>
    <row r="1343" spans="1:5" x14ac:dyDescent="0.25">
      <c r="A1343" t="s">
        <v>33</v>
      </c>
      <c r="B1343" s="93">
        <v>43493</v>
      </c>
      <c r="C1343" t="s">
        <v>686</v>
      </c>
      <c r="D1343" s="5">
        <v>10</v>
      </c>
      <c r="E1343" t="s">
        <v>46</v>
      </c>
    </row>
    <row r="1344" spans="1:5" x14ac:dyDescent="0.25">
      <c r="A1344" t="s">
        <v>33</v>
      </c>
      <c r="B1344" s="93">
        <v>43493</v>
      </c>
      <c r="C1344" t="s">
        <v>687</v>
      </c>
      <c r="D1344" s="5">
        <v>25.13</v>
      </c>
      <c r="E1344" t="s">
        <v>46</v>
      </c>
    </row>
    <row r="1345" spans="1:5" x14ac:dyDescent="0.25">
      <c r="A1345" t="s">
        <v>33</v>
      </c>
      <c r="B1345" s="93">
        <v>43493</v>
      </c>
      <c r="C1345" t="s">
        <v>688</v>
      </c>
      <c r="D1345" s="5">
        <v>24.91</v>
      </c>
      <c r="E1345" t="s">
        <v>46</v>
      </c>
    </row>
    <row r="1346" spans="1:5" x14ac:dyDescent="0.25">
      <c r="A1346" t="s">
        <v>33</v>
      </c>
      <c r="B1346" s="93">
        <v>43493</v>
      </c>
      <c r="C1346" t="s">
        <v>689</v>
      </c>
      <c r="D1346" s="5">
        <v>8.56</v>
      </c>
      <c r="E1346" t="s">
        <v>46</v>
      </c>
    </row>
    <row r="1347" spans="1:5" x14ac:dyDescent="0.25">
      <c r="A1347" t="s">
        <v>33</v>
      </c>
      <c r="B1347" s="93">
        <v>43493</v>
      </c>
      <c r="C1347" t="s">
        <v>690</v>
      </c>
      <c r="D1347" s="5">
        <v>5.09</v>
      </c>
      <c r="E1347" t="s">
        <v>46</v>
      </c>
    </row>
    <row r="1348" spans="1:5" x14ac:dyDescent="0.25">
      <c r="A1348" t="s">
        <v>33</v>
      </c>
      <c r="B1348" s="93">
        <v>43493</v>
      </c>
      <c r="C1348" t="s">
        <v>691</v>
      </c>
      <c r="D1348" s="5">
        <v>80</v>
      </c>
      <c r="E1348" t="s">
        <v>58</v>
      </c>
    </row>
    <row r="1349" spans="1:5" x14ac:dyDescent="0.25">
      <c r="A1349" t="s">
        <v>33</v>
      </c>
      <c r="B1349" s="93">
        <v>43493</v>
      </c>
      <c r="C1349" t="s">
        <v>692</v>
      </c>
      <c r="D1349" s="5">
        <v>10</v>
      </c>
      <c r="E1349" t="s">
        <v>46</v>
      </c>
    </row>
    <row r="1350" spans="1:5" x14ac:dyDescent="0.25">
      <c r="A1350" t="s">
        <v>33</v>
      </c>
      <c r="B1350" s="93">
        <v>43493</v>
      </c>
      <c r="C1350" t="s">
        <v>693</v>
      </c>
      <c r="D1350" s="5">
        <v>46.59</v>
      </c>
      <c r="E1350" t="s">
        <v>46</v>
      </c>
    </row>
    <row r="1351" spans="1:5" x14ac:dyDescent="0.25">
      <c r="A1351" t="s">
        <v>33</v>
      </c>
      <c r="B1351" s="93">
        <v>43493</v>
      </c>
      <c r="C1351" t="s">
        <v>694</v>
      </c>
      <c r="D1351" s="5">
        <v>40</v>
      </c>
      <c r="E1351" t="s">
        <v>46</v>
      </c>
    </row>
    <row r="1352" spans="1:5" x14ac:dyDescent="0.25">
      <c r="A1352" t="s">
        <v>33</v>
      </c>
      <c r="B1352" s="93">
        <v>43493</v>
      </c>
      <c r="C1352" t="s">
        <v>2024</v>
      </c>
      <c r="D1352" s="5">
        <v>69.98</v>
      </c>
      <c r="E1352" t="s">
        <v>46</v>
      </c>
    </row>
    <row r="1353" spans="1:5" x14ac:dyDescent="0.25">
      <c r="A1353" t="s">
        <v>33</v>
      </c>
      <c r="B1353" s="93">
        <v>43490</v>
      </c>
      <c r="C1353" t="s">
        <v>2025</v>
      </c>
      <c r="D1353" s="5">
        <v>39.06</v>
      </c>
      <c r="E1353" t="s">
        <v>46</v>
      </c>
    </row>
    <row r="1354" spans="1:5" x14ac:dyDescent="0.25">
      <c r="A1354" t="s">
        <v>33</v>
      </c>
      <c r="B1354" s="93">
        <v>43490</v>
      </c>
      <c r="C1354" t="s">
        <v>677</v>
      </c>
      <c r="D1354" s="5">
        <v>24</v>
      </c>
      <c r="E1354" t="s">
        <v>46</v>
      </c>
    </row>
    <row r="1355" spans="1:5" x14ac:dyDescent="0.25">
      <c r="A1355" t="s">
        <v>33</v>
      </c>
      <c r="B1355" s="93">
        <v>43490</v>
      </c>
      <c r="C1355" t="s">
        <v>2026</v>
      </c>
      <c r="D1355" s="5">
        <v>90</v>
      </c>
      <c r="E1355" t="s">
        <v>46</v>
      </c>
    </row>
    <row r="1356" spans="1:5" x14ac:dyDescent="0.25">
      <c r="A1356" t="s">
        <v>33</v>
      </c>
      <c r="B1356" s="93">
        <v>43490</v>
      </c>
      <c r="C1356" t="s">
        <v>2027</v>
      </c>
      <c r="D1356" s="5">
        <v>12.63</v>
      </c>
      <c r="E1356" t="s">
        <v>46</v>
      </c>
    </row>
    <row r="1357" spans="1:5" x14ac:dyDescent="0.25">
      <c r="A1357" t="s">
        <v>33</v>
      </c>
      <c r="B1357" s="93">
        <v>43490</v>
      </c>
      <c r="C1357" t="s">
        <v>2028</v>
      </c>
      <c r="D1357" s="5">
        <v>18.98</v>
      </c>
      <c r="E1357" t="s">
        <v>46</v>
      </c>
    </row>
    <row r="1358" spans="1:5" x14ac:dyDescent="0.25">
      <c r="A1358" t="s">
        <v>49</v>
      </c>
      <c r="B1358" s="93">
        <v>43490</v>
      </c>
      <c r="C1358" t="s">
        <v>50</v>
      </c>
      <c r="D1358" s="5">
        <v>-3485.06</v>
      </c>
      <c r="E1358" t="s">
        <v>51</v>
      </c>
    </row>
    <row r="1359" spans="1:5" x14ac:dyDescent="0.25">
      <c r="A1359" t="s">
        <v>33</v>
      </c>
      <c r="B1359" s="93">
        <v>43489</v>
      </c>
      <c r="C1359" t="s">
        <v>673</v>
      </c>
      <c r="D1359" s="5">
        <v>32.75</v>
      </c>
      <c r="E1359" t="s">
        <v>46</v>
      </c>
    </row>
    <row r="1360" spans="1:5" x14ac:dyDescent="0.25">
      <c r="A1360" t="s">
        <v>33</v>
      </c>
      <c r="B1360" s="93">
        <v>43489</v>
      </c>
      <c r="C1360" t="s">
        <v>674</v>
      </c>
      <c r="D1360" s="5">
        <v>15.6</v>
      </c>
      <c r="E1360" t="s">
        <v>46</v>
      </c>
    </row>
    <row r="1361" spans="1:5" x14ac:dyDescent="0.25">
      <c r="A1361" t="s">
        <v>49</v>
      </c>
      <c r="B1361" s="93">
        <v>43489</v>
      </c>
      <c r="C1361" t="s">
        <v>2029</v>
      </c>
      <c r="D1361" s="5">
        <v>-100</v>
      </c>
      <c r="E1361" t="s">
        <v>128</v>
      </c>
    </row>
    <row r="1362" spans="1:5" x14ac:dyDescent="0.25">
      <c r="A1362" t="s">
        <v>33</v>
      </c>
      <c r="B1362" s="93">
        <v>43488</v>
      </c>
      <c r="C1362" t="s">
        <v>675</v>
      </c>
      <c r="D1362" s="5">
        <v>34.729999999999997</v>
      </c>
      <c r="E1362" t="s">
        <v>46</v>
      </c>
    </row>
    <row r="1363" spans="1:5" x14ac:dyDescent="0.25">
      <c r="A1363" t="s">
        <v>33</v>
      </c>
      <c r="B1363" s="93">
        <v>43488</v>
      </c>
      <c r="C1363" t="s">
        <v>2030</v>
      </c>
      <c r="D1363" s="5">
        <v>25</v>
      </c>
      <c r="E1363" t="s">
        <v>46</v>
      </c>
    </row>
    <row r="1364" spans="1:5" x14ac:dyDescent="0.25">
      <c r="A1364" t="s">
        <v>33</v>
      </c>
      <c r="B1364" s="93">
        <v>43488</v>
      </c>
      <c r="C1364" t="s">
        <v>2031</v>
      </c>
      <c r="D1364" s="5">
        <v>6.86</v>
      </c>
      <c r="E1364" t="s">
        <v>46</v>
      </c>
    </row>
    <row r="1365" spans="1:5" x14ac:dyDescent="0.25">
      <c r="A1365" t="s">
        <v>33</v>
      </c>
      <c r="B1365" s="93">
        <v>43488</v>
      </c>
      <c r="C1365" t="s">
        <v>2032</v>
      </c>
      <c r="D1365" s="5">
        <v>13.57</v>
      </c>
      <c r="E1365" t="s">
        <v>46</v>
      </c>
    </row>
    <row r="1366" spans="1:5" x14ac:dyDescent="0.25">
      <c r="A1366" t="s">
        <v>33</v>
      </c>
      <c r="B1366" s="93">
        <v>43488</v>
      </c>
      <c r="C1366" t="s">
        <v>2033</v>
      </c>
      <c r="D1366" s="5">
        <v>5.09</v>
      </c>
      <c r="E1366" t="s">
        <v>46</v>
      </c>
    </row>
    <row r="1367" spans="1:5" x14ac:dyDescent="0.25">
      <c r="A1367" t="s">
        <v>33</v>
      </c>
      <c r="B1367" s="93">
        <v>43487</v>
      </c>
      <c r="C1367" t="s">
        <v>2034</v>
      </c>
      <c r="D1367" s="5">
        <v>151</v>
      </c>
      <c r="E1367" t="s">
        <v>128</v>
      </c>
    </row>
    <row r="1368" spans="1:5" x14ac:dyDescent="0.25">
      <c r="A1368" t="s">
        <v>33</v>
      </c>
      <c r="B1368" s="93">
        <v>43487</v>
      </c>
      <c r="C1368" t="s">
        <v>2035</v>
      </c>
      <c r="D1368" s="5">
        <v>8.56</v>
      </c>
      <c r="E1368" t="s">
        <v>46</v>
      </c>
    </row>
    <row r="1369" spans="1:5" x14ac:dyDescent="0.25">
      <c r="A1369" t="s">
        <v>33</v>
      </c>
      <c r="B1369" s="93">
        <v>43487</v>
      </c>
      <c r="C1369" t="s">
        <v>2036</v>
      </c>
      <c r="D1369" s="5">
        <v>15</v>
      </c>
      <c r="E1369" t="s">
        <v>46</v>
      </c>
    </row>
    <row r="1370" spans="1:5" x14ac:dyDescent="0.25">
      <c r="A1370" t="s">
        <v>33</v>
      </c>
      <c r="B1370" s="93">
        <v>43487</v>
      </c>
      <c r="C1370" t="s">
        <v>2037</v>
      </c>
      <c r="D1370" s="5">
        <v>45.4</v>
      </c>
      <c r="E1370" t="s">
        <v>46</v>
      </c>
    </row>
    <row r="1371" spans="1:5" x14ac:dyDescent="0.25">
      <c r="A1371" t="s">
        <v>33</v>
      </c>
      <c r="B1371" s="93">
        <v>43487</v>
      </c>
      <c r="C1371" t="s">
        <v>2038</v>
      </c>
      <c r="D1371" s="5">
        <v>7.49</v>
      </c>
      <c r="E1371" t="s">
        <v>46</v>
      </c>
    </row>
    <row r="1372" spans="1:5" x14ac:dyDescent="0.25">
      <c r="A1372" t="s">
        <v>33</v>
      </c>
      <c r="B1372" s="93">
        <v>43487</v>
      </c>
      <c r="C1372" t="s">
        <v>2039</v>
      </c>
      <c r="D1372" s="5">
        <v>29.94</v>
      </c>
      <c r="E1372" t="s">
        <v>46</v>
      </c>
    </row>
    <row r="1373" spans="1:5" x14ac:dyDescent="0.25">
      <c r="A1373" t="s">
        <v>33</v>
      </c>
      <c r="B1373" s="93">
        <v>43487</v>
      </c>
      <c r="C1373" t="s">
        <v>2040</v>
      </c>
      <c r="D1373" s="5">
        <v>4.2300000000000004</v>
      </c>
      <c r="E1373" t="s">
        <v>46</v>
      </c>
    </row>
    <row r="1374" spans="1:5" x14ac:dyDescent="0.25">
      <c r="A1374" t="s">
        <v>33</v>
      </c>
      <c r="B1374" s="93">
        <v>43487</v>
      </c>
      <c r="C1374" t="s">
        <v>2041</v>
      </c>
      <c r="D1374" s="5">
        <v>39.1</v>
      </c>
      <c r="E1374" t="s">
        <v>46</v>
      </c>
    </row>
    <row r="1375" spans="1:5" x14ac:dyDescent="0.25">
      <c r="A1375" t="s">
        <v>33</v>
      </c>
      <c r="B1375" s="93">
        <v>43487</v>
      </c>
      <c r="C1375" t="s">
        <v>2042</v>
      </c>
      <c r="D1375" s="5">
        <v>60</v>
      </c>
      <c r="E1375" t="s">
        <v>58</v>
      </c>
    </row>
    <row r="1376" spans="1:5" x14ac:dyDescent="0.25">
      <c r="A1376" t="s">
        <v>33</v>
      </c>
      <c r="B1376" s="93">
        <v>43487</v>
      </c>
      <c r="C1376" t="s">
        <v>2043</v>
      </c>
      <c r="D1376" s="5">
        <v>5.94</v>
      </c>
      <c r="E1376" t="s">
        <v>46</v>
      </c>
    </row>
    <row r="1377" spans="1:5" x14ac:dyDescent="0.25">
      <c r="A1377" t="s">
        <v>33</v>
      </c>
      <c r="B1377" s="93">
        <v>43487</v>
      </c>
      <c r="C1377" t="s">
        <v>2044</v>
      </c>
      <c r="D1377" s="5">
        <v>23.66</v>
      </c>
      <c r="E1377" t="s">
        <v>46</v>
      </c>
    </row>
    <row r="1378" spans="1:5" x14ac:dyDescent="0.25">
      <c r="A1378" t="s">
        <v>33</v>
      </c>
      <c r="B1378" s="93">
        <v>43487</v>
      </c>
      <c r="C1378" t="s">
        <v>2045</v>
      </c>
      <c r="D1378" s="5">
        <v>40</v>
      </c>
      <c r="E1378" t="s">
        <v>46</v>
      </c>
    </row>
    <row r="1379" spans="1:5" x14ac:dyDescent="0.25">
      <c r="A1379" t="s">
        <v>33</v>
      </c>
      <c r="B1379" s="93">
        <v>43483</v>
      </c>
      <c r="C1379" t="s">
        <v>662</v>
      </c>
      <c r="D1379" s="5">
        <v>300</v>
      </c>
      <c r="E1379" t="s">
        <v>107</v>
      </c>
    </row>
    <row r="1380" spans="1:5" x14ac:dyDescent="0.25">
      <c r="A1380" t="s">
        <v>33</v>
      </c>
      <c r="B1380" s="93">
        <v>43483</v>
      </c>
      <c r="C1380" t="s">
        <v>2046</v>
      </c>
      <c r="D1380" s="5">
        <v>22</v>
      </c>
      <c r="E1380" t="s">
        <v>46</v>
      </c>
    </row>
    <row r="1381" spans="1:5" x14ac:dyDescent="0.25">
      <c r="A1381" t="s">
        <v>33</v>
      </c>
      <c r="B1381" s="93">
        <v>43483</v>
      </c>
      <c r="C1381" t="s">
        <v>2047</v>
      </c>
      <c r="D1381" s="5">
        <v>5.73</v>
      </c>
      <c r="E1381" t="s">
        <v>46</v>
      </c>
    </row>
    <row r="1382" spans="1:5" x14ac:dyDescent="0.25">
      <c r="A1382" t="s">
        <v>33</v>
      </c>
      <c r="B1382" s="93">
        <v>43483</v>
      </c>
      <c r="C1382" t="s">
        <v>2048</v>
      </c>
      <c r="D1382" s="5">
        <v>18.170000000000002</v>
      </c>
      <c r="E1382" t="s">
        <v>46</v>
      </c>
    </row>
    <row r="1383" spans="1:5" x14ac:dyDescent="0.25">
      <c r="A1383" t="s">
        <v>33</v>
      </c>
      <c r="B1383" s="93">
        <v>43483</v>
      </c>
      <c r="C1383" t="s">
        <v>2049</v>
      </c>
      <c r="D1383" s="5">
        <v>5.55</v>
      </c>
      <c r="E1383" t="s">
        <v>46</v>
      </c>
    </row>
    <row r="1384" spans="1:5" x14ac:dyDescent="0.25">
      <c r="A1384" t="s">
        <v>33</v>
      </c>
      <c r="B1384" s="93">
        <v>43483</v>
      </c>
      <c r="C1384" t="s">
        <v>2050</v>
      </c>
      <c r="D1384" s="5">
        <v>25.67</v>
      </c>
      <c r="E1384" t="s">
        <v>46</v>
      </c>
    </row>
    <row r="1385" spans="1:5" x14ac:dyDescent="0.25">
      <c r="A1385" t="s">
        <v>33</v>
      </c>
      <c r="B1385" s="93">
        <v>43482</v>
      </c>
      <c r="C1385" t="s">
        <v>659</v>
      </c>
      <c r="D1385" s="5">
        <v>29.99</v>
      </c>
      <c r="E1385" t="s">
        <v>46</v>
      </c>
    </row>
    <row r="1386" spans="1:5" x14ac:dyDescent="0.25">
      <c r="A1386" t="s">
        <v>33</v>
      </c>
      <c r="B1386" s="93">
        <v>43482</v>
      </c>
      <c r="C1386" t="s">
        <v>660</v>
      </c>
      <c r="D1386" s="5">
        <v>16.7</v>
      </c>
      <c r="E1386" t="s">
        <v>46</v>
      </c>
    </row>
    <row r="1387" spans="1:5" x14ac:dyDescent="0.25">
      <c r="A1387" t="s">
        <v>33</v>
      </c>
      <c r="B1387" s="93">
        <v>43482</v>
      </c>
      <c r="C1387" t="s">
        <v>2051</v>
      </c>
      <c r="D1387" s="5">
        <v>42.79</v>
      </c>
      <c r="E1387" t="s">
        <v>46</v>
      </c>
    </row>
    <row r="1388" spans="1:5" x14ac:dyDescent="0.25">
      <c r="A1388" t="s">
        <v>33</v>
      </c>
      <c r="B1388" s="93">
        <v>43482</v>
      </c>
      <c r="C1388" t="s">
        <v>2052</v>
      </c>
      <c r="D1388" s="5">
        <v>34.96</v>
      </c>
      <c r="E1388" t="s">
        <v>46</v>
      </c>
    </row>
    <row r="1389" spans="1:5" x14ac:dyDescent="0.25">
      <c r="A1389" t="s">
        <v>93</v>
      </c>
      <c r="B1389" s="93">
        <v>43482</v>
      </c>
      <c r="C1389" t="s">
        <v>2053</v>
      </c>
      <c r="D1389" s="5">
        <v>-350</v>
      </c>
      <c r="E1389" t="s">
        <v>95</v>
      </c>
    </row>
    <row r="1390" spans="1:5" x14ac:dyDescent="0.25">
      <c r="A1390" t="s">
        <v>33</v>
      </c>
      <c r="B1390" s="93">
        <v>43481</v>
      </c>
      <c r="C1390" t="s">
        <v>652</v>
      </c>
      <c r="D1390" s="5">
        <v>14.97</v>
      </c>
      <c r="E1390" t="s">
        <v>46</v>
      </c>
    </row>
    <row r="1391" spans="1:5" x14ac:dyDescent="0.25">
      <c r="A1391" t="s">
        <v>33</v>
      </c>
      <c r="B1391" s="93">
        <v>43481</v>
      </c>
      <c r="C1391" t="s">
        <v>2054</v>
      </c>
      <c r="D1391" s="5">
        <v>3.57</v>
      </c>
      <c r="E1391" t="s">
        <v>46</v>
      </c>
    </row>
    <row r="1392" spans="1:5" x14ac:dyDescent="0.25">
      <c r="A1392" t="s">
        <v>33</v>
      </c>
      <c r="B1392" s="93">
        <v>43480</v>
      </c>
      <c r="C1392" t="s">
        <v>647</v>
      </c>
      <c r="D1392" s="5">
        <v>-13.16</v>
      </c>
      <c r="E1392" t="s">
        <v>46</v>
      </c>
    </row>
    <row r="1393" spans="1:5" x14ac:dyDescent="0.25">
      <c r="A1393" t="s">
        <v>33</v>
      </c>
      <c r="B1393" s="93">
        <v>43479</v>
      </c>
      <c r="C1393" t="s">
        <v>648</v>
      </c>
      <c r="D1393" s="5">
        <v>19.760000000000002</v>
      </c>
      <c r="E1393" t="s">
        <v>46</v>
      </c>
    </row>
    <row r="1394" spans="1:5" x14ac:dyDescent="0.25">
      <c r="A1394" t="s">
        <v>33</v>
      </c>
      <c r="B1394" s="93">
        <v>43479</v>
      </c>
      <c r="C1394" t="s">
        <v>2055</v>
      </c>
      <c r="D1394" s="5">
        <v>20</v>
      </c>
      <c r="E1394" t="s">
        <v>46</v>
      </c>
    </row>
    <row r="1395" spans="1:5" x14ac:dyDescent="0.25">
      <c r="A1395" t="s">
        <v>33</v>
      </c>
      <c r="B1395" s="93">
        <v>43479</v>
      </c>
      <c r="C1395" t="s">
        <v>2056</v>
      </c>
      <c r="D1395" s="5">
        <v>2.41</v>
      </c>
      <c r="E1395" t="s">
        <v>46</v>
      </c>
    </row>
    <row r="1396" spans="1:5" x14ac:dyDescent="0.25">
      <c r="A1396" t="s">
        <v>33</v>
      </c>
      <c r="B1396" s="93">
        <v>43479</v>
      </c>
      <c r="C1396" t="s">
        <v>2057</v>
      </c>
      <c r="D1396" s="5">
        <v>25.19</v>
      </c>
      <c r="E1396" t="s">
        <v>46</v>
      </c>
    </row>
    <row r="1397" spans="1:5" x14ac:dyDescent="0.25">
      <c r="A1397" t="s">
        <v>33</v>
      </c>
      <c r="B1397" s="93">
        <v>43479</v>
      </c>
      <c r="C1397" t="s">
        <v>2058</v>
      </c>
      <c r="D1397" s="5">
        <v>2.41</v>
      </c>
      <c r="E1397" t="s">
        <v>46</v>
      </c>
    </row>
    <row r="1398" spans="1:5" x14ac:dyDescent="0.25">
      <c r="A1398" t="s">
        <v>33</v>
      </c>
      <c r="B1398" s="93">
        <v>43479</v>
      </c>
      <c r="C1398" t="s">
        <v>2059</v>
      </c>
      <c r="D1398" s="5">
        <v>20.149999999999999</v>
      </c>
      <c r="E1398" t="s">
        <v>46</v>
      </c>
    </row>
    <row r="1399" spans="1:5" x14ac:dyDescent="0.25">
      <c r="A1399" t="s">
        <v>33</v>
      </c>
      <c r="B1399" s="93">
        <v>43479</v>
      </c>
      <c r="C1399" t="s">
        <v>2060</v>
      </c>
      <c r="D1399" s="5">
        <v>3.58</v>
      </c>
      <c r="E1399" t="s">
        <v>46</v>
      </c>
    </row>
    <row r="1400" spans="1:5" x14ac:dyDescent="0.25">
      <c r="A1400" t="s">
        <v>33</v>
      </c>
      <c r="B1400" s="93">
        <v>43479</v>
      </c>
      <c r="C1400" t="s">
        <v>2061</v>
      </c>
      <c r="D1400" s="5">
        <v>17.98</v>
      </c>
      <c r="E1400" t="s">
        <v>46</v>
      </c>
    </row>
    <row r="1401" spans="1:5" x14ac:dyDescent="0.25">
      <c r="A1401" t="s">
        <v>33</v>
      </c>
      <c r="B1401" s="93">
        <v>43479</v>
      </c>
      <c r="C1401" t="s">
        <v>2062</v>
      </c>
      <c r="D1401" s="5">
        <v>72.8</v>
      </c>
      <c r="E1401" t="s">
        <v>46</v>
      </c>
    </row>
    <row r="1402" spans="1:5" x14ac:dyDescent="0.25">
      <c r="A1402" t="s">
        <v>33</v>
      </c>
      <c r="B1402" s="93">
        <v>43479</v>
      </c>
      <c r="C1402" t="s">
        <v>2063</v>
      </c>
      <c r="D1402" s="5">
        <v>17.98</v>
      </c>
      <c r="E1402" t="s">
        <v>46</v>
      </c>
    </row>
    <row r="1403" spans="1:5" x14ac:dyDescent="0.25">
      <c r="A1403" t="s">
        <v>33</v>
      </c>
      <c r="B1403" s="93">
        <v>43476</v>
      </c>
      <c r="C1403" t="s">
        <v>640</v>
      </c>
      <c r="D1403" s="5">
        <v>43</v>
      </c>
      <c r="E1403" t="s">
        <v>58</v>
      </c>
    </row>
    <row r="1404" spans="1:5" x14ac:dyDescent="0.25">
      <c r="A1404" t="s">
        <v>33</v>
      </c>
      <c r="B1404" s="93">
        <v>43476</v>
      </c>
      <c r="C1404" t="s">
        <v>641</v>
      </c>
      <c r="D1404" s="5">
        <v>26.28</v>
      </c>
      <c r="E1404" t="s">
        <v>46</v>
      </c>
    </row>
    <row r="1405" spans="1:5" x14ac:dyDescent="0.25">
      <c r="A1405" t="s">
        <v>33</v>
      </c>
      <c r="B1405" s="93">
        <v>43476</v>
      </c>
      <c r="C1405" t="s">
        <v>2064</v>
      </c>
      <c r="D1405" s="5">
        <v>2800</v>
      </c>
      <c r="E1405" t="s">
        <v>128</v>
      </c>
    </row>
    <row r="1406" spans="1:5" x14ac:dyDescent="0.25">
      <c r="A1406" t="s">
        <v>33</v>
      </c>
      <c r="B1406" s="93">
        <v>43476</v>
      </c>
      <c r="C1406" t="s">
        <v>642</v>
      </c>
      <c r="D1406" s="5">
        <v>34.799999999999997</v>
      </c>
      <c r="E1406" t="s">
        <v>46</v>
      </c>
    </row>
    <row r="1407" spans="1:5" x14ac:dyDescent="0.25">
      <c r="A1407" t="s">
        <v>49</v>
      </c>
      <c r="B1407" s="93">
        <v>43476</v>
      </c>
      <c r="C1407" t="s">
        <v>50</v>
      </c>
      <c r="D1407" s="5">
        <v>-3485.05</v>
      </c>
      <c r="E1407" t="s">
        <v>51</v>
      </c>
    </row>
    <row r="1408" spans="1:5" x14ac:dyDescent="0.25">
      <c r="A1408" t="s">
        <v>49</v>
      </c>
      <c r="B1408" s="93">
        <v>43476</v>
      </c>
      <c r="C1408" t="s">
        <v>643</v>
      </c>
      <c r="D1408" s="5">
        <v>-3</v>
      </c>
      <c r="E1408" t="s">
        <v>105</v>
      </c>
    </row>
    <row r="1409" spans="1:5" x14ac:dyDescent="0.25">
      <c r="A1409" t="s">
        <v>33</v>
      </c>
      <c r="B1409" s="93">
        <v>43475</v>
      </c>
      <c r="C1409" t="s">
        <v>2065</v>
      </c>
      <c r="D1409" s="5">
        <v>8.01</v>
      </c>
      <c r="E1409" t="s">
        <v>46</v>
      </c>
    </row>
    <row r="1410" spans="1:5" x14ac:dyDescent="0.25">
      <c r="A1410" t="s">
        <v>33</v>
      </c>
      <c r="B1410" s="93">
        <v>43475</v>
      </c>
      <c r="C1410" t="s">
        <v>2066</v>
      </c>
      <c r="D1410" s="5">
        <v>12.84</v>
      </c>
      <c r="E1410" t="s">
        <v>46</v>
      </c>
    </row>
    <row r="1411" spans="1:5" x14ac:dyDescent="0.25">
      <c r="A1411" t="s">
        <v>33</v>
      </c>
      <c r="B1411" s="93">
        <v>43475</v>
      </c>
      <c r="C1411" t="s">
        <v>2067</v>
      </c>
      <c r="D1411" s="5">
        <v>17.98</v>
      </c>
      <c r="E1411" t="s">
        <v>46</v>
      </c>
    </row>
    <row r="1412" spans="1:5" x14ac:dyDescent="0.25">
      <c r="A1412" t="s">
        <v>33</v>
      </c>
      <c r="B1412" s="93">
        <v>43474</v>
      </c>
      <c r="C1412" t="s">
        <v>633</v>
      </c>
      <c r="D1412" s="5">
        <v>27.3</v>
      </c>
      <c r="E1412" t="s">
        <v>46</v>
      </c>
    </row>
    <row r="1413" spans="1:5" x14ac:dyDescent="0.25">
      <c r="A1413" t="s">
        <v>33</v>
      </c>
      <c r="B1413" s="93">
        <v>43474</v>
      </c>
      <c r="C1413" t="s">
        <v>634</v>
      </c>
      <c r="D1413" s="5">
        <v>34</v>
      </c>
      <c r="E1413" t="s">
        <v>46</v>
      </c>
    </row>
    <row r="1414" spans="1:5" x14ac:dyDescent="0.25">
      <c r="A1414" t="s">
        <v>33</v>
      </c>
      <c r="B1414" s="93">
        <v>43474</v>
      </c>
      <c r="C1414" t="s">
        <v>2068</v>
      </c>
      <c r="D1414" s="5">
        <v>18.760000000000002</v>
      </c>
      <c r="E1414" t="s">
        <v>46</v>
      </c>
    </row>
    <row r="1415" spans="1:5" x14ac:dyDescent="0.25">
      <c r="A1415" t="s">
        <v>33</v>
      </c>
      <c r="B1415" s="93">
        <v>43474</v>
      </c>
      <c r="C1415" t="s">
        <v>2069</v>
      </c>
      <c r="D1415" s="5">
        <v>11.99</v>
      </c>
      <c r="E1415" t="s">
        <v>46</v>
      </c>
    </row>
    <row r="1416" spans="1:5" x14ac:dyDescent="0.25">
      <c r="A1416" t="s">
        <v>33</v>
      </c>
      <c r="B1416" s="93">
        <v>43474</v>
      </c>
      <c r="C1416" t="s">
        <v>2070</v>
      </c>
      <c r="D1416" s="5">
        <v>12.84</v>
      </c>
      <c r="E1416" t="s">
        <v>46</v>
      </c>
    </row>
    <row r="1417" spans="1:5" x14ac:dyDescent="0.25">
      <c r="A1417" t="s">
        <v>49</v>
      </c>
      <c r="B1417" s="93">
        <v>43474</v>
      </c>
      <c r="C1417" t="s">
        <v>2071</v>
      </c>
      <c r="D1417" s="5">
        <v>-500</v>
      </c>
      <c r="E1417" t="s">
        <v>128</v>
      </c>
    </row>
    <row r="1418" spans="1:5" x14ac:dyDescent="0.25">
      <c r="A1418" t="s">
        <v>33</v>
      </c>
      <c r="B1418" s="93">
        <v>43473</v>
      </c>
      <c r="C1418" t="s">
        <v>724</v>
      </c>
      <c r="D1418" s="5">
        <v>40.04</v>
      </c>
      <c r="E1418" t="s">
        <v>107</v>
      </c>
    </row>
    <row r="1419" spans="1:5" x14ac:dyDescent="0.25">
      <c r="A1419" t="s">
        <v>33</v>
      </c>
      <c r="B1419" s="93">
        <v>43473</v>
      </c>
      <c r="C1419" t="s">
        <v>2072</v>
      </c>
      <c r="D1419" s="5">
        <v>31.98</v>
      </c>
      <c r="E1419" t="s">
        <v>46</v>
      </c>
    </row>
    <row r="1420" spans="1:5" x14ac:dyDescent="0.25">
      <c r="A1420" t="s">
        <v>33</v>
      </c>
      <c r="B1420" s="93">
        <v>43472</v>
      </c>
      <c r="C1420" t="s">
        <v>2073</v>
      </c>
      <c r="D1420" s="5">
        <v>19.98</v>
      </c>
      <c r="E1420" t="s">
        <v>46</v>
      </c>
    </row>
    <row r="1421" spans="1:5" x14ac:dyDescent="0.25">
      <c r="A1421" t="s">
        <v>33</v>
      </c>
      <c r="B1421" s="93">
        <v>43472</v>
      </c>
      <c r="C1421" t="s">
        <v>364</v>
      </c>
      <c r="D1421" s="5">
        <v>299</v>
      </c>
      <c r="E1421" t="s">
        <v>107</v>
      </c>
    </row>
    <row r="1422" spans="1:5" x14ac:dyDescent="0.25">
      <c r="A1422" t="s">
        <v>33</v>
      </c>
      <c r="B1422" s="93">
        <v>43472</v>
      </c>
      <c r="C1422" t="s">
        <v>2074</v>
      </c>
      <c r="D1422" s="5">
        <v>30.96</v>
      </c>
      <c r="E1422" t="s">
        <v>46</v>
      </c>
    </row>
    <row r="1423" spans="1:5" x14ac:dyDescent="0.25">
      <c r="A1423" t="s">
        <v>33</v>
      </c>
      <c r="B1423" s="93">
        <v>43472</v>
      </c>
      <c r="C1423" t="s">
        <v>2075</v>
      </c>
      <c r="D1423" s="5">
        <v>8.66</v>
      </c>
      <c r="E1423" t="s">
        <v>46</v>
      </c>
    </row>
    <row r="1424" spans="1:5" x14ac:dyDescent="0.25">
      <c r="A1424" t="s">
        <v>33</v>
      </c>
      <c r="B1424" s="93">
        <v>43472</v>
      </c>
      <c r="C1424" t="s">
        <v>2076</v>
      </c>
      <c r="D1424" s="5">
        <v>6.24</v>
      </c>
      <c r="E1424" t="s">
        <v>46</v>
      </c>
    </row>
    <row r="1425" spans="1:5" x14ac:dyDescent="0.25">
      <c r="A1425" t="s">
        <v>33</v>
      </c>
      <c r="B1425" s="93">
        <v>43472</v>
      </c>
      <c r="C1425" t="s">
        <v>2077</v>
      </c>
      <c r="D1425" s="5">
        <v>2.2999999999999998</v>
      </c>
      <c r="E1425" t="s">
        <v>46</v>
      </c>
    </row>
    <row r="1426" spans="1:5" x14ac:dyDescent="0.25">
      <c r="A1426" t="s">
        <v>33</v>
      </c>
      <c r="B1426" s="93">
        <v>43472</v>
      </c>
      <c r="C1426" t="s">
        <v>2078</v>
      </c>
      <c r="D1426" s="5">
        <v>5.94</v>
      </c>
      <c r="E1426" t="s">
        <v>46</v>
      </c>
    </row>
    <row r="1427" spans="1:5" x14ac:dyDescent="0.25">
      <c r="A1427" t="s">
        <v>33</v>
      </c>
      <c r="B1427" s="93">
        <v>43472</v>
      </c>
      <c r="C1427" t="s">
        <v>2079</v>
      </c>
      <c r="D1427" s="5">
        <v>46.59</v>
      </c>
      <c r="E1427" t="s">
        <v>46</v>
      </c>
    </row>
    <row r="1428" spans="1:5" x14ac:dyDescent="0.25">
      <c r="A1428" t="s">
        <v>33</v>
      </c>
      <c r="B1428" s="93">
        <v>43472</v>
      </c>
      <c r="C1428" t="s">
        <v>2080</v>
      </c>
      <c r="D1428" s="5">
        <v>10.17</v>
      </c>
      <c r="E1428" t="s">
        <v>46</v>
      </c>
    </row>
    <row r="1429" spans="1:5" x14ac:dyDescent="0.25">
      <c r="A1429" t="s">
        <v>33</v>
      </c>
      <c r="B1429" s="93">
        <v>43472</v>
      </c>
      <c r="C1429" t="s">
        <v>2081</v>
      </c>
      <c r="D1429" s="5">
        <v>27.99</v>
      </c>
      <c r="E1429" t="s">
        <v>46</v>
      </c>
    </row>
    <row r="1430" spans="1:5" x14ac:dyDescent="0.25">
      <c r="A1430" t="s">
        <v>33</v>
      </c>
      <c r="B1430" s="93">
        <v>43472</v>
      </c>
      <c r="C1430" t="s">
        <v>2082</v>
      </c>
      <c r="D1430" s="5">
        <v>25.01</v>
      </c>
      <c r="E1430" t="s">
        <v>46</v>
      </c>
    </row>
    <row r="1431" spans="1:5" x14ac:dyDescent="0.25">
      <c r="A1431" t="s">
        <v>33</v>
      </c>
      <c r="B1431" s="93">
        <v>43472</v>
      </c>
      <c r="C1431" t="s">
        <v>2083</v>
      </c>
      <c r="D1431" s="5">
        <v>60</v>
      </c>
      <c r="E1431" t="s">
        <v>58</v>
      </c>
    </row>
    <row r="1432" spans="1:5" x14ac:dyDescent="0.25">
      <c r="A1432" t="s">
        <v>33</v>
      </c>
      <c r="B1432" s="93">
        <v>43472</v>
      </c>
      <c r="C1432" t="s">
        <v>2084</v>
      </c>
      <c r="D1432" s="5">
        <v>16.98</v>
      </c>
      <c r="E1432" t="s">
        <v>46</v>
      </c>
    </row>
    <row r="1433" spans="1:5" x14ac:dyDescent="0.25">
      <c r="A1433" t="s">
        <v>33</v>
      </c>
      <c r="B1433" s="93">
        <v>43472</v>
      </c>
      <c r="C1433" t="s">
        <v>2085</v>
      </c>
      <c r="D1433" s="5">
        <v>38.03</v>
      </c>
      <c r="E1433" t="s">
        <v>46</v>
      </c>
    </row>
    <row r="1434" spans="1:5" x14ac:dyDescent="0.25">
      <c r="A1434" t="s">
        <v>33</v>
      </c>
      <c r="B1434" s="93">
        <v>43469</v>
      </c>
      <c r="C1434" t="s">
        <v>627</v>
      </c>
      <c r="D1434" s="5">
        <v>34.5</v>
      </c>
      <c r="E1434" t="s">
        <v>46</v>
      </c>
    </row>
    <row r="1435" spans="1:5" x14ac:dyDescent="0.25">
      <c r="A1435" t="s">
        <v>33</v>
      </c>
      <c r="B1435" s="93">
        <v>43469</v>
      </c>
      <c r="C1435" t="s">
        <v>2086</v>
      </c>
      <c r="D1435" s="5">
        <v>1225</v>
      </c>
      <c r="E1435" t="s">
        <v>35</v>
      </c>
    </row>
    <row r="1436" spans="1:5" x14ac:dyDescent="0.25">
      <c r="A1436" t="s">
        <v>33</v>
      </c>
      <c r="B1436" s="93">
        <v>43468</v>
      </c>
      <c r="C1436" t="s">
        <v>616</v>
      </c>
      <c r="D1436" s="5">
        <v>11.95</v>
      </c>
      <c r="E1436" t="s">
        <v>46</v>
      </c>
    </row>
    <row r="1437" spans="1:5" x14ac:dyDescent="0.25">
      <c r="A1437" t="s">
        <v>33</v>
      </c>
      <c r="B1437" s="93">
        <v>43468</v>
      </c>
      <c r="C1437" t="s">
        <v>2087</v>
      </c>
      <c r="D1437" s="5">
        <v>65</v>
      </c>
      <c r="E1437" t="s">
        <v>46</v>
      </c>
    </row>
    <row r="1438" spans="1:5" x14ac:dyDescent="0.25">
      <c r="A1438" t="s">
        <v>33</v>
      </c>
      <c r="B1438" s="93">
        <v>43468</v>
      </c>
      <c r="C1438" t="s">
        <v>617</v>
      </c>
      <c r="D1438" s="5">
        <v>71.819999999999993</v>
      </c>
      <c r="E1438" t="s">
        <v>46</v>
      </c>
    </row>
    <row r="1439" spans="1:5" x14ac:dyDescent="0.25">
      <c r="A1439" t="s">
        <v>33</v>
      </c>
      <c r="B1439" s="93">
        <v>43468</v>
      </c>
      <c r="C1439" t="s">
        <v>377</v>
      </c>
      <c r="D1439" s="5">
        <v>828.15</v>
      </c>
      <c r="E1439" t="s">
        <v>107</v>
      </c>
    </row>
    <row r="1440" spans="1:5" x14ac:dyDescent="0.25">
      <c r="A1440" t="s">
        <v>33</v>
      </c>
      <c r="B1440" s="93">
        <v>43468</v>
      </c>
      <c r="C1440" t="s">
        <v>618</v>
      </c>
      <c r="D1440" s="5">
        <v>5.19</v>
      </c>
      <c r="E1440" t="s">
        <v>46</v>
      </c>
    </row>
    <row r="1441" spans="1:5" x14ac:dyDescent="0.25">
      <c r="A1441" t="s">
        <v>33</v>
      </c>
      <c r="B1441" s="93">
        <v>43467</v>
      </c>
      <c r="C1441" t="s">
        <v>2088</v>
      </c>
      <c r="D1441" s="5">
        <v>2.41</v>
      </c>
      <c r="E1441" t="s">
        <v>46</v>
      </c>
    </row>
    <row r="1442" spans="1:5" x14ac:dyDescent="0.25">
      <c r="A1442" t="s">
        <v>33</v>
      </c>
      <c r="B1442" s="93">
        <v>43467</v>
      </c>
      <c r="C1442" t="s">
        <v>2089</v>
      </c>
      <c r="D1442" s="5">
        <v>14.25</v>
      </c>
      <c r="E1442" t="s">
        <v>46</v>
      </c>
    </row>
    <row r="1443" spans="1:5" x14ac:dyDescent="0.25">
      <c r="A1443" t="s">
        <v>33</v>
      </c>
      <c r="B1443" s="93">
        <v>43467</v>
      </c>
      <c r="C1443" t="s">
        <v>2090</v>
      </c>
      <c r="D1443" s="5">
        <v>6.9</v>
      </c>
      <c r="E1443" t="s">
        <v>46</v>
      </c>
    </row>
    <row r="1444" spans="1:5" x14ac:dyDescent="0.25">
      <c r="A1444" t="s">
        <v>33</v>
      </c>
      <c r="B1444" s="93">
        <v>43467</v>
      </c>
      <c r="C1444" t="s">
        <v>2091</v>
      </c>
      <c r="D1444" s="5">
        <v>30.04</v>
      </c>
      <c r="E1444" t="s">
        <v>46</v>
      </c>
    </row>
    <row r="1445" spans="1:5" x14ac:dyDescent="0.25">
      <c r="A1445" t="s">
        <v>33</v>
      </c>
      <c r="B1445" s="93">
        <v>43467</v>
      </c>
      <c r="C1445" t="s">
        <v>2092</v>
      </c>
      <c r="D1445" s="5">
        <v>8.57</v>
      </c>
      <c r="E1445" t="s">
        <v>46</v>
      </c>
    </row>
    <row r="1446" spans="1:5" x14ac:dyDescent="0.25">
      <c r="A1446" t="s">
        <v>33</v>
      </c>
      <c r="B1446" s="93">
        <v>43467</v>
      </c>
      <c r="C1446" t="s">
        <v>2093</v>
      </c>
      <c r="D1446" s="5">
        <v>72</v>
      </c>
      <c r="E1446" t="s">
        <v>46</v>
      </c>
    </row>
    <row r="1447" spans="1:5" x14ac:dyDescent="0.25">
      <c r="A1447" t="s">
        <v>49</v>
      </c>
      <c r="B1447" s="93">
        <v>43465</v>
      </c>
      <c r="C1447" t="s">
        <v>104</v>
      </c>
      <c r="D1447" s="5">
        <v>-0.01</v>
      </c>
      <c r="E1447" t="s">
        <v>105</v>
      </c>
    </row>
    <row r="1448" spans="1:5" x14ac:dyDescent="0.25">
      <c r="A1448" t="s">
        <v>33</v>
      </c>
      <c r="B1448" s="93">
        <v>43465</v>
      </c>
      <c r="C1448" t="s">
        <v>2094</v>
      </c>
      <c r="D1448" s="5">
        <v>21.39</v>
      </c>
      <c r="E1448" t="s">
        <v>46</v>
      </c>
    </row>
    <row r="1449" spans="1:5" x14ac:dyDescent="0.25">
      <c r="A1449" t="s">
        <v>33</v>
      </c>
      <c r="B1449" s="93">
        <v>43465</v>
      </c>
      <c r="C1449" t="s">
        <v>106</v>
      </c>
      <c r="D1449" s="5">
        <v>437.54</v>
      </c>
      <c r="E1449" t="s">
        <v>107</v>
      </c>
    </row>
    <row r="1450" spans="1:5" x14ac:dyDescent="0.25">
      <c r="A1450" t="s">
        <v>33</v>
      </c>
      <c r="B1450" s="93">
        <v>43465</v>
      </c>
      <c r="C1450" t="s">
        <v>2095</v>
      </c>
      <c r="D1450" s="5">
        <v>23.13</v>
      </c>
      <c r="E1450" t="s">
        <v>46</v>
      </c>
    </row>
    <row r="1451" spans="1:5" x14ac:dyDescent="0.25">
      <c r="A1451" t="s">
        <v>33</v>
      </c>
      <c r="B1451" s="93">
        <v>43465</v>
      </c>
      <c r="C1451" t="s">
        <v>2096</v>
      </c>
      <c r="D1451" s="5">
        <v>8.91</v>
      </c>
      <c r="E1451" t="s">
        <v>46</v>
      </c>
    </row>
    <row r="1452" spans="1:5" x14ac:dyDescent="0.25">
      <c r="A1452" t="s">
        <v>33</v>
      </c>
      <c r="B1452" s="93">
        <v>43465</v>
      </c>
      <c r="C1452" t="s">
        <v>2097</v>
      </c>
      <c r="D1452" s="5">
        <v>7.49</v>
      </c>
      <c r="E1452" t="s">
        <v>46</v>
      </c>
    </row>
    <row r="1453" spans="1:5" x14ac:dyDescent="0.25">
      <c r="A1453" t="s">
        <v>33</v>
      </c>
      <c r="B1453" s="93">
        <v>43465</v>
      </c>
      <c r="C1453" t="s">
        <v>2098</v>
      </c>
      <c r="D1453" s="5">
        <v>9.9700000000000006</v>
      </c>
      <c r="E1453" t="s">
        <v>46</v>
      </c>
    </row>
    <row r="1454" spans="1:5" x14ac:dyDescent="0.25">
      <c r="A1454" t="s">
        <v>33</v>
      </c>
      <c r="B1454" s="93">
        <v>43465</v>
      </c>
      <c r="C1454" t="s">
        <v>2099</v>
      </c>
      <c r="D1454" s="5">
        <v>50.07</v>
      </c>
      <c r="E1454" t="s">
        <v>46</v>
      </c>
    </row>
    <row r="1455" spans="1:5" x14ac:dyDescent="0.25">
      <c r="A1455" t="s">
        <v>33</v>
      </c>
      <c r="B1455" s="93">
        <v>43465</v>
      </c>
      <c r="C1455" t="s">
        <v>2100</v>
      </c>
      <c r="D1455" s="5">
        <v>6.76</v>
      </c>
      <c r="E1455" t="s">
        <v>46</v>
      </c>
    </row>
    <row r="1456" spans="1:5" x14ac:dyDescent="0.25">
      <c r="A1456" t="s">
        <v>33</v>
      </c>
      <c r="B1456" s="93">
        <v>43465</v>
      </c>
      <c r="C1456" t="s">
        <v>2101</v>
      </c>
      <c r="D1456" s="5">
        <v>20.13</v>
      </c>
      <c r="E1456" t="s">
        <v>46</v>
      </c>
    </row>
    <row r="1457" spans="1:5" x14ac:dyDescent="0.25">
      <c r="A1457" t="s">
        <v>33</v>
      </c>
      <c r="B1457" s="93">
        <v>43465</v>
      </c>
      <c r="C1457" t="s">
        <v>2102</v>
      </c>
      <c r="D1457" s="5">
        <v>20.329999999999998</v>
      </c>
      <c r="E1457" t="s">
        <v>46</v>
      </c>
    </row>
    <row r="1458" spans="1:5" x14ac:dyDescent="0.25">
      <c r="A1458" t="s">
        <v>33</v>
      </c>
      <c r="B1458" s="93">
        <v>43465</v>
      </c>
      <c r="C1458" t="s">
        <v>2103</v>
      </c>
      <c r="D1458" s="5">
        <v>21.39</v>
      </c>
      <c r="E1458" t="s">
        <v>46</v>
      </c>
    </row>
    <row r="1459" spans="1:5" x14ac:dyDescent="0.25">
      <c r="A1459" t="s">
        <v>33</v>
      </c>
      <c r="B1459" s="93">
        <v>43465</v>
      </c>
      <c r="C1459" t="s">
        <v>2104</v>
      </c>
      <c r="D1459" s="5">
        <v>8.56</v>
      </c>
      <c r="E1459" t="s">
        <v>46</v>
      </c>
    </row>
    <row r="1460" spans="1:5" x14ac:dyDescent="0.25">
      <c r="A1460" t="s">
        <v>33</v>
      </c>
      <c r="B1460" s="93">
        <v>43465</v>
      </c>
      <c r="C1460" t="s">
        <v>2105</v>
      </c>
      <c r="D1460" s="5">
        <v>5.94</v>
      </c>
      <c r="E1460" t="s">
        <v>46</v>
      </c>
    </row>
    <row r="1461" spans="1:5" x14ac:dyDescent="0.25">
      <c r="A1461" t="s">
        <v>33</v>
      </c>
      <c r="B1461" s="93">
        <v>43465</v>
      </c>
      <c r="C1461" t="s">
        <v>2106</v>
      </c>
      <c r="D1461" s="5">
        <v>10.49</v>
      </c>
      <c r="E1461" t="s">
        <v>46</v>
      </c>
    </row>
    <row r="1462" spans="1:5" x14ac:dyDescent="0.25">
      <c r="A1462" t="s">
        <v>33</v>
      </c>
      <c r="B1462" s="93">
        <v>43465</v>
      </c>
      <c r="C1462" t="s">
        <v>2107</v>
      </c>
      <c r="D1462" s="5">
        <v>31.75</v>
      </c>
      <c r="E1462" t="s">
        <v>46</v>
      </c>
    </row>
    <row r="1463" spans="1:5" x14ac:dyDescent="0.25">
      <c r="A1463" t="s">
        <v>33</v>
      </c>
      <c r="B1463" s="93">
        <v>43465</v>
      </c>
      <c r="C1463" t="s">
        <v>2108</v>
      </c>
      <c r="D1463" s="5">
        <v>6.78</v>
      </c>
      <c r="E1463" t="s">
        <v>46</v>
      </c>
    </row>
    <row r="1464" spans="1:5" x14ac:dyDescent="0.25">
      <c r="A1464" t="s">
        <v>33</v>
      </c>
      <c r="B1464" s="93">
        <v>43465</v>
      </c>
      <c r="C1464" t="s">
        <v>2109</v>
      </c>
      <c r="D1464" s="5">
        <v>8.18</v>
      </c>
      <c r="E1464" t="s">
        <v>46</v>
      </c>
    </row>
    <row r="1465" spans="1:5" x14ac:dyDescent="0.25">
      <c r="A1465" t="s">
        <v>33</v>
      </c>
      <c r="B1465" s="93">
        <v>43465</v>
      </c>
      <c r="C1465" t="s">
        <v>2110</v>
      </c>
      <c r="D1465" s="5">
        <v>47.05</v>
      </c>
      <c r="E1465" t="s">
        <v>46</v>
      </c>
    </row>
    <row r="1466" spans="1:5" x14ac:dyDescent="0.25">
      <c r="A1466" t="s">
        <v>33</v>
      </c>
      <c r="B1466" s="93">
        <v>43465</v>
      </c>
      <c r="C1466" t="s">
        <v>2111</v>
      </c>
      <c r="D1466" s="5">
        <v>5.19</v>
      </c>
      <c r="E1466" t="s">
        <v>46</v>
      </c>
    </row>
    <row r="1467" spans="1:5" x14ac:dyDescent="0.25">
      <c r="A1467" t="s">
        <v>33</v>
      </c>
      <c r="B1467" s="93">
        <v>43465</v>
      </c>
      <c r="C1467" t="s">
        <v>2112</v>
      </c>
      <c r="D1467" s="5">
        <v>17.98</v>
      </c>
      <c r="E1467" t="s">
        <v>46</v>
      </c>
    </row>
    <row r="1468" spans="1:5" x14ac:dyDescent="0.25">
      <c r="A1468" t="s">
        <v>33</v>
      </c>
      <c r="B1468" s="93">
        <v>43462</v>
      </c>
      <c r="C1468" t="s">
        <v>2113</v>
      </c>
      <c r="D1468" s="5">
        <v>3.98</v>
      </c>
      <c r="E1468" t="s">
        <v>46</v>
      </c>
    </row>
    <row r="1469" spans="1:5" x14ac:dyDescent="0.25">
      <c r="A1469" t="s">
        <v>33</v>
      </c>
      <c r="B1469" s="93">
        <v>43462</v>
      </c>
      <c r="C1469" t="s">
        <v>2114</v>
      </c>
      <c r="D1469" s="5">
        <v>30.04</v>
      </c>
      <c r="E1469" t="s">
        <v>46</v>
      </c>
    </row>
    <row r="1470" spans="1:5" x14ac:dyDescent="0.25">
      <c r="A1470" t="s">
        <v>33</v>
      </c>
      <c r="B1470" s="93">
        <v>43462</v>
      </c>
      <c r="C1470" t="s">
        <v>2115</v>
      </c>
      <c r="D1470" s="5">
        <v>24.57</v>
      </c>
      <c r="E1470" t="s">
        <v>46</v>
      </c>
    </row>
    <row r="1471" spans="1:5" x14ac:dyDescent="0.25">
      <c r="A1471" t="s">
        <v>33</v>
      </c>
      <c r="B1471" s="93">
        <v>43462</v>
      </c>
      <c r="C1471" t="s">
        <v>2116</v>
      </c>
      <c r="D1471" s="5">
        <v>2.97</v>
      </c>
      <c r="E1471" t="s">
        <v>46</v>
      </c>
    </row>
    <row r="1472" spans="1:5" x14ac:dyDescent="0.25">
      <c r="A1472" t="s">
        <v>33</v>
      </c>
      <c r="B1472" s="93">
        <v>43462</v>
      </c>
      <c r="C1472" t="s">
        <v>2117</v>
      </c>
      <c r="D1472" s="5">
        <v>14.49</v>
      </c>
      <c r="E1472" t="s">
        <v>46</v>
      </c>
    </row>
    <row r="1473" spans="1:5" x14ac:dyDescent="0.25">
      <c r="A1473" t="s">
        <v>49</v>
      </c>
      <c r="B1473" s="93">
        <v>43462</v>
      </c>
      <c r="C1473" t="s">
        <v>50</v>
      </c>
      <c r="D1473" s="5">
        <v>-3493.84</v>
      </c>
      <c r="E1473" t="s">
        <v>51</v>
      </c>
    </row>
    <row r="1474" spans="1:5" x14ac:dyDescent="0.25">
      <c r="A1474" t="s">
        <v>33</v>
      </c>
      <c r="B1474" s="93">
        <v>43461</v>
      </c>
      <c r="C1474" t="s">
        <v>2118</v>
      </c>
      <c r="D1474" s="5">
        <v>12.95</v>
      </c>
      <c r="E1474" t="s">
        <v>46</v>
      </c>
    </row>
    <row r="1475" spans="1:5" x14ac:dyDescent="0.25">
      <c r="A1475" t="s">
        <v>33</v>
      </c>
      <c r="B1475" s="93">
        <v>43461</v>
      </c>
      <c r="C1475" t="s">
        <v>2119</v>
      </c>
      <c r="D1475" s="5">
        <v>5.85</v>
      </c>
      <c r="E1475" t="s">
        <v>46</v>
      </c>
    </row>
    <row r="1476" spans="1:5" x14ac:dyDescent="0.25">
      <c r="A1476" t="s">
        <v>33</v>
      </c>
      <c r="B1476" s="93">
        <v>43460</v>
      </c>
      <c r="C1476" t="s">
        <v>2120</v>
      </c>
      <c r="D1476" s="5">
        <v>41.79</v>
      </c>
      <c r="E1476" t="s">
        <v>46</v>
      </c>
    </row>
    <row r="1477" spans="1:5" x14ac:dyDescent="0.25">
      <c r="A1477" t="s">
        <v>33</v>
      </c>
      <c r="B1477" s="93">
        <v>43460</v>
      </c>
      <c r="C1477" t="s">
        <v>2121</v>
      </c>
      <c r="D1477" s="5">
        <v>17.25</v>
      </c>
      <c r="E1477" t="s">
        <v>46</v>
      </c>
    </row>
    <row r="1478" spans="1:5" x14ac:dyDescent="0.25">
      <c r="A1478" t="s">
        <v>33</v>
      </c>
      <c r="B1478" s="93">
        <v>43460</v>
      </c>
      <c r="C1478" t="s">
        <v>2122</v>
      </c>
      <c r="D1478" s="5">
        <v>3.48</v>
      </c>
      <c r="E1478" t="s">
        <v>46</v>
      </c>
    </row>
    <row r="1479" spans="1:5" x14ac:dyDescent="0.25">
      <c r="A1479" t="s">
        <v>33</v>
      </c>
      <c r="B1479" s="93">
        <v>43460</v>
      </c>
      <c r="C1479" t="s">
        <v>2123</v>
      </c>
      <c r="D1479" s="5">
        <v>20</v>
      </c>
      <c r="E1479" t="s">
        <v>46</v>
      </c>
    </row>
    <row r="1480" spans="1:5" x14ac:dyDescent="0.25">
      <c r="A1480" t="s">
        <v>33</v>
      </c>
      <c r="B1480" s="93">
        <v>43460</v>
      </c>
      <c r="C1480" t="s">
        <v>2124</v>
      </c>
      <c r="D1480" s="5">
        <v>25.15</v>
      </c>
      <c r="E1480" t="s">
        <v>46</v>
      </c>
    </row>
    <row r="1481" spans="1:5" x14ac:dyDescent="0.25">
      <c r="A1481" t="s">
        <v>49</v>
      </c>
      <c r="B1481" s="93">
        <v>43460</v>
      </c>
      <c r="C1481" t="s">
        <v>2125</v>
      </c>
      <c r="D1481" s="5">
        <v>-400</v>
      </c>
      <c r="E1481" t="s">
        <v>128</v>
      </c>
    </row>
    <row r="1482" spans="1:5" x14ac:dyDescent="0.25">
      <c r="A1482" t="s">
        <v>33</v>
      </c>
      <c r="B1482" s="93">
        <v>43458</v>
      </c>
      <c r="C1482" t="s">
        <v>2126</v>
      </c>
      <c r="D1482" s="5">
        <v>6.42</v>
      </c>
      <c r="E1482" t="s">
        <v>46</v>
      </c>
    </row>
    <row r="1483" spans="1:5" x14ac:dyDescent="0.25">
      <c r="A1483" t="s">
        <v>33</v>
      </c>
      <c r="B1483" s="93">
        <v>43458</v>
      </c>
      <c r="C1483" t="s">
        <v>2127</v>
      </c>
      <c r="D1483" s="5">
        <v>17.11</v>
      </c>
      <c r="E1483" t="s">
        <v>46</v>
      </c>
    </row>
    <row r="1484" spans="1:5" x14ac:dyDescent="0.25">
      <c r="A1484" t="s">
        <v>33</v>
      </c>
      <c r="B1484" s="93">
        <v>43458</v>
      </c>
      <c r="C1484" t="s">
        <v>2128</v>
      </c>
      <c r="D1484" s="5">
        <v>5.94</v>
      </c>
      <c r="E1484" t="s">
        <v>46</v>
      </c>
    </row>
    <row r="1485" spans="1:5" x14ac:dyDescent="0.25">
      <c r="A1485" t="s">
        <v>33</v>
      </c>
      <c r="B1485" s="93">
        <v>43458</v>
      </c>
      <c r="C1485" t="s">
        <v>2129</v>
      </c>
      <c r="D1485" s="5">
        <v>12.42</v>
      </c>
      <c r="E1485" t="s">
        <v>46</v>
      </c>
    </row>
    <row r="1486" spans="1:5" x14ac:dyDescent="0.25">
      <c r="A1486" t="s">
        <v>33</v>
      </c>
      <c r="B1486" s="93">
        <v>43458</v>
      </c>
      <c r="C1486" t="s">
        <v>2130</v>
      </c>
      <c r="D1486" s="5">
        <v>31.53</v>
      </c>
      <c r="E1486" t="s">
        <v>46</v>
      </c>
    </row>
    <row r="1487" spans="1:5" x14ac:dyDescent="0.25">
      <c r="A1487" t="s">
        <v>33</v>
      </c>
      <c r="B1487" s="93">
        <v>43458</v>
      </c>
      <c r="C1487" t="s">
        <v>2131</v>
      </c>
      <c r="D1487" s="5">
        <v>2.99</v>
      </c>
      <c r="E1487" t="s">
        <v>46</v>
      </c>
    </row>
    <row r="1488" spans="1:5" x14ac:dyDescent="0.25">
      <c r="A1488" t="s">
        <v>33</v>
      </c>
      <c r="B1488" s="93">
        <v>43458</v>
      </c>
      <c r="C1488" t="s">
        <v>2132</v>
      </c>
      <c r="D1488" s="5">
        <v>8.99</v>
      </c>
      <c r="E1488" t="s">
        <v>46</v>
      </c>
    </row>
    <row r="1489" spans="1:5" x14ac:dyDescent="0.25">
      <c r="A1489" t="s">
        <v>33</v>
      </c>
      <c r="B1489" s="93">
        <v>43458</v>
      </c>
      <c r="C1489" t="s">
        <v>2132</v>
      </c>
      <c r="D1489" s="5">
        <v>12.98</v>
      </c>
      <c r="E1489" t="s">
        <v>46</v>
      </c>
    </row>
    <row r="1490" spans="1:5" x14ac:dyDescent="0.25">
      <c r="A1490" t="s">
        <v>33</v>
      </c>
      <c r="B1490" s="93">
        <v>43458</v>
      </c>
      <c r="C1490" t="s">
        <v>2133</v>
      </c>
      <c r="D1490" s="5">
        <v>24.32</v>
      </c>
      <c r="E1490" t="s">
        <v>46</v>
      </c>
    </row>
    <row r="1491" spans="1:5" x14ac:dyDescent="0.25">
      <c r="A1491" t="s">
        <v>33</v>
      </c>
      <c r="B1491" s="93">
        <v>43458</v>
      </c>
      <c r="C1491" t="s">
        <v>2134</v>
      </c>
      <c r="D1491" s="5">
        <v>25</v>
      </c>
      <c r="E1491" t="s">
        <v>46</v>
      </c>
    </row>
    <row r="1492" spans="1:5" x14ac:dyDescent="0.25">
      <c r="A1492" t="s">
        <v>33</v>
      </c>
      <c r="B1492" s="93">
        <v>43458</v>
      </c>
      <c r="C1492" t="s">
        <v>2135</v>
      </c>
      <c r="D1492" s="5">
        <v>24</v>
      </c>
      <c r="E1492" t="s">
        <v>46</v>
      </c>
    </row>
    <row r="1493" spans="1:5" x14ac:dyDescent="0.25">
      <c r="A1493" t="s">
        <v>33</v>
      </c>
      <c r="B1493" s="93">
        <v>43458</v>
      </c>
      <c r="C1493" t="s">
        <v>2136</v>
      </c>
      <c r="D1493" s="5">
        <v>7.17</v>
      </c>
      <c r="E1493" t="s">
        <v>46</v>
      </c>
    </row>
    <row r="1494" spans="1:5" x14ac:dyDescent="0.25">
      <c r="A1494" t="s">
        <v>33</v>
      </c>
      <c r="B1494" s="93">
        <v>43458</v>
      </c>
      <c r="C1494" t="s">
        <v>2137</v>
      </c>
      <c r="D1494" s="5">
        <v>37.03</v>
      </c>
      <c r="E1494" t="s">
        <v>46</v>
      </c>
    </row>
    <row r="1495" spans="1:5" x14ac:dyDescent="0.25">
      <c r="A1495" t="s">
        <v>33</v>
      </c>
      <c r="B1495" s="93">
        <v>43458</v>
      </c>
      <c r="C1495" t="s">
        <v>2138</v>
      </c>
      <c r="D1495" s="5">
        <v>15.84</v>
      </c>
      <c r="E1495" t="s">
        <v>46</v>
      </c>
    </row>
    <row r="1496" spans="1:5" x14ac:dyDescent="0.25">
      <c r="A1496" t="s">
        <v>33</v>
      </c>
      <c r="B1496" s="93">
        <v>43455</v>
      </c>
      <c r="C1496" t="s">
        <v>2139</v>
      </c>
      <c r="D1496" s="5">
        <v>3.25</v>
      </c>
      <c r="E1496" t="s">
        <v>46</v>
      </c>
    </row>
    <row r="1497" spans="1:5" x14ac:dyDescent="0.25">
      <c r="A1497" t="s">
        <v>33</v>
      </c>
      <c r="B1497" s="93">
        <v>43455</v>
      </c>
      <c r="C1497" t="s">
        <v>2140</v>
      </c>
      <c r="D1497" s="5">
        <v>14.59</v>
      </c>
      <c r="E1497" t="s">
        <v>46</v>
      </c>
    </row>
    <row r="1498" spans="1:5" x14ac:dyDescent="0.25">
      <c r="A1498" t="s">
        <v>33</v>
      </c>
      <c r="B1498" s="93">
        <v>43454</v>
      </c>
      <c r="C1498" t="s">
        <v>2141</v>
      </c>
      <c r="D1498" s="5">
        <v>25.21</v>
      </c>
      <c r="E1498" t="s">
        <v>46</v>
      </c>
    </row>
    <row r="1499" spans="1:5" x14ac:dyDescent="0.25">
      <c r="A1499" t="s">
        <v>33</v>
      </c>
      <c r="B1499" s="93">
        <v>43454</v>
      </c>
      <c r="C1499" t="s">
        <v>2142</v>
      </c>
      <c r="D1499" s="5">
        <v>29.43</v>
      </c>
      <c r="E1499" t="s">
        <v>46</v>
      </c>
    </row>
  </sheetData>
  <autoFilter ref="A3:E1499" xr:uid="{D0FD63DF-3D43-400A-9D9D-27BB8E2B042E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D63A-AB7F-49EA-BE94-9A6CBA7633B0}">
  <sheetPr>
    <tabColor rgb="FFFFC000"/>
  </sheetPr>
  <dimension ref="A2:L1056"/>
  <sheetViews>
    <sheetView zoomScale="80" zoomScaleNormal="80" workbookViewId="0">
      <pane ySplit="4" topLeftCell="A5" activePane="bottomLeft" state="frozen"/>
      <selection pane="bottomLeft" activeCell="E22" sqref="E22"/>
    </sheetView>
  </sheetViews>
  <sheetFormatPr defaultRowHeight="15" x14ac:dyDescent="0.25"/>
  <cols>
    <col min="1" max="1" width="4.140625" customWidth="1"/>
    <col min="2" max="2" width="11.28515625" customWidth="1"/>
    <col min="3" max="3" width="12.140625" bestFit="1" customWidth="1"/>
    <col min="4" max="4" width="71.42578125" customWidth="1"/>
    <col min="5" max="5" width="12.28515625" bestFit="1" customWidth="1"/>
    <col min="6" max="6" width="16" customWidth="1"/>
    <col min="7" max="7" width="19.42578125" customWidth="1"/>
    <col min="9" max="9" width="16.85546875" bestFit="1" customWidth="1"/>
    <col min="10" max="10" width="10.42578125" bestFit="1" customWidth="1"/>
    <col min="12" max="12" width="10.140625" bestFit="1" customWidth="1"/>
  </cols>
  <sheetData>
    <row r="2" spans="1:11" x14ac:dyDescent="0.25">
      <c r="E2" s="150">
        <f>SUBTOTAL(9,E5:E1056)</f>
        <v>43224.582000000031</v>
      </c>
    </row>
    <row r="3" spans="1:11" ht="15.75" thickBot="1" x14ac:dyDescent="0.3"/>
    <row r="4" spans="1:11" ht="20.25" customHeight="1" thickTop="1" thickBot="1" x14ac:dyDescent="0.3">
      <c r="A4" s="4"/>
      <c r="B4" s="149" t="s">
        <v>199</v>
      </c>
      <c r="C4" s="149" t="s">
        <v>27</v>
      </c>
      <c r="D4" s="149" t="s">
        <v>28</v>
      </c>
      <c r="E4" s="149" t="s">
        <v>29</v>
      </c>
      <c r="F4" s="149" t="s">
        <v>613</v>
      </c>
      <c r="G4" s="149" t="s">
        <v>1012</v>
      </c>
    </row>
    <row r="5" spans="1:11" ht="15.75" thickTop="1" x14ac:dyDescent="0.25">
      <c r="B5" t="s">
        <v>234</v>
      </c>
      <c r="C5" s="77"/>
      <c r="D5" s="137" t="s">
        <v>628</v>
      </c>
      <c r="E5" s="139">
        <v>0</v>
      </c>
      <c r="F5" s="140" t="s">
        <v>20</v>
      </c>
      <c r="G5" s="141" t="s">
        <v>631</v>
      </c>
    </row>
    <row r="6" spans="1:11" x14ac:dyDescent="0.25">
      <c r="B6" t="s">
        <v>234</v>
      </c>
      <c r="C6" s="77"/>
      <c r="D6" s="137" t="s">
        <v>628</v>
      </c>
      <c r="E6" s="138">
        <v>0</v>
      </c>
      <c r="F6" s="137" t="s">
        <v>16</v>
      </c>
      <c r="G6" s="142"/>
    </row>
    <row r="7" spans="1:11" x14ac:dyDescent="0.25">
      <c r="B7" t="s">
        <v>234</v>
      </c>
      <c r="C7" s="77"/>
      <c r="D7" s="137" t="s">
        <v>628</v>
      </c>
      <c r="E7" s="138">
        <v>0</v>
      </c>
      <c r="F7" s="137" t="s">
        <v>138</v>
      </c>
      <c r="G7" s="142"/>
      <c r="K7">
        <v>437.54</v>
      </c>
    </row>
    <row r="8" spans="1:11" x14ac:dyDescent="0.25">
      <c r="B8" t="s">
        <v>234</v>
      </c>
      <c r="C8" s="77"/>
      <c r="D8" s="137" t="s">
        <v>628</v>
      </c>
      <c r="E8" s="138">
        <v>0</v>
      </c>
      <c r="F8" s="137" t="s">
        <v>329</v>
      </c>
      <c r="G8" s="142"/>
      <c r="K8">
        <v>832</v>
      </c>
    </row>
    <row r="9" spans="1:11" x14ac:dyDescent="0.25">
      <c r="B9" t="s">
        <v>234</v>
      </c>
      <c r="C9" s="77"/>
      <c r="D9" s="137" t="s">
        <v>628</v>
      </c>
      <c r="E9" s="138">
        <v>0</v>
      </c>
      <c r="F9" s="137" t="s">
        <v>333</v>
      </c>
      <c r="G9" s="142"/>
      <c r="K9">
        <v>299</v>
      </c>
    </row>
    <row r="10" spans="1:11" x14ac:dyDescent="0.25">
      <c r="B10" t="s">
        <v>234</v>
      </c>
      <c r="C10" s="77"/>
      <c r="D10" s="137" t="s">
        <v>628</v>
      </c>
      <c r="E10" s="138">
        <v>0</v>
      </c>
      <c r="F10" s="137" t="s">
        <v>506</v>
      </c>
      <c r="G10" s="142"/>
    </row>
    <row r="11" spans="1:11" x14ac:dyDescent="0.25">
      <c r="B11" t="s">
        <v>234</v>
      </c>
      <c r="C11" s="77"/>
      <c r="D11" s="137" t="s">
        <v>628</v>
      </c>
      <c r="E11" s="138">
        <v>0</v>
      </c>
      <c r="F11" s="137" t="s">
        <v>507</v>
      </c>
      <c r="G11" s="142"/>
    </row>
    <row r="12" spans="1:11" x14ac:dyDescent="0.25">
      <c r="B12" t="s">
        <v>234</v>
      </c>
      <c r="C12" s="77"/>
      <c r="D12" s="137" t="s">
        <v>628</v>
      </c>
      <c r="E12" s="138">
        <v>0</v>
      </c>
      <c r="F12" s="137" t="s">
        <v>198</v>
      </c>
      <c r="G12" s="142"/>
    </row>
    <row r="13" spans="1:11" x14ac:dyDescent="0.25">
      <c r="B13" t="s">
        <v>234</v>
      </c>
      <c r="C13" s="77"/>
      <c r="D13" s="137" t="s">
        <v>628</v>
      </c>
      <c r="E13" s="138">
        <v>437.54</v>
      </c>
      <c r="F13" s="137" t="s">
        <v>192</v>
      </c>
      <c r="G13" s="142"/>
    </row>
    <row r="14" spans="1:11" x14ac:dyDescent="0.25">
      <c r="B14" t="s">
        <v>234</v>
      </c>
      <c r="C14" s="127"/>
      <c r="D14" s="128"/>
      <c r="E14" s="129"/>
      <c r="F14" s="128"/>
    </row>
    <row r="15" spans="1:11" x14ac:dyDescent="0.25">
      <c r="B15" t="s">
        <v>234</v>
      </c>
      <c r="C15" s="127"/>
      <c r="D15" s="128"/>
      <c r="E15" s="129"/>
      <c r="F15" s="128"/>
    </row>
    <row r="16" spans="1:11" x14ac:dyDescent="0.25">
      <c r="B16" t="s">
        <v>234</v>
      </c>
      <c r="C16" s="127"/>
      <c r="D16" s="128"/>
      <c r="E16" s="129"/>
      <c r="F16" s="128"/>
    </row>
    <row r="17" spans="2:12" x14ac:dyDescent="0.25">
      <c r="B17" t="s">
        <v>234</v>
      </c>
      <c r="C17" s="127"/>
      <c r="D17" s="128"/>
      <c r="E17" s="129"/>
      <c r="F17" s="128"/>
    </row>
    <row r="18" spans="2:12" x14ac:dyDescent="0.25">
      <c r="B18" t="s">
        <v>234</v>
      </c>
      <c r="C18" s="127"/>
      <c r="D18" s="128"/>
      <c r="E18" s="129"/>
      <c r="F18" s="128"/>
    </row>
    <row r="19" spans="2:12" x14ac:dyDescent="0.25">
      <c r="B19" t="s">
        <v>234</v>
      </c>
      <c r="C19" s="144">
        <v>43704</v>
      </c>
      <c r="D19" s="143" t="s">
        <v>1286</v>
      </c>
      <c r="E19" s="145">
        <v>668.61</v>
      </c>
      <c r="F19" s="143" t="s">
        <v>20</v>
      </c>
      <c r="G19" t="s">
        <v>1433</v>
      </c>
    </row>
    <row r="20" spans="2:12" x14ac:dyDescent="0.25">
      <c r="B20" t="s">
        <v>234</v>
      </c>
      <c r="C20" s="144">
        <v>43704</v>
      </c>
      <c r="D20" s="143" t="s">
        <v>806</v>
      </c>
      <c r="E20" s="145">
        <v>26</v>
      </c>
      <c r="F20" s="143" t="s">
        <v>198</v>
      </c>
    </row>
    <row r="21" spans="2:12" x14ac:dyDescent="0.25">
      <c r="B21" t="s">
        <v>234</v>
      </c>
      <c r="C21" s="144">
        <v>43704</v>
      </c>
      <c r="D21" s="143" t="s">
        <v>1287</v>
      </c>
      <c r="E21" s="145">
        <v>847.17</v>
      </c>
      <c r="F21" s="115" t="s">
        <v>20</v>
      </c>
      <c r="G21" s="115" t="s">
        <v>1434</v>
      </c>
    </row>
    <row r="22" spans="2:12" x14ac:dyDescent="0.25">
      <c r="B22" t="s">
        <v>234</v>
      </c>
      <c r="C22" s="144">
        <v>43704</v>
      </c>
      <c r="D22" s="143" t="s">
        <v>717</v>
      </c>
      <c r="E22" s="145">
        <v>39.17</v>
      </c>
      <c r="F22" s="143" t="s">
        <v>17</v>
      </c>
    </row>
    <row r="23" spans="2:12" x14ac:dyDescent="0.25">
      <c r="B23" t="s">
        <v>234</v>
      </c>
      <c r="C23" s="144">
        <v>43703</v>
      </c>
      <c r="D23" s="143" t="s">
        <v>1288</v>
      </c>
      <c r="E23" s="145">
        <v>0.99</v>
      </c>
      <c r="F23" s="143" t="s">
        <v>754</v>
      </c>
    </row>
    <row r="24" spans="2:12" x14ac:dyDescent="0.25">
      <c r="B24" t="s">
        <v>234</v>
      </c>
      <c r="C24" s="144">
        <v>43703</v>
      </c>
      <c r="D24" s="143" t="s">
        <v>1289</v>
      </c>
      <c r="E24" s="145">
        <v>108.88</v>
      </c>
      <c r="F24" s="143" t="s">
        <v>333</v>
      </c>
    </row>
    <row r="25" spans="2:12" x14ac:dyDescent="0.25">
      <c r="B25" t="s">
        <v>234</v>
      </c>
      <c r="C25" s="144">
        <v>43703</v>
      </c>
      <c r="D25" s="143" t="s">
        <v>1290</v>
      </c>
      <c r="E25" s="145">
        <v>22.73</v>
      </c>
      <c r="F25" s="143" t="s">
        <v>15</v>
      </c>
      <c r="I25" t="s">
        <v>754</v>
      </c>
    </row>
    <row r="26" spans="2:12" x14ac:dyDescent="0.25">
      <c r="B26" t="s">
        <v>234</v>
      </c>
      <c r="C26" s="144">
        <v>43703</v>
      </c>
      <c r="D26" s="143" t="s">
        <v>1291</v>
      </c>
      <c r="E26" s="145">
        <v>12.83</v>
      </c>
      <c r="F26" s="143" t="s">
        <v>754</v>
      </c>
      <c r="I26" s="126" t="s">
        <v>11</v>
      </c>
      <c r="K26" s="132">
        <v>43476</v>
      </c>
    </row>
    <row r="27" spans="2:12" x14ac:dyDescent="0.25">
      <c r="B27" t="s">
        <v>234</v>
      </c>
      <c r="C27" s="144">
        <v>43703</v>
      </c>
      <c r="D27" s="143" t="s">
        <v>1292</v>
      </c>
      <c r="E27" s="145">
        <v>14.46</v>
      </c>
      <c r="F27" s="143" t="s">
        <v>15</v>
      </c>
      <c r="I27" s="126" t="s">
        <v>192</v>
      </c>
      <c r="K27" s="132">
        <f>K26+14</f>
        <v>43490</v>
      </c>
      <c r="L27" t="s">
        <v>651</v>
      </c>
    </row>
    <row r="28" spans="2:12" x14ac:dyDescent="0.25">
      <c r="B28" t="s">
        <v>234</v>
      </c>
      <c r="C28" s="144">
        <v>43703</v>
      </c>
      <c r="D28" s="143" t="s">
        <v>1293</v>
      </c>
      <c r="E28" s="145">
        <v>12</v>
      </c>
      <c r="F28" s="143" t="s">
        <v>16</v>
      </c>
      <c r="I28" s="126" t="s">
        <v>12</v>
      </c>
      <c r="K28" s="132">
        <f>K27+14</f>
        <v>43504</v>
      </c>
    </row>
    <row r="29" spans="2:12" x14ac:dyDescent="0.25">
      <c r="B29" t="s">
        <v>234</v>
      </c>
      <c r="C29" s="144">
        <v>43703</v>
      </c>
      <c r="D29" s="143" t="s">
        <v>1294</v>
      </c>
      <c r="E29" s="145">
        <v>20.07</v>
      </c>
      <c r="F29" s="143" t="s">
        <v>17</v>
      </c>
      <c r="I29" s="126" t="s">
        <v>13</v>
      </c>
      <c r="K29" s="132">
        <f t="shared" ref="K29:K51" si="0">K28+14</f>
        <v>43518</v>
      </c>
      <c r="L29" t="s">
        <v>651</v>
      </c>
    </row>
    <row r="30" spans="2:12" x14ac:dyDescent="0.25">
      <c r="B30" t="s">
        <v>234</v>
      </c>
      <c r="C30" s="144">
        <v>43703</v>
      </c>
      <c r="D30" s="143" t="s">
        <v>1295</v>
      </c>
      <c r="E30" s="145">
        <v>250.34</v>
      </c>
      <c r="F30" s="143" t="s">
        <v>20</v>
      </c>
      <c r="G30" t="s">
        <v>1435</v>
      </c>
      <c r="I30" s="126" t="s">
        <v>14</v>
      </c>
      <c r="K30" s="132">
        <f t="shared" si="0"/>
        <v>43532</v>
      </c>
    </row>
    <row r="31" spans="2:12" x14ac:dyDescent="0.25">
      <c r="B31" t="s">
        <v>234</v>
      </c>
      <c r="C31" s="144">
        <v>43703</v>
      </c>
      <c r="D31" s="143" t="s">
        <v>1296</v>
      </c>
      <c r="E31" s="145">
        <v>17.91</v>
      </c>
      <c r="F31" s="143" t="s">
        <v>17</v>
      </c>
      <c r="I31" s="126" t="s">
        <v>15</v>
      </c>
      <c r="K31" s="132">
        <f t="shared" si="0"/>
        <v>43546</v>
      </c>
    </row>
    <row r="32" spans="2:12" x14ac:dyDescent="0.25">
      <c r="B32" t="s">
        <v>234</v>
      </c>
      <c r="C32" s="144">
        <v>43703</v>
      </c>
      <c r="D32" s="143" t="s">
        <v>1297</v>
      </c>
      <c r="E32" s="145">
        <v>16.95</v>
      </c>
      <c r="F32" s="143" t="s">
        <v>15</v>
      </c>
      <c r="I32" s="126" t="s">
        <v>16</v>
      </c>
      <c r="K32" s="132">
        <f t="shared" si="0"/>
        <v>43560</v>
      </c>
    </row>
    <row r="33" spans="2:11" x14ac:dyDescent="0.25">
      <c r="B33" t="s">
        <v>234</v>
      </c>
      <c r="C33" s="144">
        <v>43703</v>
      </c>
      <c r="D33" s="143" t="s">
        <v>1298</v>
      </c>
      <c r="E33" s="145">
        <v>24.23</v>
      </c>
      <c r="F33" s="143" t="s">
        <v>17</v>
      </c>
      <c r="I33" s="126" t="s">
        <v>198</v>
      </c>
      <c r="K33" s="132">
        <f t="shared" si="0"/>
        <v>43574</v>
      </c>
    </row>
    <row r="34" spans="2:11" x14ac:dyDescent="0.25">
      <c r="B34" t="s">
        <v>234</v>
      </c>
      <c r="C34" s="144">
        <v>43703</v>
      </c>
      <c r="D34" s="143" t="s">
        <v>1299</v>
      </c>
      <c r="E34" s="145">
        <v>68.48</v>
      </c>
      <c r="F34" s="143" t="s">
        <v>21</v>
      </c>
      <c r="I34" s="126" t="s">
        <v>17</v>
      </c>
      <c r="K34" s="132">
        <f t="shared" si="0"/>
        <v>43588</v>
      </c>
    </row>
    <row r="35" spans="2:11" x14ac:dyDescent="0.25">
      <c r="B35" t="s">
        <v>234</v>
      </c>
      <c r="C35" s="144">
        <v>43703</v>
      </c>
      <c r="D35" s="143" t="s">
        <v>1288</v>
      </c>
      <c r="E35" s="145">
        <v>4.28</v>
      </c>
      <c r="F35" s="143" t="s">
        <v>754</v>
      </c>
      <c r="I35" s="126" t="s">
        <v>18</v>
      </c>
      <c r="K35" s="132">
        <f t="shared" si="0"/>
        <v>43602</v>
      </c>
    </row>
    <row r="36" spans="2:11" x14ac:dyDescent="0.25">
      <c r="B36" t="s">
        <v>234</v>
      </c>
      <c r="C36" s="144">
        <v>43703</v>
      </c>
      <c r="D36" s="143" t="s">
        <v>1300</v>
      </c>
      <c r="E36" s="145">
        <v>39.17</v>
      </c>
      <c r="F36" s="143" t="s">
        <v>17</v>
      </c>
      <c r="I36" s="126" t="s">
        <v>19</v>
      </c>
      <c r="K36" s="132">
        <f t="shared" si="0"/>
        <v>43616</v>
      </c>
    </row>
    <row r="37" spans="2:11" x14ac:dyDescent="0.25">
      <c r="B37" t="s">
        <v>234</v>
      </c>
      <c r="C37" s="144">
        <v>43699</v>
      </c>
      <c r="D37" s="143" t="s">
        <v>1301</v>
      </c>
      <c r="E37" s="145">
        <v>5.4</v>
      </c>
      <c r="F37" s="143" t="s">
        <v>19</v>
      </c>
      <c r="I37" s="126" t="s">
        <v>20</v>
      </c>
      <c r="K37" s="132">
        <f t="shared" si="0"/>
        <v>43630</v>
      </c>
    </row>
    <row r="38" spans="2:11" x14ac:dyDescent="0.25">
      <c r="B38" t="s">
        <v>234</v>
      </c>
      <c r="C38" s="144">
        <v>43699</v>
      </c>
      <c r="D38" s="143" t="s">
        <v>1302</v>
      </c>
      <c r="E38" s="145">
        <v>18.98</v>
      </c>
      <c r="F38" s="143" t="s">
        <v>17</v>
      </c>
      <c r="I38" s="126" t="s">
        <v>21</v>
      </c>
      <c r="K38" s="132">
        <f t="shared" si="0"/>
        <v>43644</v>
      </c>
    </row>
    <row r="39" spans="2:11" x14ac:dyDescent="0.25">
      <c r="B39" t="s">
        <v>234</v>
      </c>
      <c r="C39" s="144">
        <v>43698</v>
      </c>
      <c r="D39" s="143" t="s">
        <v>1303</v>
      </c>
      <c r="E39" s="145">
        <v>17.32</v>
      </c>
      <c r="F39" s="143" t="s">
        <v>15</v>
      </c>
      <c r="I39" s="126" t="s">
        <v>22</v>
      </c>
      <c r="K39" s="132">
        <f t="shared" si="0"/>
        <v>43658</v>
      </c>
    </row>
    <row r="40" spans="2:11" x14ac:dyDescent="0.25">
      <c r="B40" t="s">
        <v>234</v>
      </c>
      <c r="C40" s="144">
        <v>43698</v>
      </c>
      <c r="D40" s="143" t="s">
        <v>1304</v>
      </c>
      <c r="E40" s="145">
        <v>13.78</v>
      </c>
      <c r="F40" s="143" t="s">
        <v>21</v>
      </c>
      <c r="I40" s="126" t="s">
        <v>23</v>
      </c>
      <c r="K40" s="132">
        <f t="shared" si="0"/>
        <v>43672</v>
      </c>
    </row>
    <row r="41" spans="2:11" x14ac:dyDescent="0.25">
      <c r="B41" t="s">
        <v>234</v>
      </c>
      <c r="C41" s="144">
        <v>43698</v>
      </c>
      <c r="D41" s="143" t="s">
        <v>1305</v>
      </c>
      <c r="E41" s="145">
        <v>482.39</v>
      </c>
      <c r="F41" s="115" t="s">
        <v>20</v>
      </c>
      <c r="G41" s="115" t="s">
        <v>1434</v>
      </c>
      <c r="I41" s="126" t="s">
        <v>138</v>
      </c>
      <c r="K41" s="132">
        <f t="shared" si="0"/>
        <v>43686</v>
      </c>
    </row>
    <row r="42" spans="2:11" x14ac:dyDescent="0.25">
      <c r="B42" t="s">
        <v>234</v>
      </c>
      <c r="C42" s="144">
        <v>43698</v>
      </c>
      <c r="D42" s="143" t="s">
        <v>1306</v>
      </c>
      <c r="E42" s="145">
        <v>115.01</v>
      </c>
      <c r="F42" s="143" t="s">
        <v>20</v>
      </c>
      <c r="G42" t="s">
        <v>1443</v>
      </c>
      <c r="I42" s="126" t="s">
        <v>329</v>
      </c>
      <c r="K42" s="132">
        <f t="shared" si="0"/>
        <v>43700</v>
      </c>
    </row>
    <row r="43" spans="2:11" x14ac:dyDescent="0.25">
      <c r="B43" t="s">
        <v>234</v>
      </c>
      <c r="C43" s="144">
        <v>43697</v>
      </c>
      <c r="D43" s="143" t="s">
        <v>1307</v>
      </c>
      <c r="E43" s="145">
        <v>8.42</v>
      </c>
      <c r="F43" s="143" t="s">
        <v>15</v>
      </c>
      <c r="I43" s="126" t="s">
        <v>333</v>
      </c>
      <c r="K43" s="131">
        <f t="shared" si="0"/>
        <v>43714</v>
      </c>
    </row>
    <row r="44" spans="2:11" x14ac:dyDescent="0.25">
      <c r="B44" t="s">
        <v>234</v>
      </c>
      <c r="C44" s="144">
        <v>43697</v>
      </c>
      <c r="D44" s="143" t="s">
        <v>1308</v>
      </c>
      <c r="E44" s="145">
        <v>22.09</v>
      </c>
      <c r="F44" s="143" t="s">
        <v>16</v>
      </c>
      <c r="I44" s="126" t="s">
        <v>506</v>
      </c>
      <c r="K44" s="131">
        <f t="shared" si="0"/>
        <v>43728</v>
      </c>
    </row>
    <row r="45" spans="2:11" x14ac:dyDescent="0.25">
      <c r="B45" t="s">
        <v>234</v>
      </c>
      <c r="C45" s="144">
        <v>43697</v>
      </c>
      <c r="D45" s="143" t="s">
        <v>1309</v>
      </c>
      <c r="E45" s="145">
        <v>660.49</v>
      </c>
      <c r="F45" s="143" t="s">
        <v>20</v>
      </c>
      <c r="G45" t="s">
        <v>1442</v>
      </c>
      <c r="I45" s="126" t="s">
        <v>507</v>
      </c>
      <c r="K45" s="131">
        <f t="shared" si="0"/>
        <v>43742</v>
      </c>
    </row>
    <row r="46" spans="2:11" x14ac:dyDescent="0.25">
      <c r="B46" t="s">
        <v>234</v>
      </c>
      <c r="C46" s="144">
        <v>43696</v>
      </c>
      <c r="D46" s="143" t="s">
        <v>1310</v>
      </c>
      <c r="E46" s="145">
        <v>7.99</v>
      </c>
      <c r="F46" s="143" t="s">
        <v>676</v>
      </c>
      <c r="I46" s="126" t="s">
        <v>334</v>
      </c>
      <c r="K46" s="131">
        <f t="shared" si="0"/>
        <v>43756</v>
      </c>
    </row>
    <row r="47" spans="2:11" x14ac:dyDescent="0.25">
      <c r="B47" t="s">
        <v>234</v>
      </c>
      <c r="C47" s="144">
        <v>43696</v>
      </c>
      <c r="D47" s="143" t="s">
        <v>1311</v>
      </c>
      <c r="E47" s="145">
        <v>2.41</v>
      </c>
      <c r="F47" s="143" t="s">
        <v>19</v>
      </c>
      <c r="I47" s="126" t="s">
        <v>202</v>
      </c>
      <c r="K47" s="131">
        <f t="shared" si="0"/>
        <v>43770</v>
      </c>
    </row>
    <row r="48" spans="2:11" x14ac:dyDescent="0.25">
      <c r="B48" t="s">
        <v>234</v>
      </c>
      <c r="C48" s="144">
        <v>43696</v>
      </c>
      <c r="D48" s="143" t="s">
        <v>1312</v>
      </c>
      <c r="E48" s="145">
        <v>32.270000000000003</v>
      </c>
      <c r="F48" s="143" t="s">
        <v>15</v>
      </c>
      <c r="I48" s="126" t="s">
        <v>195</v>
      </c>
      <c r="K48" s="131">
        <f t="shared" si="0"/>
        <v>43784</v>
      </c>
    </row>
    <row r="49" spans="2:11" x14ac:dyDescent="0.25">
      <c r="B49" t="s">
        <v>234</v>
      </c>
      <c r="C49" s="144">
        <v>43696</v>
      </c>
      <c r="D49" s="143" t="s">
        <v>1313</v>
      </c>
      <c r="E49" s="145">
        <v>50.22</v>
      </c>
      <c r="F49" s="143" t="s">
        <v>21</v>
      </c>
      <c r="I49" s="126" t="s">
        <v>194</v>
      </c>
      <c r="K49" s="131">
        <f t="shared" si="0"/>
        <v>43798</v>
      </c>
    </row>
    <row r="50" spans="2:11" x14ac:dyDescent="0.25">
      <c r="B50" t="s">
        <v>234</v>
      </c>
      <c r="C50" s="144">
        <v>43696</v>
      </c>
      <c r="D50" s="143" t="s">
        <v>1314</v>
      </c>
      <c r="E50" s="145">
        <v>12.68</v>
      </c>
      <c r="F50" s="143" t="s">
        <v>676</v>
      </c>
      <c r="K50" s="131">
        <f t="shared" si="0"/>
        <v>43812</v>
      </c>
    </row>
    <row r="51" spans="2:11" x14ac:dyDescent="0.25">
      <c r="B51" t="s">
        <v>234</v>
      </c>
      <c r="C51" s="144">
        <v>43696</v>
      </c>
      <c r="D51" s="143" t="s">
        <v>1315</v>
      </c>
      <c r="E51" s="145">
        <v>20</v>
      </c>
      <c r="F51" s="143" t="s">
        <v>16</v>
      </c>
      <c r="K51" s="131">
        <f t="shared" si="0"/>
        <v>43826</v>
      </c>
    </row>
    <row r="52" spans="2:11" x14ac:dyDescent="0.25">
      <c r="B52" t="s">
        <v>234</v>
      </c>
      <c r="C52" s="144">
        <v>43696</v>
      </c>
      <c r="D52" s="143" t="s">
        <v>1316</v>
      </c>
      <c r="E52" s="145">
        <v>8.89</v>
      </c>
      <c r="F52" s="143" t="s">
        <v>15</v>
      </c>
    </row>
    <row r="53" spans="2:11" x14ac:dyDescent="0.25">
      <c r="B53" t="s">
        <v>234</v>
      </c>
      <c r="C53" s="144">
        <v>43696</v>
      </c>
      <c r="D53" s="143" t="s">
        <v>1317</v>
      </c>
      <c r="E53" s="145">
        <v>15.3</v>
      </c>
      <c r="F53" s="143" t="s">
        <v>15</v>
      </c>
    </row>
    <row r="54" spans="2:11" x14ac:dyDescent="0.25">
      <c r="B54" t="s">
        <v>234</v>
      </c>
      <c r="C54" s="144">
        <v>43696</v>
      </c>
      <c r="D54" s="143" t="s">
        <v>1318</v>
      </c>
      <c r="E54" s="145">
        <v>16.989999999999998</v>
      </c>
      <c r="F54" s="143" t="s">
        <v>17</v>
      </c>
    </row>
    <row r="55" spans="2:11" x14ac:dyDescent="0.25">
      <c r="B55" t="s">
        <v>234</v>
      </c>
      <c r="C55" s="144">
        <v>43696</v>
      </c>
      <c r="D55" s="143" t="s">
        <v>1319</v>
      </c>
      <c r="E55" s="145">
        <v>13.91</v>
      </c>
      <c r="F55" s="143" t="s">
        <v>17</v>
      </c>
    </row>
    <row r="56" spans="2:11" x14ac:dyDescent="0.25">
      <c r="B56" t="s">
        <v>234</v>
      </c>
      <c r="C56" s="144">
        <v>43696</v>
      </c>
      <c r="D56" s="143" t="s">
        <v>1320</v>
      </c>
      <c r="E56" s="145">
        <v>20</v>
      </c>
      <c r="F56" s="143" t="s">
        <v>16</v>
      </c>
    </row>
    <row r="57" spans="2:11" x14ac:dyDescent="0.25">
      <c r="B57" t="s">
        <v>234</v>
      </c>
      <c r="C57" s="144">
        <v>43696</v>
      </c>
      <c r="D57" s="143" t="s">
        <v>1321</v>
      </c>
      <c r="E57" s="145">
        <v>25.32</v>
      </c>
      <c r="F57" s="143" t="s">
        <v>17</v>
      </c>
    </row>
    <row r="58" spans="2:11" x14ac:dyDescent="0.25">
      <c r="B58" t="s">
        <v>234</v>
      </c>
      <c r="C58" s="144">
        <v>43693</v>
      </c>
      <c r="D58" s="143" t="s">
        <v>1322</v>
      </c>
      <c r="E58" s="145">
        <v>1.29</v>
      </c>
      <c r="F58" s="143" t="s">
        <v>754</v>
      </c>
    </row>
    <row r="59" spans="2:11" x14ac:dyDescent="0.25">
      <c r="B59" t="s">
        <v>234</v>
      </c>
      <c r="C59" s="144">
        <v>43692</v>
      </c>
      <c r="D59" s="143" t="s">
        <v>1323</v>
      </c>
      <c r="E59" s="145">
        <v>11.74</v>
      </c>
      <c r="F59" s="143" t="s">
        <v>15</v>
      </c>
    </row>
    <row r="60" spans="2:11" x14ac:dyDescent="0.25">
      <c r="B60" t="s">
        <v>234</v>
      </c>
      <c r="C60" s="144">
        <v>43692</v>
      </c>
      <c r="D60" s="143" t="s">
        <v>1324</v>
      </c>
      <c r="E60" s="145">
        <v>32.450000000000003</v>
      </c>
      <c r="F60" s="143" t="s">
        <v>17</v>
      </c>
    </row>
    <row r="61" spans="2:11" x14ac:dyDescent="0.25">
      <c r="B61" t="s">
        <v>234</v>
      </c>
      <c r="C61" s="144">
        <v>43692</v>
      </c>
      <c r="D61" s="143" t="s">
        <v>1325</v>
      </c>
      <c r="E61" s="145">
        <v>28.54</v>
      </c>
      <c r="F61" s="143" t="s">
        <v>17</v>
      </c>
    </row>
    <row r="62" spans="2:11" x14ac:dyDescent="0.25">
      <c r="B62" t="s">
        <v>234</v>
      </c>
      <c r="C62" s="144">
        <v>43692</v>
      </c>
      <c r="D62" s="143" t="s">
        <v>1326</v>
      </c>
      <c r="E62" s="145">
        <v>20.49</v>
      </c>
      <c r="F62" s="143" t="s">
        <v>20</v>
      </c>
      <c r="G62" t="s">
        <v>908</v>
      </c>
    </row>
    <row r="63" spans="2:11" x14ac:dyDescent="0.25">
      <c r="B63" t="s">
        <v>234</v>
      </c>
      <c r="C63" s="144">
        <v>43691</v>
      </c>
      <c r="D63" s="143" t="s">
        <v>1327</v>
      </c>
      <c r="E63" s="145">
        <v>152.54</v>
      </c>
      <c r="F63" s="143" t="s">
        <v>333</v>
      </c>
    </row>
    <row r="64" spans="2:11" x14ac:dyDescent="0.25">
      <c r="B64" t="s">
        <v>234</v>
      </c>
      <c r="C64" s="144">
        <v>43690</v>
      </c>
      <c r="D64" s="143" t="s">
        <v>1328</v>
      </c>
      <c r="E64" s="145">
        <v>20.65</v>
      </c>
      <c r="F64" s="143" t="s">
        <v>15</v>
      </c>
    </row>
    <row r="65" spans="2:7" x14ac:dyDescent="0.25">
      <c r="B65" t="s">
        <v>234</v>
      </c>
      <c r="C65" s="144">
        <v>43690</v>
      </c>
      <c r="D65" s="143" t="s">
        <v>1329</v>
      </c>
      <c r="E65" s="145">
        <v>26</v>
      </c>
      <c r="F65" s="143" t="s">
        <v>198</v>
      </c>
    </row>
    <row r="66" spans="2:7" x14ac:dyDescent="0.25">
      <c r="B66" t="s">
        <v>234</v>
      </c>
      <c r="C66" s="144">
        <v>43690</v>
      </c>
      <c r="D66" s="143" t="s">
        <v>1330</v>
      </c>
      <c r="E66" s="145">
        <v>20</v>
      </c>
      <c r="F66" s="143" t="s">
        <v>16</v>
      </c>
    </row>
    <row r="67" spans="2:7" x14ac:dyDescent="0.25">
      <c r="B67" t="s">
        <v>234</v>
      </c>
      <c r="C67" s="144">
        <v>43690</v>
      </c>
      <c r="D67" s="143" t="s">
        <v>1331</v>
      </c>
      <c r="E67" s="145">
        <v>10.38</v>
      </c>
      <c r="F67" s="143" t="s">
        <v>15</v>
      </c>
    </row>
    <row r="68" spans="2:7" x14ac:dyDescent="0.25">
      <c r="B68" t="s">
        <v>234</v>
      </c>
      <c r="C68" s="144">
        <v>43690</v>
      </c>
      <c r="D68" s="143" t="s">
        <v>1332</v>
      </c>
      <c r="E68" s="145">
        <v>33.89</v>
      </c>
      <c r="F68" s="143" t="s">
        <v>17</v>
      </c>
    </row>
    <row r="69" spans="2:7" x14ac:dyDescent="0.25">
      <c r="B69" t="s">
        <v>234</v>
      </c>
      <c r="C69" s="144">
        <v>43689</v>
      </c>
      <c r="D69" s="143" t="s">
        <v>1333</v>
      </c>
      <c r="E69" s="145">
        <v>17.59</v>
      </c>
      <c r="F69" s="143" t="s">
        <v>15</v>
      </c>
    </row>
    <row r="70" spans="2:7" x14ac:dyDescent="0.25">
      <c r="B70" t="s">
        <v>234</v>
      </c>
      <c r="C70" s="144">
        <v>43689</v>
      </c>
      <c r="D70" s="143" t="s">
        <v>1334</v>
      </c>
      <c r="E70" s="145">
        <v>4.2300000000000004</v>
      </c>
      <c r="F70" s="143" t="s">
        <v>19</v>
      </c>
    </row>
    <row r="71" spans="2:7" x14ac:dyDescent="0.25">
      <c r="B71" t="s">
        <v>234</v>
      </c>
      <c r="C71" s="144">
        <v>43689</v>
      </c>
      <c r="D71" s="143" t="s">
        <v>1335</v>
      </c>
      <c r="E71" s="145">
        <v>34.89</v>
      </c>
      <c r="F71" s="143" t="s">
        <v>17</v>
      </c>
    </row>
    <row r="72" spans="2:7" x14ac:dyDescent="0.25">
      <c r="B72" t="s">
        <v>234</v>
      </c>
      <c r="C72" s="144">
        <v>43689</v>
      </c>
      <c r="D72" s="143" t="s">
        <v>1336</v>
      </c>
      <c r="E72" s="145">
        <v>174.83</v>
      </c>
      <c r="F72" s="143" t="s">
        <v>20</v>
      </c>
      <c r="G72" t="s">
        <v>541</v>
      </c>
    </row>
    <row r="73" spans="2:7" x14ac:dyDescent="0.25">
      <c r="B73" t="s">
        <v>234</v>
      </c>
      <c r="C73" s="144">
        <v>43689</v>
      </c>
      <c r="D73" s="143" t="s">
        <v>1337</v>
      </c>
      <c r="E73" s="145">
        <v>5.08</v>
      </c>
      <c r="F73" s="143" t="s">
        <v>754</v>
      </c>
    </row>
    <row r="74" spans="2:7" x14ac:dyDescent="0.25">
      <c r="B74" t="s">
        <v>234</v>
      </c>
      <c r="C74" s="144">
        <v>43689</v>
      </c>
      <c r="D74" s="143" t="s">
        <v>1338</v>
      </c>
      <c r="E74" s="145">
        <v>25.87</v>
      </c>
      <c r="F74" s="143" t="s">
        <v>17</v>
      </c>
    </row>
    <row r="75" spans="2:7" x14ac:dyDescent="0.25">
      <c r="B75" t="s">
        <v>234</v>
      </c>
      <c r="C75" s="144">
        <v>43689</v>
      </c>
      <c r="D75" s="143" t="s">
        <v>1339</v>
      </c>
      <c r="E75" s="145">
        <v>4.2300000000000004</v>
      </c>
      <c r="F75" s="143" t="s">
        <v>19</v>
      </c>
    </row>
    <row r="76" spans="2:7" x14ac:dyDescent="0.25">
      <c r="B76" t="s">
        <v>234</v>
      </c>
      <c r="C76" s="144">
        <v>43689</v>
      </c>
      <c r="D76" s="143" t="s">
        <v>1340</v>
      </c>
      <c r="E76" s="145">
        <v>96.15</v>
      </c>
      <c r="F76" s="143" t="s">
        <v>20</v>
      </c>
      <c r="G76" t="s">
        <v>1444</v>
      </c>
    </row>
    <row r="77" spans="2:7" x14ac:dyDescent="0.25">
      <c r="B77" t="s">
        <v>234</v>
      </c>
      <c r="C77" s="144">
        <v>43689</v>
      </c>
      <c r="D77" s="143" t="s">
        <v>1341</v>
      </c>
      <c r="E77" s="145">
        <v>-37.42</v>
      </c>
      <c r="F77" s="143" t="s">
        <v>20</v>
      </c>
      <c r="G77" t="s">
        <v>541</v>
      </c>
    </row>
    <row r="78" spans="2:7" x14ac:dyDescent="0.25">
      <c r="B78" t="s">
        <v>234</v>
      </c>
      <c r="C78" s="144">
        <v>43686</v>
      </c>
      <c r="D78" s="143" t="s">
        <v>1342</v>
      </c>
      <c r="E78" s="145">
        <v>26.11</v>
      </c>
      <c r="F78" s="143" t="s">
        <v>20</v>
      </c>
    </row>
    <row r="79" spans="2:7" x14ac:dyDescent="0.25">
      <c r="B79" t="s">
        <v>234</v>
      </c>
      <c r="C79" s="144">
        <v>43685</v>
      </c>
      <c r="D79" s="143" t="s">
        <v>1343</v>
      </c>
      <c r="E79" s="145">
        <v>3.72</v>
      </c>
      <c r="F79" s="143" t="s">
        <v>754</v>
      </c>
    </row>
    <row r="80" spans="2:7" x14ac:dyDescent="0.25">
      <c r="B80" t="s">
        <v>234</v>
      </c>
      <c r="C80" s="144">
        <v>43685</v>
      </c>
      <c r="D80" s="143" t="s">
        <v>1344</v>
      </c>
      <c r="E80" s="145">
        <v>16.53</v>
      </c>
      <c r="F80" s="143" t="s">
        <v>195</v>
      </c>
    </row>
    <row r="81" spans="2:7" x14ac:dyDescent="0.25">
      <c r="B81" t="s">
        <v>234</v>
      </c>
      <c r="C81" s="144">
        <v>43685</v>
      </c>
      <c r="D81" s="143" t="s">
        <v>1345</v>
      </c>
      <c r="E81" s="145">
        <v>2.58</v>
      </c>
      <c r="F81" s="143" t="s">
        <v>754</v>
      </c>
    </row>
    <row r="82" spans="2:7" x14ac:dyDescent="0.25">
      <c r="B82" t="s">
        <v>234</v>
      </c>
      <c r="C82" s="144">
        <v>43684</v>
      </c>
      <c r="D82" s="143" t="s">
        <v>1346</v>
      </c>
      <c r="E82" s="145">
        <v>116</v>
      </c>
      <c r="F82" s="143" t="s">
        <v>20</v>
      </c>
      <c r="G82" t="s">
        <v>1445</v>
      </c>
    </row>
    <row r="83" spans="2:7" x14ac:dyDescent="0.25">
      <c r="B83" t="s">
        <v>234</v>
      </c>
      <c r="C83" s="144">
        <v>43684</v>
      </c>
      <c r="D83" s="143" t="s">
        <v>1347</v>
      </c>
      <c r="E83" s="145">
        <v>150</v>
      </c>
      <c r="F83" s="143" t="s">
        <v>20</v>
      </c>
      <c r="G83" t="s">
        <v>1446</v>
      </c>
    </row>
    <row r="84" spans="2:7" x14ac:dyDescent="0.25">
      <c r="B84" t="s">
        <v>234</v>
      </c>
      <c r="C84" s="144">
        <v>43684</v>
      </c>
      <c r="D84" s="143" t="s">
        <v>1348</v>
      </c>
      <c r="E84" s="145">
        <v>20</v>
      </c>
      <c r="F84" s="143" t="s">
        <v>16</v>
      </c>
    </row>
    <row r="85" spans="2:7" x14ac:dyDescent="0.25">
      <c r="B85" t="s">
        <v>234</v>
      </c>
      <c r="C85" s="144">
        <v>43684</v>
      </c>
      <c r="D85" s="143" t="s">
        <v>1349</v>
      </c>
      <c r="E85" s="145">
        <v>32.299999999999997</v>
      </c>
      <c r="F85" s="143" t="s">
        <v>15</v>
      </c>
    </row>
    <row r="86" spans="2:7" x14ac:dyDescent="0.25">
      <c r="B86" t="s">
        <v>234</v>
      </c>
      <c r="C86" s="144">
        <v>43684</v>
      </c>
      <c r="D86" s="143" t="s">
        <v>1350</v>
      </c>
      <c r="E86" s="145">
        <v>151</v>
      </c>
      <c r="F86" s="143" t="s">
        <v>14</v>
      </c>
    </row>
    <row r="87" spans="2:7" x14ac:dyDescent="0.25">
      <c r="B87" t="s">
        <v>234</v>
      </c>
      <c r="C87" s="144">
        <v>43684</v>
      </c>
      <c r="D87" s="143" t="s">
        <v>1351</v>
      </c>
      <c r="E87" s="145">
        <v>17.43</v>
      </c>
      <c r="F87" s="143" t="s">
        <v>15</v>
      </c>
    </row>
    <row r="88" spans="2:7" x14ac:dyDescent="0.25">
      <c r="B88" t="s">
        <v>234</v>
      </c>
      <c r="C88" s="144">
        <v>43683</v>
      </c>
      <c r="D88" s="143" t="s">
        <v>724</v>
      </c>
      <c r="E88" s="145">
        <v>101.44</v>
      </c>
      <c r="F88" s="143" t="s">
        <v>329</v>
      </c>
    </row>
    <row r="89" spans="2:7" x14ac:dyDescent="0.25">
      <c r="B89" t="s">
        <v>234</v>
      </c>
      <c r="C89" s="144">
        <v>43683</v>
      </c>
      <c r="D89" s="143" t="s">
        <v>1352</v>
      </c>
      <c r="E89" s="145">
        <v>34.89</v>
      </c>
      <c r="F89" s="143" t="s">
        <v>17</v>
      </c>
    </row>
    <row r="90" spans="2:7" x14ac:dyDescent="0.25">
      <c r="B90" t="s">
        <v>234</v>
      </c>
      <c r="C90" s="144">
        <v>43683</v>
      </c>
      <c r="D90" s="143" t="s">
        <v>1353</v>
      </c>
      <c r="E90" s="145">
        <v>34.99</v>
      </c>
      <c r="F90" s="143" t="s">
        <v>20</v>
      </c>
    </row>
    <row r="91" spans="2:7" x14ac:dyDescent="0.25">
      <c r="B91" t="s">
        <v>234</v>
      </c>
      <c r="C91" s="144">
        <v>43682</v>
      </c>
      <c r="D91" s="143" t="s">
        <v>1354</v>
      </c>
      <c r="E91" s="145">
        <v>14.08</v>
      </c>
      <c r="F91" s="143" t="s">
        <v>334</v>
      </c>
    </row>
    <row r="92" spans="2:7" x14ac:dyDescent="0.25">
      <c r="B92" t="s">
        <v>234</v>
      </c>
      <c r="C92" s="144">
        <v>43682</v>
      </c>
      <c r="D92" s="143" t="s">
        <v>1355</v>
      </c>
      <c r="E92" s="145">
        <v>65</v>
      </c>
      <c r="F92" s="143" t="s">
        <v>506</v>
      </c>
    </row>
    <row r="93" spans="2:7" x14ac:dyDescent="0.25">
      <c r="B93" t="s">
        <v>234</v>
      </c>
      <c r="C93" s="144">
        <v>43682</v>
      </c>
      <c r="D93" s="143" t="s">
        <v>1356</v>
      </c>
      <c r="E93" s="145">
        <v>87.82</v>
      </c>
      <c r="F93" s="143" t="s">
        <v>507</v>
      </c>
    </row>
    <row r="94" spans="2:7" x14ac:dyDescent="0.25">
      <c r="B94" t="s">
        <v>234</v>
      </c>
      <c r="C94" s="144">
        <v>43682</v>
      </c>
      <c r="D94" s="143" t="s">
        <v>364</v>
      </c>
      <c r="E94" s="145">
        <v>299</v>
      </c>
      <c r="F94" s="143" t="s">
        <v>8</v>
      </c>
    </row>
    <row r="95" spans="2:7" x14ac:dyDescent="0.25">
      <c r="B95" t="s">
        <v>234</v>
      </c>
      <c r="C95" s="144">
        <v>43682</v>
      </c>
      <c r="D95" s="143" t="s">
        <v>1357</v>
      </c>
      <c r="E95" s="145">
        <v>11.36</v>
      </c>
      <c r="F95" s="143" t="s">
        <v>15</v>
      </c>
    </row>
    <row r="96" spans="2:7" x14ac:dyDescent="0.25">
      <c r="B96" t="s">
        <v>234</v>
      </c>
      <c r="C96" s="144">
        <v>43682</v>
      </c>
      <c r="D96" s="143" t="s">
        <v>1358</v>
      </c>
      <c r="E96" s="145">
        <v>14.87</v>
      </c>
      <c r="F96" s="143" t="s">
        <v>15</v>
      </c>
    </row>
    <row r="97" spans="2:7" x14ac:dyDescent="0.25">
      <c r="B97" t="s">
        <v>234</v>
      </c>
      <c r="C97" s="144">
        <v>43682</v>
      </c>
      <c r="D97" s="143" t="s">
        <v>1359</v>
      </c>
      <c r="E97" s="145">
        <v>18.39</v>
      </c>
      <c r="F97" s="143" t="s">
        <v>15</v>
      </c>
    </row>
    <row r="98" spans="2:7" x14ac:dyDescent="0.25">
      <c r="B98" t="s">
        <v>234</v>
      </c>
      <c r="C98" s="144">
        <v>43682</v>
      </c>
      <c r="D98" s="143" t="s">
        <v>1360</v>
      </c>
      <c r="E98" s="145">
        <v>4.2300000000000004</v>
      </c>
      <c r="F98" s="143" t="s">
        <v>19</v>
      </c>
    </row>
    <row r="99" spans="2:7" x14ac:dyDescent="0.25">
      <c r="B99" t="s">
        <v>234</v>
      </c>
      <c r="C99" s="144">
        <v>43682</v>
      </c>
      <c r="D99" s="143" t="s">
        <v>1361</v>
      </c>
      <c r="E99" s="145">
        <v>16.77</v>
      </c>
      <c r="F99" s="143" t="s">
        <v>17</v>
      </c>
    </row>
    <row r="100" spans="2:7" x14ac:dyDescent="0.25">
      <c r="B100" t="s">
        <v>234</v>
      </c>
      <c r="C100" s="144">
        <v>43682</v>
      </c>
      <c r="D100" s="143" t="s">
        <v>1362</v>
      </c>
      <c r="E100" s="145">
        <v>12.79</v>
      </c>
      <c r="F100" s="143" t="s">
        <v>17</v>
      </c>
    </row>
    <row r="101" spans="2:7" x14ac:dyDescent="0.25">
      <c r="B101" t="s">
        <v>234</v>
      </c>
      <c r="C101" s="144">
        <v>43682</v>
      </c>
      <c r="D101" s="143" t="s">
        <v>1363</v>
      </c>
      <c r="E101" s="145">
        <v>25.17</v>
      </c>
      <c r="F101" s="143" t="s">
        <v>16</v>
      </c>
    </row>
    <row r="102" spans="2:7" x14ac:dyDescent="0.25">
      <c r="B102" t="s">
        <v>234</v>
      </c>
      <c r="C102" s="144">
        <v>43682</v>
      </c>
      <c r="D102" s="143" t="s">
        <v>1364</v>
      </c>
      <c r="E102" s="145">
        <v>66.75</v>
      </c>
      <c r="F102" s="143" t="s">
        <v>15</v>
      </c>
    </row>
    <row r="103" spans="2:7" x14ac:dyDescent="0.25">
      <c r="B103" t="s">
        <v>234</v>
      </c>
      <c r="C103" s="144">
        <v>43682</v>
      </c>
      <c r="D103" s="143" t="s">
        <v>1365</v>
      </c>
      <c r="E103" s="145">
        <v>4.2300000000000004</v>
      </c>
      <c r="F103" s="143" t="s">
        <v>19</v>
      </c>
    </row>
    <row r="104" spans="2:7" x14ac:dyDescent="0.25">
      <c r="B104" t="s">
        <v>234</v>
      </c>
      <c r="C104" s="144">
        <v>43682</v>
      </c>
      <c r="D104" s="143" t="s">
        <v>379</v>
      </c>
      <c r="E104" s="145">
        <v>0.99</v>
      </c>
      <c r="F104" s="143" t="s">
        <v>754</v>
      </c>
    </row>
    <row r="105" spans="2:7" x14ac:dyDescent="0.25">
      <c r="B105" t="s">
        <v>234</v>
      </c>
      <c r="C105" s="144">
        <v>43682</v>
      </c>
      <c r="D105" s="143" t="s">
        <v>1366</v>
      </c>
      <c r="E105" s="145">
        <v>31.98</v>
      </c>
      <c r="F105" s="143" t="s">
        <v>20</v>
      </c>
    </row>
    <row r="106" spans="2:7" x14ac:dyDescent="0.25">
      <c r="B106" t="s">
        <v>234</v>
      </c>
      <c r="C106" s="144">
        <v>43682</v>
      </c>
      <c r="D106" s="143" t="s">
        <v>1367</v>
      </c>
      <c r="E106" s="145">
        <v>27.4</v>
      </c>
      <c r="F106" s="143" t="s">
        <v>17</v>
      </c>
    </row>
    <row r="107" spans="2:7" x14ac:dyDescent="0.25">
      <c r="B107" t="s">
        <v>234</v>
      </c>
      <c r="C107" s="144">
        <v>43679</v>
      </c>
      <c r="D107" s="143" t="s">
        <v>377</v>
      </c>
      <c r="E107" s="145">
        <v>832.24</v>
      </c>
      <c r="F107" s="143" t="s">
        <v>11</v>
      </c>
    </row>
    <row r="108" spans="2:7" x14ac:dyDescent="0.25">
      <c r="B108" t="s">
        <v>234</v>
      </c>
      <c r="C108" s="144">
        <v>43679</v>
      </c>
      <c r="D108" s="143" t="s">
        <v>1368</v>
      </c>
      <c r="E108" s="145">
        <v>8.9499999999999993</v>
      </c>
      <c r="F108" s="143" t="s">
        <v>15</v>
      </c>
    </row>
    <row r="109" spans="2:7" x14ac:dyDescent="0.25">
      <c r="B109" t="s">
        <v>234</v>
      </c>
      <c r="C109" s="144">
        <v>43679</v>
      </c>
      <c r="D109" s="143" t="s">
        <v>1369</v>
      </c>
      <c r="E109" s="145">
        <v>17.11</v>
      </c>
      <c r="F109" s="143" t="s">
        <v>20</v>
      </c>
      <c r="G109" t="s">
        <v>1438</v>
      </c>
    </row>
    <row r="110" spans="2:7" x14ac:dyDescent="0.25">
      <c r="B110" t="s">
        <v>234</v>
      </c>
      <c r="C110" s="144">
        <v>43679</v>
      </c>
      <c r="D110" s="143" t="s">
        <v>1370</v>
      </c>
      <c r="E110" s="145">
        <v>4.2300000000000004</v>
      </c>
      <c r="F110" s="143" t="s">
        <v>19</v>
      </c>
    </row>
    <row r="111" spans="2:7" x14ac:dyDescent="0.25">
      <c r="B111" t="s">
        <v>234</v>
      </c>
      <c r="C111" s="144">
        <v>43679</v>
      </c>
      <c r="D111" s="143" t="s">
        <v>1371</v>
      </c>
      <c r="E111" s="145">
        <v>12.29</v>
      </c>
      <c r="F111" s="143" t="s">
        <v>15</v>
      </c>
    </row>
    <row r="112" spans="2:7" x14ac:dyDescent="0.25">
      <c r="B112" t="s">
        <v>234</v>
      </c>
      <c r="C112" s="144">
        <v>43679</v>
      </c>
      <c r="D112" s="143" t="s">
        <v>1372</v>
      </c>
      <c r="E112" s="145">
        <v>26.37</v>
      </c>
      <c r="F112" s="143" t="s">
        <v>15</v>
      </c>
    </row>
    <row r="113" spans="2:6" x14ac:dyDescent="0.25">
      <c r="B113" t="s">
        <v>234</v>
      </c>
      <c r="C113" s="144">
        <v>43678</v>
      </c>
      <c r="D113" s="143" t="s">
        <v>1373</v>
      </c>
      <c r="E113" s="145">
        <v>27.05</v>
      </c>
      <c r="F113" s="143" t="s">
        <v>17</v>
      </c>
    </row>
    <row r="114" spans="2:6" x14ac:dyDescent="0.25">
      <c r="B114" t="s">
        <v>234</v>
      </c>
      <c r="C114" s="144">
        <v>43678</v>
      </c>
      <c r="D114" s="143" t="s">
        <v>1374</v>
      </c>
      <c r="E114" s="145">
        <v>4.7699999999999996</v>
      </c>
      <c r="F114" s="143" t="s">
        <v>19</v>
      </c>
    </row>
    <row r="115" spans="2:6" x14ac:dyDescent="0.25">
      <c r="B115" t="s">
        <v>233</v>
      </c>
      <c r="C115" s="144">
        <v>43677</v>
      </c>
      <c r="D115" s="143" t="s">
        <v>104</v>
      </c>
      <c r="E115" s="145">
        <v>-0.02</v>
      </c>
      <c r="F115" s="143" t="s">
        <v>20</v>
      </c>
    </row>
    <row r="116" spans="2:6" x14ac:dyDescent="0.25">
      <c r="B116" t="s">
        <v>233</v>
      </c>
      <c r="C116" s="144">
        <v>43677</v>
      </c>
      <c r="D116" s="143" t="s">
        <v>1375</v>
      </c>
      <c r="E116" s="145">
        <v>9.09</v>
      </c>
      <c r="F116" s="143" t="s">
        <v>20</v>
      </c>
    </row>
    <row r="117" spans="2:6" x14ac:dyDescent="0.25">
      <c r="B117" t="s">
        <v>233</v>
      </c>
      <c r="C117" s="144">
        <v>43677</v>
      </c>
      <c r="D117" s="143" t="s">
        <v>1376</v>
      </c>
      <c r="E117" s="145">
        <v>-63.32</v>
      </c>
      <c r="F117" s="143" t="s">
        <v>20</v>
      </c>
    </row>
    <row r="118" spans="2:6" x14ac:dyDescent="0.25">
      <c r="B118" t="s">
        <v>233</v>
      </c>
      <c r="C118" s="144">
        <v>43676</v>
      </c>
      <c r="D118" s="143" t="s">
        <v>1377</v>
      </c>
      <c r="E118" s="145">
        <v>46</v>
      </c>
      <c r="F118" s="143" t="s">
        <v>15</v>
      </c>
    </row>
    <row r="119" spans="2:6" x14ac:dyDescent="0.25">
      <c r="B119" t="s">
        <v>233</v>
      </c>
      <c r="C119" s="144">
        <v>43676</v>
      </c>
      <c r="D119" s="143" t="s">
        <v>1378</v>
      </c>
      <c r="E119" s="145">
        <v>46.27</v>
      </c>
      <c r="F119" s="143" t="s">
        <v>20</v>
      </c>
    </row>
    <row r="120" spans="2:6" x14ac:dyDescent="0.25">
      <c r="B120" t="s">
        <v>233</v>
      </c>
      <c r="C120" s="144">
        <v>43676</v>
      </c>
      <c r="D120" s="143" t="s">
        <v>1379</v>
      </c>
      <c r="E120" s="145">
        <v>35.96</v>
      </c>
      <c r="F120" s="143" t="s">
        <v>17</v>
      </c>
    </row>
    <row r="121" spans="2:6" x14ac:dyDescent="0.25">
      <c r="B121" t="s">
        <v>233</v>
      </c>
      <c r="C121" s="144">
        <v>43675</v>
      </c>
      <c r="D121" s="143" t="s">
        <v>1380</v>
      </c>
      <c r="E121" s="145">
        <v>21.39</v>
      </c>
      <c r="F121" s="143" t="s">
        <v>138</v>
      </c>
    </row>
    <row r="122" spans="2:6" x14ac:dyDescent="0.25">
      <c r="B122" t="s">
        <v>233</v>
      </c>
      <c r="C122" s="144">
        <v>43675</v>
      </c>
      <c r="D122" s="143" t="s">
        <v>106</v>
      </c>
      <c r="E122" s="145">
        <v>437.54</v>
      </c>
      <c r="F122" s="143" t="s">
        <v>192</v>
      </c>
    </row>
    <row r="123" spans="2:6" x14ac:dyDescent="0.25">
      <c r="B123" t="s">
        <v>233</v>
      </c>
      <c r="C123" s="144">
        <v>43675</v>
      </c>
      <c r="D123" s="143" t="s">
        <v>1381</v>
      </c>
      <c r="E123" s="145">
        <v>9.3800000000000008</v>
      </c>
      <c r="F123" s="143" t="s">
        <v>15</v>
      </c>
    </row>
    <row r="124" spans="2:6" x14ac:dyDescent="0.25">
      <c r="B124" t="s">
        <v>233</v>
      </c>
      <c r="C124" s="144">
        <v>43675</v>
      </c>
      <c r="D124" s="143" t="s">
        <v>1382</v>
      </c>
      <c r="E124" s="145">
        <v>26</v>
      </c>
      <c r="F124" s="143" t="s">
        <v>198</v>
      </c>
    </row>
    <row r="125" spans="2:6" x14ac:dyDescent="0.25">
      <c r="B125" t="s">
        <v>233</v>
      </c>
      <c r="C125" s="144">
        <v>43675</v>
      </c>
      <c r="D125" s="143" t="s">
        <v>1383</v>
      </c>
      <c r="E125" s="145">
        <v>4.2300000000000004</v>
      </c>
      <c r="F125" s="143" t="s">
        <v>19</v>
      </c>
    </row>
    <row r="126" spans="2:6" x14ac:dyDescent="0.25">
      <c r="B126" t="s">
        <v>233</v>
      </c>
      <c r="C126" s="144">
        <v>43675</v>
      </c>
      <c r="D126" s="143" t="s">
        <v>1384</v>
      </c>
      <c r="E126" s="145">
        <v>5.99</v>
      </c>
      <c r="F126" s="143" t="s">
        <v>15</v>
      </c>
    </row>
    <row r="127" spans="2:6" x14ac:dyDescent="0.25">
      <c r="B127" t="s">
        <v>233</v>
      </c>
      <c r="C127" s="144">
        <v>43675</v>
      </c>
      <c r="D127" s="143" t="s">
        <v>1385</v>
      </c>
      <c r="E127" s="145">
        <v>43.02</v>
      </c>
      <c r="F127" s="143" t="s">
        <v>21</v>
      </c>
    </row>
    <row r="128" spans="2:6" x14ac:dyDescent="0.25">
      <c r="B128" t="s">
        <v>233</v>
      </c>
      <c r="C128" s="144">
        <v>43675</v>
      </c>
      <c r="D128" s="143" t="s">
        <v>1386</v>
      </c>
      <c r="E128" s="145">
        <v>5</v>
      </c>
      <c r="F128" s="143" t="s">
        <v>15</v>
      </c>
    </row>
    <row r="129" spans="2:7" x14ac:dyDescent="0.25">
      <c r="B129" t="s">
        <v>233</v>
      </c>
      <c r="C129" s="144">
        <v>43675</v>
      </c>
      <c r="D129" s="143" t="s">
        <v>1387</v>
      </c>
      <c r="E129" s="145">
        <v>43.95</v>
      </c>
      <c r="F129" s="143" t="s">
        <v>202</v>
      </c>
    </row>
    <row r="130" spans="2:7" x14ac:dyDescent="0.25">
      <c r="B130" t="s">
        <v>233</v>
      </c>
      <c r="C130" s="144">
        <v>43675</v>
      </c>
      <c r="D130" s="143" t="s">
        <v>1388</v>
      </c>
      <c r="E130" s="145">
        <v>30</v>
      </c>
      <c r="F130" s="143" t="s">
        <v>16</v>
      </c>
    </row>
    <row r="131" spans="2:7" x14ac:dyDescent="0.25">
      <c r="B131" t="s">
        <v>233</v>
      </c>
      <c r="C131" s="144">
        <v>43675</v>
      </c>
      <c r="D131" s="143" t="s">
        <v>1389</v>
      </c>
      <c r="E131" s="145">
        <v>33.82</v>
      </c>
      <c r="F131" s="143" t="s">
        <v>17</v>
      </c>
    </row>
    <row r="132" spans="2:7" x14ac:dyDescent="0.25">
      <c r="B132" t="s">
        <v>233</v>
      </c>
      <c r="C132" s="144">
        <v>43675</v>
      </c>
      <c r="D132" s="143" t="s">
        <v>1390</v>
      </c>
      <c r="E132" s="145">
        <v>4.2300000000000004</v>
      </c>
      <c r="F132" s="143" t="s">
        <v>19</v>
      </c>
    </row>
    <row r="133" spans="2:7" x14ac:dyDescent="0.25">
      <c r="B133" t="s">
        <v>233</v>
      </c>
      <c r="C133" s="144">
        <v>43675</v>
      </c>
      <c r="D133" s="143" t="s">
        <v>1391</v>
      </c>
      <c r="E133" s="145">
        <v>69</v>
      </c>
      <c r="F133" s="143" t="s">
        <v>20</v>
      </c>
    </row>
    <row r="134" spans="2:7" x14ac:dyDescent="0.25">
      <c r="B134" t="s">
        <v>233</v>
      </c>
      <c r="C134" s="144">
        <v>43675</v>
      </c>
      <c r="D134" s="143" t="s">
        <v>1392</v>
      </c>
      <c r="E134" s="145">
        <v>11.56</v>
      </c>
      <c r="F134" s="143" t="s">
        <v>17</v>
      </c>
    </row>
    <row r="135" spans="2:7" x14ac:dyDescent="0.25">
      <c r="B135" t="s">
        <v>233</v>
      </c>
      <c r="C135" s="144">
        <v>43675</v>
      </c>
      <c r="D135" s="143" t="s">
        <v>1393</v>
      </c>
      <c r="E135" s="145">
        <v>-3.95</v>
      </c>
      <c r="F135" s="143" t="s">
        <v>20</v>
      </c>
    </row>
    <row r="136" spans="2:7" x14ac:dyDescent="0.25">
      <c r="B136" t="s">
        <v>233</v>
      </c>
      <c r="C136" s="144">
        <v>43672</v>
      </c>
      <c r="D136" s="143" t="s">
        <v>1394</v>
      </c>
      <c r="E136" s="145">
        <v>20</v>
      </c>
      <c r="F136" s="143" t="s">
        <v>16</v>
      </c>
    </row>
    <row r="137" spans="2:7" x14ac:dyDescent="0.25">
      <c r="B137" t="s">
        <v>233</v>
      </c>
      <c r="C137" s="144">
        <v>43672</v>
      </c>
      <c r="D137" s="143" t="s">
        <v>1395</v>
      </c>
      <c r="E137" s="145">
        <v>7.58</v>
      </c>
      <c r="F137" s="143" t="s">
        <v>15</v>
      </c>
    </row>
    <row r="138" spans="2:7" x14ac:dyDescent="0.25">
      <c r="B138" t="s">
        <v>233</v>
      </c>
      <c r="C138" s="144">
        <v>43672</v>
      </c>
      <c r="D138" s="143" t="s">
        <v>1396</v>
      </c>
      <c r="E138" s="145">
        <v>24.84</v>
      </c>
      <c r="F138" s="143" t="s">
        <v>17</v>
      </c>
    </row>
    <row r="139" spans="2:7" x14ac:dyDescent="0.25">
      <c r="B139" t="s">
        <v>233</v>
      </c>
      <c r="C139" s="144">
        <v>43671</v>
      </c>
      <c r="D139" s="143" t="s">
        <v>1397</v>
      </c>
      <c r="E139" s="145">
        <v>18.27</v>
      </c>
      <c r="F139" s="143" t="s">
        <v>676</v>
      </c>
    </row>
    <row r="140" spans="2:7" x14ac:dyDescent="0.25">
      <c r="B140" t="s">
        <v>233</v>
      </c>
      <c r="C140" s="144">
        <v>43671</v>
      </c>
      <c r="D140" s="143" t="s">
        <v>1398</v>
      </c>
      <c r="E140" s="145">
        <v>15.52</v>
      </c>
      <c r="F140" s="143" t="s">
        <v>15</v>
      </c>
    </row>
    <row r="141" spans="2:7" x14ac:dyDescent="0.25">
      <c r="B141" t="s">
        <v>233</v>
      </c>
      <c r="C141" s="144">
        <v>43671</v>
      </c>
      <c r="D141" s="143" t="s">
        <v>1399</v>
      </c>
      <c r="E141" s="145">
        <v>13.99</v>
      </c>
      <c r="F141" s="143" t="s">
        <v>754</v>
      </c>
    </row>
    <row r="142" spans="2:7" x14ac:dyDescent="0.25">
      <c r="B142" t="s">
        <v>233</v>
      </c>
      <c r="C142" s="144">
        <v>43671</v>
      </c>
      <c r="D142" s="143" t="s">
        <v>1400</v>
      </c>
      <c r="E142" s="145">
        <v>4.7699999999999996</v>
      </c>
      <c r="F142" s="143" t="s">
        <v>19</v>
      </c>
    </row>
    <row r="143" spans="2:7" x14ac:dyDescent="0.25">
      <c r="B143" t="s">
        <v>233</v>
      </c>
      <c r="C143" s="144">
        <v>43670</v>
      </c>
      <c r="D143" s="143" t="s">
        <v>1401</v>
      </c>
      <c r="E143" s="145">
        <v>0.99</v>
      </c>
      <c r="F143" s="143" t="s">
        <v>754</v>
      </c>
    </row>
    <row r="144" spans="2:7" x14ac:dyDescent="0.25">
      <c r="B144" t="s">
        <v>233</v>
      </c>
      <c r="C144" s="144">
        <v>43670</v>
      </c>
      <c r="D144" s="143" t="s">
        <v>1402</v>
      </c>
      <c r="E144" s="145">
        <v>97.76</v>
      </c>
      <c r="F144" s="143" t="s">
        <v>20</v>
      </c>
      <c r="G144" t="s">
        <v>1441</v>
      </c>
    </row>
    <row r="145" spans="2:12" x14ac:dyDescent="0.25">
      <c r="B145" t="s">
        <v>233</v>
      </c>
      <c r="C145" s="144">
        <v>43669</v>
      </c>
      <c r="D145" s="143" t="s">
        <v>1403</v>
      </c>
      <c r="E145" s="145">
        <v>14.76</v>
      </c>
      <c r="F145" s="143" t="s">
        <v>15</v>
      </c>
    </row>
    <row r="146" spans="2:12" x14ac:dyDescent="0.25">
      <c r="B146" t="s">
        <v>233</v>
      </c>
      <c r="C146" s="144">
        <v>43669</v>
      </c>
      <c r="D146" s="143" t="s">
        <v>1404</v>
      </c>
      <c r="E146" s="145">
        <v>90.62</v>
      </c>
      <c r="F146" s="143" t="s">
        <v>20</v>
      </c>
      <c r="G146" t="s">
        <v>1440</v>
      </c>
    </row>
    <row r="147" spans="2:12" x14ac:dyDescent="0.25">
      <c r="B147" t="s">
        <v>233</v>
      </c>
      <c r="C147" s="144">
        <v>43669</v>
      </c>
      <c r="D147" s="143" t="s">
        <v>1404</v>
      </c>
      <c r="E147" s="145">
        <v>10</v>
      </c>
      <c r="F147" s="143" t="s">
        <v>20</v>
      </c>
      <c r="G147" t="s">
        <v>1440</v>
      </c>
    </row>
    <row r="148" spans="2:12" x14ac:dyDescent="0.25">
      <c r="B148" t="s">
        <v>233</v>
      </c>
      <c r="C148" s="144">
        <v>43669</v>
      </c>
      <c r="D148" s="143" t="s">
        <v>1405</v>
      </c>
      <c r="E148" s="145">
        <v>1.36</v>
      </c>
      <c r="F148" s="143" t="s">
        <v>20</v>
      </c>
      <c r="G148" t="s">
        <v>1440</v>
      </c>
    </row>
    <row r="149" spans="2:12" x14ac:dyDescent="0.25">
      <c r="B149" t="s">
        <v>233</v>
      </c>
      <c r="C149" s="144">
        <v>43669</v>
      </c>
      <c r="D149" s="143" t="s">
        <v>1406</v>
      </c>
      <c r="E149" s="145">
        <v>29.9</v>
      </c>
      <c r="F149" s="143" t="s">
        <v>21</v>
      </c>
    </row>
    <row r="150" spans="2:12" x14ac:dyDescent="0.25">
      <c r="B150" t="s">
        <v>233</v>
      </c>
      <c r="C150" s="144">
        <v>43668</v>
      </c>
      <c r="D150" s="143" t="s">
        <v>1407</v>
      </c>
      <c r="E150" s="145">
        <v>23.61</v>
      </c>
      <c r="F150" s="143" t="s">
        <v>676</v>
      </c>
    </row>
    <row r="151" spans="2:12" x14ac:dyDescent="0.25">
      <c r="B151" t="s">
        <v>233</v>
      </c>
      <c r="C151" s="144">
        <v>43668</v>
      </c>
      <c r="D151" s="143" t="s">
        <v>1408</v>
      </c>
      <c r="E151" s="145">
        <v>27.45</v>
      </c>
      <c r="F151" s="143" t="s">
        <v>17</v>
      </c>
      <c r="G151" t="s">
        <v>1439</v>
      </c>
    </row>
    <row r="152" spans="2:12" x14ac:dyDescent="0.25">
      <c r="B152" t="s">
        <v>233</v>
      </c>
      <c r="C152" s="144">
        <v>43668</v>
      </c>
      <c r="D152" s="143" t="s">
        <v>1409</v>
      </c>
      <c r="E152" s="145">
        <v>17.11</v>
      </c>
      <c r="F152" s="143" t="s">
        <v>20</v>
      </c>
      <c r="G152" t="s">
        <v>1438</v>
      </c>
    </row>
    <row r="153" spans="2:12" x14ac:dyDescent="0.25">
      <c r="B153" t="s">
        <v>233</v>
      </c>
      <c r="C153" s="144">
        <v>43668</v>
      </c>
      <c r="D153" s="143" t="s">
        <v>1410</v>
      </c>
      <c r="E153" s="145">
        <v>21.39</v>
      </c>
      <c r="F153" s="143" t="s">
        <v>20</v>
      </c>
      <c r="G153" t="s">
        <v>753</v>
      </c>
    </row>
    <row r="154" spans="2:12" x14ac:dyDescent="0.25">
      <c r="B154" t="s">
        <v>233</v>
      </c>
      <c r="C154" s="144">
        <v>43668</v>
      </c>
      <c r="D154" s="143" t="s">
        <v>1411</v>
      </c>
      <c r="E154" s="145">
        <v>4.2300000000000004</v>
      </c>
      <c r="F154" s="143" t="s">
        <v>19</v>
      </c>
    </row>
    <row r="155" spans="2:12" x14ac:dyDescent="0.25">
      <c r="B155" t="s">
        <v>233</v>
      </c>
      <c r="C155" s="144">
        <v>43668</v>
      </c>
      <c r="D155" s="143" t="s">
        <v>1412</v>
      </c>
      <c r="E155" s="145">
        <v>2.68</v>
      </c>
      <c r="F155" s="143" t="s">
        <v>19</v>
      </c>
      <c r="L155" s="5"/>
    </row>
    <row r="156" spans="2:12" x14ac:dyDescent="0.25">
      <c r="B156" t="s">
        <v>233</v>
      </c>
      <c r="C156" s="144">
        <v>43668</v>
      </c>
      <c r="D156" s="143" t="s">
        <v>1413</v>
      </c>
      <c r="E156" s="145">
        <v>27.22</v>
      </c>
      <c r="F156" s="143" t="s">
        <v>15</v>
      </c>
      <c r="L156" s="5"/>
    </row>
    <row r="157" spans="2:12" x14ac:dyDescent="0.25">
      <c r="B157" t="s">
        <v>233</v>
      </c>
      <c r="C157" s="144">
        <v>43668</v>
      </c>
      <c r="D157" s="143" t="s">
        <v>1414</v>
      </c>
      <c r="E157" s="145">
        <v>25.03</v>
      </c>
      <c r="F157" s="143" t="s">
        <v>16</v>
      </c>
      <c r="L157" s="5"/>
    </row>
    <row r="158" spans="2:12" x14ac:dyDescent="0.25">
      <c r="B158" t="s">
        <v>233</v>
      </c>
      <c r="C158" s="144">
        <v>43668</v>
      </c>
      <c r="D158" s="143" t="s">
        <v>1415</v>
      </c>
      <c r="E158" s="145">
        <v>20</v>
      </c>
      <c r="F158" s="143" t="s">
        <v>202</v>
      </c>
      <c r="L158" s="5"/>
    </row>
    <row r="159" spans="2:12" x14ac:dyDescent="0.25">
      <c r="C159" s="144">
        <v>43668</v>
      </c>
      <c r="D159" s="143" t="s">
        <v>1415</v>
      </c>
      <c r="E159" s="145">
        <v>60</v>
      </c>
      <c r="F159" s="143" t="s">
        <v>202</v>
      </c>
      <c r="G159" t="s">
        <v>1437</v>
      </c>
      <c r="L159" s="5"/>
    </row>
    <row r="160" spans="2:12" x14ac:dyDescent="0.25">
      <c r="B160" t="s">
        <v>233</v>
      </c>
      <c r="C160" s="144">
        <v>43668</v>
      </c>
      <c r="D160" s="143" t="s">
        <v>1416</v>
      </c>
      <c r="E160" s="145">
        <v>4.2300000000000004</v>
      </c>
      <c r="F160" s="143" t="s">
        <v>19</v>
      </c>
      <c r="L160" s="5"/>
    </row>
    <row r="161" spans="2:12" x14ac:dyDescent="0.25">
      <c r="B161" t="s">
        <v>233</v>
      </c>
      <c r="C161" s="144">
        <v>43668</v>
      </c>
      <c r="D161" s="143" t="s">
        <v>1417</v>
      </c>
      <c r="E161" s="145">
        <v>5.57</v>
      </c>
      <c r="F161" s="143" t="s">
        <v>754</v>
      </c>
      <c r="L161" s="18"/>
    </row>
    <row r="162" spans="2:12" x14ac:dyDescent="0.25">
      <c r="B162" t="s">
        <v>233</v>
      </c>
      <c r="C162" s="144">
        <v>43668</v>
      </c>
      <c r="D162" s="143" t="s">
        <v>1418</v>
      </c>
      <c r="E162" s="145">
        <v>3</v>
      </c>
      <c r="F162" s="143" t="s">
        <v>21</v>
      </c>
      <c r="L162" s="18"/>
    </row>
    <row r="163" spans="2:12" x14ac:dyDescent="0.25">
      <c r="B163" t="s">
        <v>233</v>
      </c>
      <c r="C163" s="144">
        <v>43668</v>
      </c>
      <c r="D163" s="143" t="s">
        <v>1419</v>
      </c>
      <c r="E163" s="145">
        <v>86.25</v>
      </c>
      <c r="F163" s="143" t="s">
        <v>21</v>
      </c>
      <c r="L163" s="18"/>
    </row>
    <row r="164" spans="2:12" x14ac:dyDescent="0.25">
      <c r="B164" t="s">
        <v>233</v>
      </c>
      <c r="C164" s="144">
        <v>43668</v>
      </c>
      <c r="D164" s="143" t="s">
        <v>1418</v>
      </c>
      <c r="E164" s="145">
        <v>9</v>
      </c>
      <c r="F164" s="143" t="s">
        <v>21</v>
      </c>
      <c r="L164" s="18"/>
    </row>
    <row r="165" spans="2:12" x14ac:dyDescent="0.25">
      <c r="B165" t="s">
        <v>233</v>
      </c>
      <c r="C165" s="144">
        <v>43668</v>
      </c>
      <c r="D165" s="143" t="s">
        <v>1420</v>
      </c>
      <c r="E165" s="145">
        <v>165</v>
      </c>
      <c r="F165" s="143" t="s">
        <v>20</v>
      </c>
      <c r="G165" t="s">
        <v>1436</v>
      </c>
    </row>
    <row r="166" spans="2:12" x14ac:dyDescent="0.25">
      <c r="B166" t="s">
        <v>233</v>
      </c>
      <c r="C166" s="144">
        <v>43664</v>
      </c>
      <c r="D166" s="143" t="s">
        <v>1421</v>
      </c>
      <c r="E166" s="145">
        <v>2.68</v>
      </c>
      <c r="F166" s="143" t="s">
        <v>19</v>
      </c>
    </row>
    <row r="167" spans="2:12" x14ac:dyDescent="0.25">
      <c r="B167" t="s">
        <v>233</v>
      </c>
      <c r="C167" s="144">
        <v>43664</v>
      </c>
      <c r="D167" s="143" t="s">
        <v>1422</v>
      </c>
      <c r="E167" s="145">
        <v>10.47</v>
      </c>
      <c r="F167" s="143" t="s">
        <v>15</v>
      </c>
    </row>
    <row r="168" spans="2:12" x14ac:dyDescent="0.25">
      <c r="B168" t="s">
        <v>233</v>
      </c>
      <c r="C168" s="144">
        <v>43664</v>
      </c>
      <c r="D168" s="143" t="s">
        <v>1423</v>
      </c>
      <c r="E168" s="145">
        <v>5.49</v>
      </c>
      <c r="F168" s="143" t="s">
        <v>676</v>
      </c>
    </row>
    <row r="169" spans="2:12" x14ac:dyDescent="0.25">
      <c r="B169" t="s">
        <v>233</v>
      </c>
      <c r="C169" s="144">
        <v>43664</v>
      </c>
      <c r="D169" s="143" t="s">
        <v>1424</v>
      </c>
      <c r="E169" s="145">
        <v>33.82</v>
      </c>
      <c r="F169" s="143" t="s">
        <v>17</v>
      </c>
    </row>
    <row r="170" spans="2:12" x14ac:dyDescent="0.25">
      <c r="B170" t="s">
        <v>233</v>
      </c>
      <c r="C170" s="144">
        <v>43663</v>
      </c>
      <c r="D170" s="143" t="s">
        <v>1425</v>
      </c>
      <c r="E170" s="145">
        <v>2.68</v>
      </c>
      <c r="F170" s="143" t="s">
        <v>19</v>
      </c>
    </row>
    <row r="171" spans="2:12" x14ac:dyDescent="0.25">
      <c r="B171" t="s">
        <v>233</v>
      </c>
      <c r="C171" s="144">
        <v>43663</v>
      </c>
      <c r="D171" s="143" t="s">
        <v>1426</v>
      </c>
      <c r="E171" s="145">
        <v>10.39</v>
      </c>
      <c r="F171" s="143" t="s">
        <v>15</v>
      </c>
    </row>
    <row r="172" spans="2:12" x14ac:dyDescent="0.25">
      <c r="B172" t="s">
        <v>233</v>
      </c>
      <c r="C172" s="144">
        <v>43663</v>
      </c>
      <c r="D172" s="143" t="s">
        <v>1427</v>
      </c>
      <c r="E172" s="145">
        <v>30</v>
      </c>
      <c r="F172" s="143" t="s">
        <v>16</v>
      </c>
    </row>
    <row r="173" spans="2:12" x14ac:dyDescent="0.25">
      <c r="B173" t="s">
        <v>233</v>
      </c>
      <c r="C173" s="144">
        <v>43662</v>
      </c>
      <c r="D173" s="143" t="s">
        <v>1428</v>
      </c>
      <c r="E173" s="145">
        <v>4.2300000000000004</v>
      </c>
      <c r="F173" s="143" t="s">
        <v>19</v>
      </c>
    </row>
    <row r="174" spans="2:12" x14ac:dyDescent="0.25">
      <c r="B174" t="s">
        <v>233</v>
      </c>
      <c r="C174" s="144">
        <v>43662</v>
      </c>
      <c r="D174" s="143" t="s">
        <v>1429</v>
      </c>
      <c r="E174" s="145">
        <v>18.8</v>
      </c>
      <c r="F174" s="143" t="s">
        <v>15</v>
      </c>
    </row>
    <row r="175" spans="2:12" x14ac:dyDescent="0.25">
      <c r="B175" t="s">
        <v>233</v>
      </c>
      <c r="C175" s="144">
        <v>43662</v>
      </c>
      <c r="D175" s="143" t="s">
        <v>1430</v>
      </c>
      <c r="E175" s="145">
        <v>6.18</v>
      </c>
      <c r="F175" s="143" t="s">
        <v>17</v>
      </c>
    </row>
    <row r="176" spans="2:12" x14ac:dyDescent="0.25">
      <c r="B176" t="s">
        <v>233</v>
      </c>
      <c r="C176" s="144">
        <v>43661</v>
      </c>
      <c r="D176" s="143" t="s">
        <v>1431</v>
      </c>
      <c r="E176" s="145">
        <v>36.64</v>
      </c>
      <c r="F176" s="143" t="s">
        <v>15</v>
      </c>
    </row>
    <row r="177" spans="2:7" x14ac:dyDescent="0.25">
      <c r="B177" t="s">
        <v>233</v>
      </c>
      <c r="C177" s="144">
        <v>43661</v>
      </c>
      <c r="D177" s="143" t="s">
        <v>1432</v>
      </c>
      <c r="E177" s="145">
        <v>4.2300000000000004</v>
      </c>
      <c r="F177" s="143" t="s">
        <v>19</v>
      </c>
    </row>
    <row r="178" spans="2:7" x14ac:dyDescent="0.25">
      <c r="B178" t="s">
        <v>233</v>
      </c>
      <c r="C178" s="144">
        <v>43661</v>
      </c>
      <c r="D178" s="143" t="s">
        <v>806</v>
      </c>
      <c r="E178" s="145">
        <v>23</v>
      </c>
      <c r="F178" s="143" t="s">
        <v>198</v>
      </c>
    </row>
    <row r="179" spans="2:7" x14ac:dyDescent="0.25">
      <c r="B179" t="s">
        <v>233</v>
      </c>
      <c r="C179" s="144">
        <v>43661</v>
      </c>
      <c r="D179" s="143" t="s">
        <v>1274</v>
      </c>
      <c r="E179" s="145">
        <v>8.11</v>
      </c>
      <c r="F179" s="143" t="s">
        <v>20</v>
      </c>
    </row>
    <row r="180" spans="2:7" x14ac:dyDescent="0.25">
      <c r="B180" t="s">
        <v>233</v>
      </c>
      <c r="C180" s="144">
        <v>43661</v>
      </c>
      <c r="D180" s="143" t="s">
        <v>43</v>
      </c>
      <c r="E180" s="145">
        <v>37.4</v>
      </c>
      <c r="F180" s="143" t="s">
        <v>20</v>
      </c>
      <c r="G180" t="s">
        <v>753</v>
      </c>
    </row>
    <row r="181" spans="2:7" x14ac:dyDescent="0.25">
      <c r="B181" t="s">
        <v>233</v>
      </c>
      <c r="C181" s="144">
        <v>43661</v>
      </c>
      <c r="D181" s="143" t="s">
        <v>43</v>
      </c>
      <c r="E181" s="145">
        <v>2.68</v>
      </c>
      <c r="F181" s="143" t="s">
        <v>19</v>
      </c>
    </row>
    <row r="182" spans="2:7" x14ac:dyDescent="0.25">
      <c r="B182" t="s">
        <v>233</v>
      </c>
      <c r="C182" s="144">
        <v>43661</v>
      </c>
      <c r="D182" s="143" t="s">
        <v>257</v>
      </c>
      <c r="E182" s="145">
        <v>6.42</v>
      </c>
      <c r="F182" s="143" t="s">
        <v>17</v>
      </c>
    </row>
    <row r="183" spans="2:7" x14ac:dyDescent="0.25">
      <c r="B183" t="s">
        <v>233</v>
      </c>
      <c r="C183" s="144">
        <v>43661</v>
      </c>
      <c r="D183" s="143" t="s">
        <v>43</v>
      </c>
      <c r="E183" s="145">
        <v>4.2300000000000004</v>
      </c>
      <c r="F183" s="143" t="s">
        <v>19</v>
      </c>
    </row>
    <row r="184" spans="2:7" x14ac:dyDescent="0.25">
      <c r="B184" t="s">
        <v>233</v>
      </c>
      <c r="C184" s="144">
        <v>43661</v>
      </c>
      <c r="D184" s="143" t="s">
        <v>257</v>
      </c>
      <c r="E184" s="145">
        <v>9.74</v>
      </c>
      <c r="F184" s="143" t="s">
        <v>15</v>
      </c>
    </row>
    <row r="185" spans="2:7" x14ac:dyDescent="0.25">
      <c r="B185" t="s">
        <v>233</v>
      </c>
      <c r="C185" s="144">
        <v>43661</v>
      </c>
      <c r="D185" s="143" t="s">
        <v>43</v>
      </c>
      <c r="E185" s="145">
        <v>8.1300000000000008</v>
      </c>
      <c r="F185" s="143" t="s">
        <v>19</v>
      </c>
    </row>
    <row r="186" spans="2:7" x14ac:dyDescent="0.25">
      <c r="B186" t="s">
        <v>233</v>
      </c>
      <c r="C186" s="144">
        <v>43661</v>
      </c>
      <c r="D186" s="143" t="s">
        <v>705</v>
      </c>
      <c r="E186" s="145">
        <v>25.33</v>
      </c>
      <c r="F186" s="143" t="s">
        <v>17</v>
      </c>
    </row>
    <row r="187" spans="2:7" x14ac:dyDescent="0.25">
      <c r="B187" t="s">
        <v>233</v>
      </c>
      <c r="C187" s="144">
        <v>43661</v>
      </c>
      <c r="D187" s="143" t="s">
        <v>620</v>
      </c>
      <c r="E187" s="145">
        <v>40</v>
      </c>
      <c r="F187" s="143" t="s">
        <v>202</v>
      </c>
    </row>
    <row r="188" spans="2:7" x14ac:dyDescent="0.25">
      <c r="B188" t="s">
        <v>233</v>
      </c>
      <c r="C188" s="144">
        <v>43661</v>
      </c>
      <c r="D188" s="143" t="s">
        <v>1275</v>
      </c>
      <c r="E188" s="145">
        <f>77.63-7.63</f>
        <v>70</v>
      </c>
      <c r="F188" s="143" t="s">
        <v>754</v>
      </c>
      <c r="G188" t="s">
        <v>1285</v>
      </c>
    </row>
    <row r="189" spans="2:7" x14ac:dyDescent="0.25">
      <c r="B189" t="s">
        <v>233</v>
      </c>
      <c r="C189" s="144">
        <v>43661</v>
      </c>
      <c r="D189" s="143" t="s">
        <v>1275</v>
      </c>
      <c r="E189" s="145">
        <f>77.63-70</f>
        <v>7.6299999999999955</v>
      </c>
      <c r="F189" s="143" t="s">
        <v>17</v>
      </c>
    </row>
    <row r="190" spans="2:7" x14ac:dyDescent="0.25">
      <c r="B190" t="s">
        <v>233</v>
      </c>
      <c r="C190" s="144">
        <v>43661</v>
      </c>
      <c r="D190" s="143" t="s">
        <v>1276</v>
      </c>
      <c r="E190" s="145">
        <v>32.770000000000003</v>
      </c>
      <c r="F190" s="143" t="s">
        <v>16</v>
      </c>
    </row>
    <row r="191" spans="2:7" x14ac:dyDescent="0.25">
      <c r="B191" t="s">
        <v>233</v>
      </c>
      <c r="C191" s="144">
        <v>43661</v>
      </c>
      <c r="D191" s="143" t="s">
        <v>43</v>
      </c>
      <c r="E191" s="145">
        <v>2.68</v>
      </c>
      <c r="F191" s="143" t="s">
        <v>19</v>
      </c>
    </row>
    <row r="192" spans="2:7" x14ac:dyDescent="0.25">
      <c r="B192" t="s">
        <v>233</v>
      </c>
      <c r="C192" s="144">
        <v>43659</v>
      </c>
      <c r="D192" s="143" t="s">
        <v>778</v>
      </c>
      <c r="E192" s="145">
        <v>22.25</v>
      </c>
      <c r="F192" s="143" t="s">
        <v>17</v>
      </c>
    </row>
    <row r="193" spans="2:6" x14ac:dyDescent="0.25">
      <c r="B193" t="s">
        <v>233</v>
      </c>
      <c r="C193" s="144">
        <v>43658</v>
      </c>
      <c r="D193" s="143" t="s">
        <v>1277</v>
      </c>
      <c r="E193" s="145">
        <v>119.06</v>
      </c>
      <c r="F193" s="143" t="s">
        <v>754</v>
      </c>
    </row>
    <row r="194" spans="2:6" x14ac:dyDescent="0.25">
      <c r="B194" t="s">
        <v>233</v>
      </c>
      <c r="C194" s="144">
        <v>43657</v>
      </c>
      <c r="D194" s="143" t="s">
        <v>1278</v>
      </c>
      <c r="E194" s="145">
        <v>14.29</v>
      </c>
      <c r="F194" s="143" t="s">
        <v>15</v>
      </c>
    </row>
    <row r="195" spans="2:6" x14ac:dyDescent="0.25">
      <c r="B195" t="s">
        <v>233</v>
      </c>
      <c r="C195" s="144">
        <v>43657</v>
      </c>
      <c r="D195" s="143" t="s">
        <v>1279</v>
      </c>
      <c r="E195" s="145">
        <v>27.42</v>
      </c>
      <c r="F195" s="143" t="s">
        <v>15</v>
      </c>
    </row>
    <row r="196" spans="2:6" x14ac:dyDescent="0.25">
      <c r="B196" t="s">
        <v>233</v>
      </c>
      <c r="C196" s="144">
        <v>43657</v>
      </c>
      <c r="D196" s="143" t="s">
        <v>1280</v>
      </c>
      <c r="E196" s="145">
        <v>15.55</v>
      </c>
      <c r="F196" s="143" t="s">
        <v>15</v>
      </c>
    </row>
    <row r="197" spans="2:6" x14ac:dyDescent="0.25">
      <c r="B197" t="s">
        <v>233</v>
      </c>
      <c r="C197" s="144">
        <v>43657</v>
      </c>
      <c r="D197" s="143" t="s">
        <v>1281</v>
      </c>
      <c r="E197" s="145">
        <v>27.03</v>
      </c>
      <c r="F197" s="143" t="s">
        <v>16</v>
      </c>
    </row>
    <row r="198" spans="2:6" x14ac:dyDescent="0.25">
      <c r="B198" t="s">
        <v>233</v>
      </c>
      <c r="C198" s="144">
        <v>43657</v>
      </c>
      <c r="D198" s="143" t="s">
        <v>1282</v>
      </c>
      <c r="E198" s="145">
        <v>8.2200000000000006</v>
      </c>
      <c r="F198" s="143" t="s">
        <v>754</v>
      </c>
    </row>
    <row r="199" spans="2:6" x14ac:dyDescent="0.25">
      <c r="B199" t="s">
        <v>233</v>
      </c>
      <c r="C199" s="144">
        <v>43657</v>
      </c>
      <c r="D199" s="143" t="s">
        <v>1283</v>
      </c>
      <c r="E199" s="145">
        <v>35.96</v>
      </c>
      <c r="F199" s="143" t="s">
        <v>17</v>
      </c>
    </row>
    <row r="200" spans="2:6" x14ac:dyDescent="0.25">
      <c r="B200" t="s">
        <v>233</v>
      </c>
      <c r="C200" s="144">
        <v>43657</v>
      </c>
      <c r="D200" s="143" t="s">
        <v>1219</v>
      </c>
      <c r="E200" s="145">
        <v>8.2200000000000006</v>
      </c>
      <c r="F200" s="143" t="s">
        <v>754</v>
      </c>
    </row>
    <row r="201" spans="2:6" x14ac:dyDescent="0.25">
      <c r="B201" t="s">
        <v>233</v>
      </c>
      <c r="C201" s="144">
        <v>43656</v>
      </c>
      <c r="D201" s="143" t="s">
        <v>1220</v>
      </c>
      <c r="E201" s="145">
        <v>8.3699999999999992</v>
      </c>
      <c r="F201" s="143" t="s">
        <v>15</v>
      </c>
    </row>
    <row r="202" spans="2:6" x14ac:dyDescent="0.25">
      <c r="B202" t="s">
        <v>233</v>
      </c>
      <c r="C202" s="144">
        <v>43656</v>
      </c>
      <c r="D202" s="143" t="s">
        <v>1221</v>
      </c>
      <c r="E202" s="145">
        <v>5.67</v>
      </c>
      <c r="F202" s="143" t="s">
        <v>17</v>
      </c>
    </row>
    <row r="203" spans="2:6" x14ac:dyDescent="0.25">
      <c r="B203" t="s">
        <v>233</v>
      </c>
      <c r="C203" s="144">
        <v>43656</v>
      </c>
      <c r="D203" s="143" t="s">
        <v>1222</v>
      </c>
      <c r="E203" s="145">
        <v>20.05</v>
      </c>
      <c r="F203" s="143" t="s">
        <v>17</v>
      </c>
    </row>
    <row r="204" spans="2:6" x14ac:dyDescent="0.25">
      <c r="B204" t="s">
        <v>233</v>
      </c>
      <c r="C204" s="144">
        <v>43655</v>
      </c>
      <c r="D204" s="143" t="s">
        <v>1223</v>
      </c>
      <c r="E204" s="145">
        <v>12.57</v>
      </c>
      <c r="F204" s="143" t="s">
        <v>17</v>
      </c>
    </row>
    <row r="205" spans="2:6" x14ac:dyDescent="0.25">
      <c r="B205" t="s">
        <v>233</v>
      </c>
      <c r="C205" s="144">
        <v>43655</v>
      </c>
      <c r="D205" s="143" t="s">
        <v>1224</v>
      </c>
      <c r="E205" s="145">
        <v>10.42</v>
      </c>
      <c r="F205" s="143" t="s">
        <v>17</v>
      </c>
    </row>
    <row r="206" spans="2:6" x14ac:dyDescent="0.25">
      <c r="B206" t="s">
        <v>233</v>
      </c>
      <c r="C206" s="144">
        <v>43655</v>
      </c>
      <c r="D206" s="143" t="s">
        <v>1225</v>
      </c>
      <c r="E206" s="145">
        <v>24.86</v>
      </c>
      <c r="F206" s="143" t="s">
        <v>17</v>
      </c>
    </row>
    <row r="207" spans="2:6" x14ac:dyDescent="0.25">
      <c r="B207" t="s">
        <v>233</v>
      </c>
      <c r="C207" s="144">
        <v>43654</v>
      </c>
      <c r="D207" s="143" t="s">
        <v>724</v>
      </c>
      <c r="E207" s="145">
        <v>91.28</v>
      </c>
      <c r="F207" s="143" t="s">
        <v>329</v>
      </c>
    </row>
    <row r="208" spans="2:6" x14ac:dyDescent="0.25">
      <c r="B208" t="s">
        <v>233</v>
      </c>
      <c r="C208" s="144">
        <v>43654</v>
      </c>
      <c r="D208" s="143" t="s">
        <v>1226</v>
      </c>
      <c r="E208" s="145">
        <v>18.489999999999998</v>
      </c>
      <c r="F208" s="143" t="s">
        <v>15</v>
      </c>
    </row>
    <row r="209" spans="2:6" x14ac:dyDescent="0.25">
      <c r="B209" t="s">
        <v>233</v>
      </c>
      <c r="C209" s="144">
        <v>43654</v>
      </c>
      <c r="D209" s="143" t="s">
        <v>1227</v>
      </c>
      <c r="E209" s="145">
        <v>9.4499999999999993</v>
      </c>
      <c r="F209" s="143" t="s">
        <v>17</v>
      </c>
    </row>
    <row r="210" spans="2:6" x14ac:dyDescent="0.25">
      <c r="B210" t="s">
        <v>233</v>
      </c>
      <c r="C210" s="144">
        <v>43654</v>
      </c>
      <c r="D210" s="143" t="s">
        <v>1228</v>
      </c>
      <c r="E210" s="145">
        <v>4.2300000000000004</v>
      </c>
      <c r="F210" s="143" t="s">
        <v>19</v>
      </c>
    </row>
    <row r="211" spans="2:6" x14ac:dyDescent="0.25">
      <c r="B211" t="s">
        <v>233</v>
      </c>
      <c r="C211" s="144">
        <v>43654</v>
      </c>
      <c r="D211" s="143" t="s">
        <v>1229</v>
      </c>
      <c r="E211" s="145">
        <v>6.51</v>
      </c>
      <c r="F211" s="143" t="s">
        <v>17</v>
      </c>
    </row>
    <row r="212" spans="2:6" x14ac:dyDescent="0.25">
      <c r="B212" t="s">
        <v>233</v>
      </c>
      <c r="C212" s="144">
        <v>43654</v>
      </c>
      <c r="D212" s="143" t="s">
        <v>1230</v>
      </c>
      <c r="E212" s="145">
        <v>4.2300000000000004</v>
      </c>
      <c r="F212" s="143" t="s">
        <v>19</v>
      </c>
    </row>
    <row r="213" spans="2:6" x14ac:dyDescent="0.25">
      <c r="B213" t="s">
        <v>233</v>
      </c>
      <c r="C213" s="144">
        <v>43654</v>
      </c>
      <c r="D213" s="143" t="s">
        <v>1231</v>
      </c>
      <c r="E213" s="145">
        <v>1.29</v>
      </c>
      <c r="F213" s="143" t="s">
        <v>754</v>
      </c>
    </row>
    <row r="214" spans="2:6" x14ac:dyDescent="0.25">
      <c r="B214" t="s">
        <v>233</v>
      </c>
      <c r="C214" s="144">
        <v>43651</v>
      </c>
      <c r="D214" s="143" t="s">
        <v>364</v>
      </c>
      <c r="E214" s="145">
        <v>299</v>
      </c>
      <c r="F214" s="143" t="s">
        <v>8</v>
      </c>
    </row>
    <row r="215" spans="2:6" x14ac:dyDescent="0.25">
      <c r="B215" t="s">
        <v>233</v>
      </c>
      <c r="C215" s="144">
        <v>43651</v>
      </c>
      <c r="D215" s="143" t="s">
        <v>1232</v>
      </c>
      <c r="E215" s="145">
        <v>19.8</v>
      </c>
      <c r="F215" s="143" t="s">
        <v>15</v>
      </c>
    </row>
    <row r="216" spans="2:6" x14ac:dyDescent="0.25">
      <c r="B216" t="s">
        <v>233</v>
      </c>
      <c r="C216" s="144">
        <v>43651</v>
      </c>
      <c r="D216" s="143" t="s">
        <v>1233</v>
      </c>
      <c r="E216" s="145">
        <v>2.66</v>
      </c>
      <c r="F216" s="143" t="s">
        <v>15</v>
      </c>
    </row>
    <row r="217" spans="2:6" x14ac:dyDescent="0.25">
      <c r="B217" t="s">
        <v>233</v>
      </c>
      <c r="C217" s="144">
        <v>43651</v>
      </c>
      <c r="D217" s="143" t="s">
        <v>1234</v>
      </c>
      <c r="E217" s="145">
        <v>25.5</v>
      </c>
      <c r="F217" s="143" t="s">
        <v>16</v>
      </c>
    </row>
    <row r="218" spans="2:6" x14ac:dyDescent="0.25">
      <c r="B218" t="s">
        <v>233</v>
      </c>
      <c r="C218" s="144">
        <v>43651</v>
      </c>
      <c r="D218" s="143" t="s">
        <v>1235</v>
      </c>
      <c r="E218" s="145">
        <v>1250</v>
      </c>
      <c r="F218" s="143" t="s">
        <v>12</v>
      </c>
    </row>
    <row r="219" spans="2:6" x14ac:dyDescent="0.25">
      <c r="B219" t="s">
        <v>233</v>
      </c>
      <c r="C219" s="144">
        <v>43651</v>
      </c>
      <c r="D219" s="143" t="s">
        <v>1236</v>
      </c>
      <c r="E219" s="145">
        <v>11.62</v>
      </c>
      <c r="F219" s="143" t="s">
        <v>15</v>
      </c>
    </row>
    <row r="220" spans="2:6" x14ac:dyDescent="0.25">
      <c r="B220" t="s">
        <v>233</v>
      </c>
      <c r="C220" s="144">
        <v>43651</v>
      </c>
      <c r="D220" s="143" t="s">
        <v>1237</v>
      </c>
      <c r="E220" s="145">
        <v>57.42</v>
      </c>
      <c r="F220" s="143"/>
    </row>
    <row r="221" spans="2:6" x14ac:dyDescent="0.25">
      <c r="B221" t="s">
        <v>233</v>
      </c>
      <c r="C221" s="144">
        <v>43651</v>
      </c>
      <c r="D221" s="143" t="s">
        <v>1238</v>
      </c>
      <c r="E221" s="145">
        <v>44.19</v>
      </c>
      <c r="F221" s="143" t="s">
        <v>21</v>
      </c>
    </row>
    <row r="222" spans="2:6" x14ac:dyDescent="0.25">
      <c r="B222" t="s">
        <v>233</v>
      </c>
      <c r="C222" s="144">
        <v>43651</v>
      </c>
      <c r="D222" s="143" t="s">
        <v>1239</v>
      </c>
      <c r="E222" s="145">
        <v>2.25</v>
      </c>
      <c r="F222" s="143" t="s">
        <v>18</v>
      </c>
    </row>
    <row r="223" spans="2:6" x14ac:dyDescent="0.25">
      <c r="B223" t="s">
        <v>233</v>
      </c>
      <c r="C223" s="144">
        <v>43651</v>
      </c>
      <c r="D223" s="143" t="s">
        <v>1240</v>
      </c>
      <c r="E223" s="145">
        <v>3.85</v>
      </c>
      <c r="F223" s="143" t="s">
        <v>17</v>
      </c>
    </row>
    <row r="224" spans="2:6" x14ac:dyDescent="0.25">
      <c r="B224" t="s">
        <v>233</v>
      </c>
      <c r="C224" s="144">
        <v>43651</v>
      </c>
      <c r="D224" s="143" t="s">
        <v>1241</v>
      </c>
      <c r="E224" s="145">
        <v>13.84</v>
      </c>
      <c r="F224" s="143" t="s">
        <v>15</v>
      </c>
    </row>
    <row r="225" spans="2:6" x14ac:dyDescent="0.25">
      <c r="B225" t="s">
        <v>233</v>
      </c>
      <c r="C225" s="144">
        <v>43651</v>
      </c>
      <c r="D225" s="143" t="s">
        <v>1242</v>
      </c>
      <c r="E225" s="145">
        <v>201.68</v>
      </c>
      <c r="F225" s="143"/>
    </row>
    <row r="226" spans="2:6" x14ac:dyDescent="0.25">
      <c r="B226" t="s">
        <v>233</v>
      </c>
      <c r="C226" s="144">
        <v>43651</v>
      </c>
      <c r="D226" s="143" t="s">
        <v>1243</v>
      </c>
      <c r="E226" s="145">
        <v>23.19</v>
      </c>
      <c r="F226" s="143" t="s">
        <v>17</v>
      </c>
    </row>
    <row r="227" spans="2:6" x14ac:dyDescent="0.25">
      <c r="B227" t="s">
        <v>233</v>
      </c>
      <c r="C227" s="144">
        <v>43651</v>
      </c>
      <c r="D227" s="143" t="s">
        <v>1284</v>
      </c>
      <c r="E227" s="145">
        <v>175</v>
      </c>
      <c r="F227" s="143"/>
    </row>
    <row r="228" spans="2:6" x14ac:dyDescent="0.25">
      <c r="B228" t="s">
        <v>233</v>
      </c>
      <c r="C228" s="144">
        <v>43651</v>
      </c>
      <c r="D228" s="143" t="s">
        <v>1244</v>
      </c>
      <c r="E228" s="145">
        <v>66.709999999999994</v>
      </c>
      <c r="F228" s="143" t="s">
        <v>17</v>
      </c>
    </row>
    <row r="229" spans="2:6" x14ac:dyDescent="0.25">
      <c r="B229" t="s">
        <v>233</v>
      </c>
      <c r="C229" s="144">
        <v>43649</v>
      </c>
      <c r="D229" s="143" t="s">
        <v>1245</v>
      </c>
      <c r="E229" s="145">
        <v>14.08</v>
      </c>
      <c r="F229" s="143" t="s">
        <v>334</v>
      </c>
    </row>
    <row r="230" spans="2:6" x14ac:dyDescent="0.25">
      <c r="B230" t="s">
        <v>233</v>
      </c>
      <c r="C230" s="144">
        <v>43649</v>
      </c>
      <c r="D230" s="143" t="s">
        <v>1246</v>
      </c>
      <c r="E230" s="145">
        <v>65</v>
      </c>
      <c r="F230" s="143" t="s">
        <v>506</v>
      </c>
    </row>
    <row r="231" spans="2:6" x14ac:dyDescent="0.25">
      <c r="B231" t="s">
        <v>233</v>
      </c>
      <c r="C231" s="144">
        <v>43649</v>
      </c>
      <c r="D231" s="143" t="s">
        <v>1247</v>
      </c>
      <c r="E231" s="145">
        <v>87.82</v>
      </c>
      <c r="F231" s="143" t="s">
        <v>507</v>
      </c>
    </row>
    <row r="232" spans="2:6" x14ac:dyDescent="0.25">
      <c r="B232" t="s">
        <v>233</v>
      </c>
      <c r="C232" s="144">
        <v>43649</v>
      </c>
      <c r="D232" s="143" t="s">
        <v>1248</v>
      </c>
      <c r="E232" s="145">
        <v>6.15</v>
      </c>
      <c r="F232" s="143" t="s">
        <v>17</v>
      </c>
    </row>
    <row r="233" spans="2:6" x14ac:dyDescent="0.25">
      <c r="B233" t="s">
        <v>233</v>
      </c>
      <c r="C233" s="144">
        <v>43649</v>
      </c>
      <c r="D233" s="143" t="s">
        <v>1249</v>
      </c>
      <c r="E233" s="145">
        <v>18.12</v>
      </c>
      <c r="F233" s="143" t="s">
        <v>754</v>
      </c>
    </row>
    <row r="234" spans="2:6" x14ac:dyDescent="0.25">
      <c r="B234" t="s">
        <v>233</v>
      </c>
      <c r="C234" s="144">
        <v>43648</v>
      </c>
      <c r="D234" s="143" t="s">
        <v>377</v>
      </c>
      <c r="E234" s="145">
        <v>832.24</v>
      </c>
      <c r="F234" s="143" t="s">
        <v>11</v>
      </c>
    </row>
    <row r="235" spans="2:6" x14ac:dyDescent="0.25">
      <c r="B235" t="s">
        <v>233</v>
      </c>
      <c r="C235" s="144">
        <v>43648</v>
      </c>
      <c r="D235" s="143" t="s">
        <v>1250</v>
      </c>
      <c r="E235" s="145">
        <v>37.46</v>
      </c>
      <c r="F235" s="143" t="s">
        <v>15</v>
      </c>
    </row>
    <row r="236" spans="2:6" x14ac:dyDescent="0.25">
      <c r="B236" t="s">
        <v>233</v>
      </c>
      <c r="C236" s="144">
        <v>43648</v>
      </c>
      <c r="D236" s="143" t="s">
        <v>1251</v>
      </c>
      <c r="E236" s="145">
        <v>7.41</v>
      </c>
      <c r="F236" s="143" t="s">
        <v>17</v>
      </c>
    </row>
    <row r="237" spans="2:6" x14ac:dyDescent="0.25">
      <c r="B237" t="s">
        <v>233</v>
      </c>
      <c r="C237" s="144">
        <v>43647</v>
      </c>
      <c r="D237" s="143" t="s">
        <v>1252</v>
      </c>
      <c r="E237" s="145">
        <v>21.39</v>
      </c>
      <c r="F237" s="143" t="s">
        <v>138</v>
      </c>
    </row>
    <row r="238" spans="2:6" x14ac:dyDescent="0.25">
      <c r="B238" t="s">
        <v>233</v>
      </c>
      <c r="C238" s="144">
        <v>43647</v>
      </c>
      <c r="D238" s="143" t="s">
        <v>662</v>
      </c>
      <c r="E238" s="145">
        <v>193</v>
      </c>
      <c r="F238" s="143" t="s">
        <v>20</v>
      </c>
    </row>
    <row r="239" spans="2:6" x14ac:dyDescent="0.25">
      <c r="B239" t="s">
        <v>233</v>
      </c>
      <c r="C239" s="144">
        <v>43647</v>
      </c>
      <c r="D239" s="143" t="s">
        <v>106</v>
      </c>
      <c r="E239" s="145">
        <v>437.54</v>
      </c>
      <c r="F239" s="143" t="s">
        <v>192</v>
      </c>
    </row>
    <row r="240" spans="2:6" x14ac:dyDescent="0.25">
      <c r="B240" t="s">
        <v>233</v>
      </c>
      <c r="C240" s="144">
        <v>43647</v>
      </c>
      <c r="D240" s="143" t="s">
        <v>1253</v>
      </c>
      <c r="E240" s="145">
        <v>5.15</v>
      </c>
      <c r="F240" s="143" t="s">
        <v>17</v>
      </c>
    </row>
    <row r="241" spans="2:6" x14ac:dyDescent="0.25">
      <c r="B241" t="s">
        <v>233</v>
      </c>
      <c r="C241" s="144">
        <v>43647</v>
      </c>
      <c r="D241" s="143" t="s">
        <v>1254</v>
      </c>
      <c r="E241" s="145">
        <v>21.84</v>
      </c>
      <c r="F241" s="143" t="s">
        <v>15</v>
      </c>
    </row>
    <row r="242" spans="2:6" x14ac:dyDescent="0.25">
      <c r="B242" t="s">
        <v>233</v>
      </c>
      <c r="C242" s="144">
        <v>43647</v>
      </c>
      <c r="D242" s="143" t="s">
        <v>1255</v>
      </c>
      <c r="E242" s="145">
        <v>34.44</v>
      </c>
      <c r="F242" s="143" t="s">
        <v>15</v>
      </c>
    </row>
    <row r="243" spans="2:6" x14ac:dyDescent="0.25">
      <c r="B243" t="s">
        <v>233</v>
      </c>
      <c r="C243" s="144">
        <v>43647</v>
      </c>
      <c r="D243" s="143" t="s">
        <v>1256</v>
      </c>
      <c r="E243" s="145">
        <v>25.95</v>
      </c>
      <c r="F243" s="143" t="s">
        <v>16</v>
      </c>
    </row>
    <row r="244" spans="2:6" x14ac:dyDescent="0.25">
      <c r="B244" t="s">
        <v>233</v>
      </c>
      <c r="C244" s="144">
        <v>43647</v>
      </c>
      <c r="D244" s="143" t="s">
        <v>1257</v>
      </c>
      <c r="E244" s="145">
        <v>6.98</v>
      </c>
      <c r="F244" s="143" t="s">
        <v>17</v>
      </c>
    </row>
    <row r="245" spans="2:6" x14ac:dyDescent="0.25">
      <c r="B245" t="s">
        <v>233</v>
      </c>
      <c r="C245" s="144">
        <v>43647</v>
      </c>
      <c r="D245" s="143" t="s">
        <v>1258</v>
      </c>
      <c r="E245" s="145">
        <v>23</v>
      </c>
      <c r="F245" s="143" t="s">
        <v>198</v>
      </c>
    </row>
    <row r="246" spans="2:6" x14ac:dyDescent="0.25">
      <c r="B246" t="s">
        <v>233</v>
      </c>
      <c r="C246" s="144">
        <v>43647</v>
      </c>
      <c r="D246" s="143" t="s">
        <v>1259</v>
      </c>
      <c r="E246" s="145">
        <v>120.58</v>
      </c>
      <c r="F246" s="143" t="s">
        <v>17</v>
      </c>
    </row>
    <row r="247" spans="2:6" x14ac:dyDescent="0.25">
      <c r="B247" t="s">
        <v>233</v>
      </c>
      <c r="C247" s="144">
        <v>43647</v>
      </c>
      <c r="D247" s="143" t="s">
        <v>1260</v>
      </c>
      <c r="E247" s="145">
        <v>4.2300000000000004</v>
      </c>
      <c r="F247" s="143" t="s">
        <v>19</v>
      </c>
    </row>
    <row r="248" spans="2:6" x14ac:dyDescent="0.25">
      <c r="B248" t="s">
        <v>233</v>
      </c>
      <c r="C248" s="144">
        <v>43647</v>
      </c>
      <c r="D248" s="143" t="s">
        <v>1261</v>
      </c>
      <c r="E248" s="145">
        <v>25.33</v>
      </c>
      <c r="F248" s="143" t="s">
        <v>17</v>
      </c>
    </row>
    <row r="249" spans="2:6" x14ac:dyDescent="0.25">
      <c r="B249" t="s">
        <v>233</v>
      </c>
      <c r="C249" s="144">
        <v>43647</v>
      </c>
      <c r="D249" s="143" t="s">
        <v>1262</v>
      </c>
      <c r="E249" s="145">
        <v>4.2300000000000004</v>
      </c>
      <c r="F249" s="143" t="s">
        <v>19</v>
      </c>
    </row>
    <row r="250" spans="2:6" x14ac:dyDescent="0.25">
      <c r="B250" t="s">
        <v>233</v>
      </c>
      <c r="C250" s="144">
        <v>43647</v>
      </c>
      <c r="D250" s="143" t="s">
        <v>1263</v>
      </c>
      <c r="E250" s="145">
        <v>15.66</v>
      </c>
      <c r="F250" s="143" t="s">
        <v>15</v>
      </c>
    </row>
    <row r="251" spans="2:6" x14ac:dyDescent="0.25">
      <c r="B251" t="s">
        <v>233</v>
      </c>
      <c r="C251" s="144">
        <v>43647</v>
      </c>
      <c r="D251" s="143" t="s">
        <v>1264</v>
      </c>
      <c r="E251" s="145">
        <v>4.2300000000000004</v>
      </c>
      <c r="F251" s="143" t="s">
        <v>19</v>
      </c>
    </row>
    <row r="252" spans="2:6" x14ac:dyDescent="0.25">
      <c r="B252" t="s">
        <v>233</v>
      </c>
      <c r="C252" s="144">
        <v>43647</v>
      </c>
      <c r="D252" s="143" t="s">
        <v>1265</v>
      </c>
      <c r="E252" s="145">
        <v>30.68</v>
      </c>
      <c r="F252" s="143" t="s">
        <v>17</v>
      </c>
    </row>
    <row r="253" spans="2:6" x14ac:dyDescent="0.25">
      <c r="B253" t="s">
        <v>232</v>
      </c>
      <c r="C253" s="144">
        <v>43644</v>
      </c>
      <c r="D253" s="143" t="s">
        <v>104</v>
      </c>
      <c r="E253" s="145">
        <v>-0.01</v>
      </c>
      <c r="F253" s="143" t="s">
        <v>20</v>
      </c>
    </row>
    <row r="254" spans="2:6" x14ac:dyDescent="0.25">
      <c r="B254" t="s">
        <v>232</v>
      </c>
      <c r="C254" s="144">
        <v>43644</v>
      </c>
      <c r="D254" s="143" t="s">
        <v>1266</v>
      </c>
      <c r="E254" s="145">
        <v>12.27</v>
      </c>
      <c r="F254" s="143" t="s">
        <v>17</v>
      </c>
    </row>
    <row r="255" spans="2:6" x14ac:dyDescent="0.25">
      <c r="B255" t="s">
        <v>232</v>
      </c>
      <c r="C255" s="144">
        <v>43644</v>
      </c>
      <c r="D255" s="143" t="s">
        <v>1267</v>
      </c>
      <c r="E255" s="145">
        <v>19.61</v>
      </c>
      <c r="F255" s="143" t="s">
        <v>15</v>
      </c>
    </row>
    <row r="256" spans="2:6" x14ac:dyDescent="0.25">
      <c r="B256" t="s">
        <v>232</v>
      </c>
      <c r="C256" s="144">
        <v>43644</v>
      </c>
      <c r="D256" s="143" t="s">
        <v>1268</v>
      </c>
      <c r="E256" s="145">
        <v>4.2300000000000004</v>
      </c>
      <c r="F256" s="143" t="s">
        <v>19</v>
      </c>
    </row>
    <row r="257" spans="2:6" x14ac:dyDescent="0.25">
      <c r="B257" t="s">
        <v>232</v>
      </c>
      <c r="C257" s="144">
        <v>43644</v>
      </c>
      <c r="D257" s="143" t="s">
        <v>1269</v>
      </c>
      <c r="E257" s="145">
        <v>21.96</v>
      </c>
      <c r="F257" s="143" t="s">
        <v>15</v>
      </c>
    </row>
    <row r="258" spans="2:6" x14ac:dyDescent="0.25">
      <c r="B258" t="s">
        <v>232</v>
      </c>
      <c r="C258" s="144">
        <v>43644</v>
      </c>
      <c r="D258" s="143" t="s">
        <v>1270</v>
      </c>
      <c r="E258" s="145">
        <v>4.8600000000000003</v>
      </c>
      <c r="F258" s="143" t="s">
        <v>754</v>
      </c>
    </row>
    <row r="259" spans="2:6" x14ac:dyDescent="0.25">
      <c r="B259" t="s">
        <v>232</v>
      </c>
      <c r="C259" s="144">
        <v>43643</v>
      </c>
      <c r="D259" s="143" t="s">
        <v>1271</v>
      </c>
      <c r="E259" s="145">
        <v>5.67</v>
      </c>
      <c r="F259" s="143" t="s">
        <v>17</v>
      </c>
    </row>
    <row r="260" spans="2:6" x14ac:dyDescent="0.25">
      <c r="B260" t="s">
        <v>232</v>
      </c>
      <c r="C260" s="144">
        <v>43643</v>
      </c>
      <c r="D260" s="143" t="s">
        <v>1272</v>
      </c>
      <c r="E260" s="145">
        <v>31.65</v>
      </c>
      <c r="F260" s="143" t="s">
        <v>16</v>
      </c>
    </row>
    <row r="261" spans="2:6" x14ac:dyDescent="0.25">
      <c r="B261" t="s">
        <v>232</v>
      </c>
      <c r="C261" s="144">
        <v>43643</v>
      </c>
      <c r="D261" s="143" t="s">
        <v>1273</v>
      </c>
      <c r="E261" s="145">
        <v>9.77</v>
      </c>
      <c r="F261" s="143" t="s">
        <v>17</v>
      </c>
    </row>
    <row r="262" spans="2:6" x14ac:dyDescent="0.25">
      <c r="B262" t="s">
        <v>232</v>
      </c>
      <c r="C262" s="144">
        <v>43643</v>
      </c>
      <c r="D262" s="143" t="s">
        <v>1273</v>
      </c>
      <c r="E262" s="145">
        <v>23.72</v>
      </c>
      <c r="F262" s="143" t="s">
        <v>17</v>
      </c>
    </row>
    <row r="263" spans="2:6" x14ac:dyDescent="0.25">
      <c r="B263" t="s">
        <v>232</v>
      </c>
      <c r="C263" s="144">
        <v>43642</v>
      </c>
      <c r="D263" s="143" t="s">
        <v>717</v>
      </c>
      <c r="E263" s="145">
        <v>54.01</v>
      </c>
      <c r="F263" s="143" t="s">
        <v>17</v>
      </c>
    </row>
    <row r="264" spans="2:6" x14ac:dyDescent="0.25">
      <c r="B264" t="s">
        <v>232</v>
      </c>
      <c r="C264" s="144">
        <v>43642</v>
      </c>
      <c r="D264" s="143" t="s">
        <v>1190</v>
      </c>
      <c r="E264" s="145">
        <v>26.31</v>
      </c>
      <c r="F264" s="143" t="s">
        <v>194</v>
      </c>
    </row>
    <row r="265" spans="2:6" x14ac:dyDescent="0.25">
      <c r="B265" t="s">
        <v>232</v>
      </c>
      <c r="C265" s="144">
        <v>43641</v>
      </c>
      <c r="D265" s="143" t="s">
        <v>1191</v>
      </c>
      <c r="E265" s="145">
        <v>6.74</v>
      </c>
      <c r="F265" s="143" t="s">
        <v>17</v>
      </c>
    </row>
    <row r="266" spans="2:6" x14ac:dyDescent="0.25">
      <c r="B266" t="s">
        <v>232</v>
      </c>
      <c r="C266" s="144">
        <v>43641</v>
      </c>
      <c r="D266" s="143" t="s">
        <v>1192</v>
      </c>
      <c r="E266" s="145">
        <v>11.45</v>
      </c>
      <c r="F266" s="143" t="s">
        <v>195</v>
      </c>
    </row>
    <row r="267" spans="2:6" x14ac:dyDescent="0.25">
      <c r="B267" t="s">
        <v>232</v>
      </c>
      <c r="C267" s="144">
        <v>43640</v>
      </c>
      <c r="D267" s="143" t="s">
        <v>1193</v>
      </c>
      <c r="E267" s="145">
        <v>0.99</v>
      </c>
      <c r="F267" s="143" t="s">
        <v>754</v>
      </c>
    </row>
    <row r="268" spans="2:6" x14ac:dyDescent="0.25">
      <c r="B268" t="s">
        <v>232</v>
      </c>
      <c r="C268" s="144">
        <v>43640</v>
      </c>
      <c r="D268" s="143" t="s">
        <v>1194</v>
      </c>
      <c r="E268" s="145">
        <v>5.67</v>
      </c>
      <c r="F268" s="143" t="s">
        <v>17</v>
      </c>
    </row>
    <row r="269" spans="2:6" x14ac:dyDescent="0.25">
      <c r="B269" t="s">
        <v>232</v>
      </c>
      <c r="C269" s="144">
        <v>43640</v>
      </c>
      <c r="D269" s="143" t="s">
        <v>1195</v>
      </c>
      <c r="E269" s="145">
        <v>19</v>
      </c>
      <c r="F269" s="143" t="s">
        <v>16</v>
      </c>
    </row>
    <row r="270" spans="2:6" x14ac:dyDescent="0.25">
      <c r="B270" t="s">
        <v>232</v>
      </c>
      <c r="C270" s="144">
        <v>43640</v>
      </c>
      <c r="D270" s="143" t="s">
        <v>1196</v>
      </c>
      <c r="E270" s="145">
        <v>30.91</v>
      </c>
      <c r="F270" s="143" t="s">
        <v>736</v>
      </c>
    </row>
    <row r="271" spans="2:6" x14ac:dyDescent="0.25">
      <c r="B271" t="s">
        <v>232</v>
      </c>
      <c r="C271" s="144">
        <v>43640</v>
      </c>
      <c r="D271" s="143" t="s">
        <v>1197</v>
      </c>
      <c r="E271" s="145">
        <v>4.2300000000000004</v>
      </c>
      <c r="F271" s="143" t="s">
        <v>19</v>
      </c>
    </row>
    <row r="272" spans="2:6" x14ac:dyDescent="0.25">
      <c r="B272" t="s">
        <v>232</v>
      </c>
      <c r="C272" s="144">
        <v>43640</v>
      </c>
      <c r="D272" s="143" t="s">
        <v>1198</v>
      </c>
      <c r="E272" s="145">
        <v>8.0399999999999991</v>
      </c>
      <c r="F272" s="143" t="s">
        <v>17</v>
      </c>
    </row>
    <row r="273" spans="2:7" x14ac:dyDescent="0.25">
      <c r="B273" t="s">
        <v>232</v>
      </c>
      <c r="C273" s="144">
        <v>43640</v>
      </c>
      <c r="D273" s="143" t="s">
        <v>1193</v>
      </c>
      <c r="E273" s="145">
        <v>1.98</v>
      </c>
      <c r="F273" s="143" t="s">
        <v>754</v>
      </c>
    </row>
    <row r="274" spans="2:7" x14ac:dyDescent="0.25">
      <c r="B274" t="s">
        <v>232</v>
      </c>
      <c r="C274" s="144">
        <v>43640</v>
      </c>
      <c r="D274" s="143" t="s">
        <v>1199</v>
      </c>
      <c r="E274" s="145">
        <v>5.29</v>
      </c>
      <c r="F274" s="143" t="s">
        <v>20</v>
      </c>
      <c r="G274" t="s">
        <v>1216</v>
      </c>
    </row>
    <row r="275" spans="2:7" x14ac:dyDescent="0.25">
      <c r="B275" t="s">
        <v>232</v>
      </c>
      <c r="C275" s="144">
        <v>43640</v>
      </c>
      <c r="D275" s="143" t="s">
        <v>1200</v>
      </c>
      <c r="E275" s="145">
        <v>10.56</v>
      </c>
      <c r="F275" s="143" t="s">
        <v>17</v>
      </c>
    </row>
    <row r="276" spans="2:7" x14ac:dyDescent="0.25">
      <c r="B276" t="s">
        <v>232</v>
      </c>
      <c r="C276" s="144">
        <v>43640</v>
      </c>
      <c r="D276" s="143" t="s">
        <v>1201</v>
      </c>
      <c r="E276" s="145">
        <v>4.2300000000000004</v>
      </c>
      <c r="F276" s="143" t="s">
        <v>19</v>
      </c>
    </row>
    <row r="277" spans="2:7" x14ac:dyDescent="0.25">
      <c r="B277" t="s">
        <v>232</v>
      </c>
      <c r="C277" s="144">
        <v>43640</v>
      </c>
      <c r="D277" s="143" t="s">
        <v>1202</v>
      </c>
      <c r="E277" s="145">
        <v>29.63</v>
      </c>
      <c r="F277" s="143" t="s">
        <v>15</v>
      </c>
    </row>
    <row r="278" spans="2:7" x14ac:dyDescent="0.25">
      <c r="B278" t="s">
        <v>232</v>
      </c>
      <c r="C278" s="144">
        <v>43640</v>
      </c>
      <c r="D278" s="143" t="s">
        <v>1203</v>
      </c>
      <c r="E278" s="145">
        <v>11.94</v>
      </c>
      <c r="F278" s="143" t="s">
        <v>17</v>
      </c>
    </row>
    <row r="279" spans="2:7" x14ac:dyDescent="0.25">
      <c r="B279" t="s">
        <v>232</v>
      </c>
      <c r="C279" s="144">
        <v>43640</v>
      </c>
      <c r="D279" s="143" t="s">
        <v>1204</v>
      </c>
      <c r="E279" s="145">
        <v>4.2300000000000004</v>
      </c>
      <c r="F279" s="143" t="s">
        <v>19</v>
      </c>
    </row>
    <row r="280" spans="2:7" x14ac:dyDescent="0.25">
      <c r="B280" t="s">
        <v>232</v>
      </c>
      <c r="C280" s="144">
        <v>43640</v>
      </c>
      <c r="D280" s="143" t="s">
        <v>1205</v>
      </c>
      <c r="E280" s="145">
        <v>1.98</v>
      </c>
      <c r="F280" s="143" t="s">
        <v>754</v>
      </c>
    </row>
    <row r="281" spans="2:7" x14ac:dyDescent="0.25">
      <c r="B281" t="s">
        <v>232</v>
      </c>
      <c r="C281" s="144">
        <v>43640</v>
      </c>
      <c r="D281" s="143" t="s">
        <v>1206</v>
      </c>
      <c r="E281" s="145">
        <v>19.02</v>
      </c>
      <c r="F281" s="143" t="s">
        <v>754</v>
      </c>
    </row>
    <row r="282" spans="2:7" x14ac:dyDescent="0.25">
      <c r="B282" t="s">
        <v>232</v>
      </c>
      <c r="C282" s="144">
        <v>43640</v>
      </c>
      <c r="D282" s="143" t="s">
        <v>1207</v>
      </c>
      <c r="E282" s="145">
        <v>34.89</v>
      </c>
      <c r="F282" s="143" t="s">
        <v>17</v>
      </c>
    </row>
    <row r="283" spans="2:7" x14ac:dyDescent="0.25">
      <c r="B283" t="s">
        <v>232</v>
      </c>
      <c r="C283" s="144">
        <v>43640</v>
      </c>
      <c r="D283" s="143" t="s">
        <v>1208</v>
      </c>
      <c r="E283" s="145">
        <v>3.87</v>
      </c>
      <c r="F283" s="143" t="s">
        <v>754</v>
      </c>
    </row>
    <row r="284" spans="2:7" x14ac:dyDescent="0.25">
      <c r="B284" t="s">
        <v>232</v>
      </c>
      <c r="C284" s="144">
        <v>43640</v>
      </c>
      <c r="D284" s="143" t="s">
        <v>1209</v>
      </c>
      <c r="E284" s="145">
        <v>10.43</v>
      </c>
      <c r="F284" s="143" t="s">
        <v>754</v>
      </c>
    </row>
    <row r="285" spans="2:7" x14ac:dyDescent="0.25">
      <c r="B285" t="s">
        <v>232</v>
      </c>
      <c r="C285" s="144">
        <v>43640</v>
      </c>
      <c r="D285" s="143" t="s">
        <v>1210</v>
      </c>
      <c r="E285" s="145">
        <v>26.4</v>
      </c>
      <c r="F285" s="143" t="s">
        <v>17</v>
      </c>
    </row>
    <row r="286" spans="2:7" x14ac:dyDescent="0.25">
      <c r="B286" t="s">
        <v>232</v>
      </c>
      <c r="C286" s="144">
        <v>43637</v>
      </c>
      <c r="D286" s="143" t="s">
        <v>1211</v>
      </c>
      <c r="E286" s="145">
        <v>50</v>
      </c>
      <c r="F286" s="143" t="s">
        <v>754</v>
      </c>
      <c r="G286" t="s">
        <v>1218</v>
      </c>
    </row>
    <row r="287" spans="2:7" x14ac:dyDescent="0.25">
      <c r="B287" t="s">
        <v>232</v>
      </c>
      <c r="C287" s="144">
        <v>43636</v>
      </c>
      <c r="D287" s="143" t="s">
        <v>1212</v>
      </c>
      <c r="E287" s="145">
        <v>17.11</v>
      </c>
      <c r="F287" s="143" t="s">
        <v>20</v>
      </c>
      <c r="G287" t="s">
        <v>1217</v>
      </c>
    </row>
    <row r="288" spans="2:7" x14ac:dyDescent="0.25">
      <c r="B288" t="s">
        <v>232</v>
      </c>
      <c r="C288" s="144">
        <v>43636</v>
      </c>
      <c r="D288" s="143" t="s">
        <v>1213</v>
      </c>
      <c r="E288" s="145">
        <v>4.2300000000000004</v>
      </c>
      <c r="F288" s="143" t="s">
        <v>19</v>
      </c>
    </row>
    <row r="289" spans="2:6" x14ac:dyDescent="0.25">
      <c r="B289" t="s">
        <v>232</v>
      </c>
      <c r="C289" s="144">
        <v>43636</v>
      </c>
      <c r="D289" s="143" t="s">
        <v>1214</v>
      </c>
      <c r="E289" s="145">
        <v>18.399999999999999</v>
      </c>
      <c r="F289" s="143" t="s">
        <v>15</v>
      </c>
    </row>
    <row r="290" spans="2:6" x14ac:dyDescent="0.25">
      <c r="B290" t="s">
        <v>232</v>
      </c>
      <c r="C290" s="144">
        <v>43636</v>
      </c>
      <c r="D290" s="143" t="s">
        <v>1215</v>
      </c>
      <c r="E290" s="145">
        <v>17.98</v>
      </c>
      <c r="F290" s="143" t="s">
        <v>17</v>
      </c>
    </row>
    <row r="291" spans="2:6" x14ac:dyDescent="0.25">
      <c r="B291" t="s">
        <v>232</v>
      </c>
      <c r="C291" s="144">
        <v>43635</v>
      </c>
      <c r="D291" s="143" t="s">
        <v>275</v>
      </c>
      <c r="E291" s="145">
        <v>20.58</v>
      </c>
      <c r="F291" s="143" t="s">
        <v>15</v>
      </c>
    </row>
    <row r="292" spans="2:6" x14ac:dyDescent="0.25">
      <c r="B292" t="s">
        <v>232</v>
      </c>
      <c r="C292" s="144">
        <v>43635</v>
      </c>
      <c r="D292" s="143" t="s">
        <v>362</v>
      </c>
      <c r="E292" s="145">
        <v>19.98</v>
      </c>
      <c r="F292" s="143" t="s">
        <v>17</v>
      </c>
    </row>
    <row r="293" spans="2:6" x14ac:dyDescent="0.25">
      <c r="B293" t="s">
        <v>232</v>
      </c>
      <c r="C293" s="144">
        <v>43635</v>
      </c>
      <c r="D293" s="143" t="s">
        <v>717</v>
      </c>
      <c r="E293" s="145">
        <v>14.98</v>
      </c>
      <c r="F293" s="143" t="s">
        <v>17</v>
      </c>
    </row>
    <row r="294" spans="2:6" x14ac:dyDescent="0.25">
      <c r="B294" t="s">
        <v>232</v>
      </c>
      <c r="C294" s="144">
        <v>43635</v>
      </c>
      <c r="D294" s="143" t="s">
        <v>1137</v>
      </c>
      <c r="E294" s="145">
        <v>13.91</v>
      </c>
      <c r="F294" s="143" t="s">
        <v>17</v>
      </c>
    </row>
    <row r="295" spans="2:6" x14ac:dyDescent="0.25">
      <c r="B295" t="s">
        <v>232</v>
      </c>
      <c r="C295" s="144">
        <v>43634</v>
      </c>
      <c r="D295" s="143" t="s">
        <v>1138</v>
      </c>
      <c r="E295" s="145">
        <v>36.86</v>
      </c>
      <c r="F295" s="143" t="s">
        <v>16</v>
      </c>
    </row>
    <row r="296" spans="2:6" x14ac:dyDescent="0.25">
      <c r="B296" t="s">
        <v>232</v>
      </c>
      <c r="C296" s="144">
        <v>43634</v>
      </c>
      <c r="D296" s="143" t="s">
        <v>1139</v>
      </c>
      <c r="E296" s="145">
        <v>9.61</v>
      </c>
      <c r="F296" s="143" t="s">
        <v>676</v>
      </c>
    </row>
    <row r="297" spans="2:6" x14ac:dyDescent="0.25">
      <c r="B297" t="s">
        <v>232</v>
      </c>
      <c r="C297" s="144">
        <v>43634</v>
      </c>
      <c r="D297" s="143" t="s">
        <v>1140</v>
      </c>
      <c r="E297" s="145">
        <v>161.63999999999999</v>
      </c>
      <c r="F297" s="143" t="s">
        <v>194</v>
      </c>
    </row>
    <row r="298" spans="2:6" x14ac:dyDescent="0.25">
      <c r="B298" t="s">
        <v>232</v>
      </c>
      <c r="C298" s="144">
        <v>43633</v>
      </c>
      <c r="D298" s="143" t="s">
        <v>1141</v>
      </c>
      <c r="E298" s="145">
        <v>8.02</v>
      </c>
      <c r="F298" s="143" t="s">
        <v>194</v>
      </c>
    </row>
    <row r="299" spans="2:6" x14ac:dyDescent="0.25">
      <c r="B299" t="s">
        <v>232</v>
      </c>
      <c r="C299" s="144">
        <v>43633</v>
      </c>
      <c r="D299" s="143" t="s">
        <v>1142</v>
      </c>
      <c r="E299" s="145">
        <v>18.41</v>
      </c>
      <c r="F299" s="143" t="s">
        <v>15</v>
      </c>
    </row>
    <row r="300" spans="2:6" x14ac:dyDescent="0.25">
      <c r="B300" t="s">
        <v>232</v>
      </c>
      <c r="C300" s="144">
        <v>43633</v>
      </c>
      <c r="D300" s="143" t="s">
        <v>1143</v>
      </c>
      <c r="E300" s="145">
        <v>46.05</v>
      </c>
      <c r="F300" s="143" t="s">
        <v>15</v>
      </c>
    </row>
    <row r="301" spans="2:6" x14ac:dyDescent="0.25">
      <c r="B301" t="s">
        <v>232</v>
      </c>
      <c r="C301" s="144">
        <v>43633</v>
      </c>
      <c r="D301" s="143" t="s">
        <v>1144</v>
      </c>
      <c r="E301" s="145">
        <v>4.2300000000000004</v>
      </c>
      <c r="F301" s="143" t="s">
        <v>19</v>
      </c>
    </row>
    <row r="302" spans="2:6" x14ac:dyDescent="0.25">
      <c r="B302" t="s">
        <v>232</v>
      </c>
      <c r="C302" s="144">
        <v>43633</v>
      </c>
      <c r="D302" s="143" t="s">
        <v>1145</v>
      </c>
      <c r="E302" s="145">
        <v>16.8</v>
      </c>
      <c r="F302" s="143" t="s">
        <v>194</v>
      </c>
    </row>
    <row r="303" spans="2:6" x14ac:dyDescent="0.25">
      <c r="B303" t="s">
        <v>232</v>
      </c>
      <c r="C303" s="144">
        <v>43633</v>
      </c>
      <c r="D303" s="143" t="s">
        <v>1146</v>
      </c>
      <c r="E303" s="145">
        <v>22.48</v>
      </c>
      <c r="F303" s="143" t="s">
        <v>194</v>
      </c>
    </row>
    <row r="304" spans="2:6" x14ac:dyDescent="0.25">
      <c r="B304" t="s">
        <v>232</v>
      </c>
      <c r="C304" s="144">
        <v>43633</v>
      </c>
      <c r="D304" s="143" t="s">
        <v>1147</v>
      </c>
      <c r="E304" s="145">
        <v>5.72</v>
      </c>
      <c r="F304" s="143" t="s">
        <v>194</v>
      </c>
    </row>
    <row r="305" spans="2:6" x14ac:dyDescent="0.25">
      <c r="B305" t="s">
        <v>232</v>
      </c>
      <c r="C305" s="144">
        <v>43633</v>
      </c>
      <c r="D305" s="143" t="s">
        <v>1148</v>
      </c>
      <c r="E305" s="145">
        <v>41.38</v>
      </c>
      <c r="F305" s="143" t="s">
        <v>194</v>
      </c>
    </row>
    <row r="306" spans="2:6" x14ac:dyDescent="0.25">
      <c r="B306" t="s">
        <v>232</v>
      </c>
      <c r="C306" s="144">
        <v>43633</v>
      </c>
      <c r="D306" s="143" t="s">
        <v>1149</v>
      </c>
      <c r="E306" s="145">
        <v>50.46</v>
      </c>
      <c r="F306" s="143" t="s">
        <v>194</v>
      </c>
    </row>
    <row r="307" spans="2:6" x14ac:dyDescent="0.25">
      <c r="B307" t="s">
        <v>232</v>
      </c>
      <c r="C307" s="144">
        <v>43633</v>
      </c>
      <c r="D307" s="143" t="s">
        <v>1150</v>
      </c>
      <c r="E307" s="145">
        <v>6.62</v>
      </c>
      <c r="F307" s="143" t="s">
        <v>194</v>
      </c>
    </row>
    <row r="308" spans="2:6" x14ac:dyDescent="0.25">
      <c r="B308" t="s">
        <v>232</v>
      </c>
      <c r="C308" s="144">
        <v>43633</v>
      </c>
      <c r="D308" s="143" t="s">
        <v>1150</v>
      </c>
      <c r="E308" s="145">
        <v>6.62</v>
      </c>
      <c r="F308" s="143" t="s">
        <v>194</v>
      </c>
    </row>
    <row r="309" spans="2:6" x14ac:dyDescent="0.25">
      <c r="B309" t="s">
        <v>232</v>
      </c>
      <c r="C309" s="144">
        <v>43633</v>
      </c>
      <c r="D309" s="143" t="s">
        <v>1151</v>
      </c>
      <c r="E309" s="145">
        <v>48</v>
      </c>
      <c r="F309" s="143" t="s">
        <v>194</v>
      </c>
    </row>
    <row r="310" spans="2:6" x14ac:dyDescent="0.25">
      <c r="B310" t="s">
        <v>232</v>
      </c>
      <c r="C310" s="144">
        <v>43633</v>
      </c>
      <c r="D310" s="143" t="s">
        <v>1152</v>
      </c>
      <c r="E310" s="145">
        <v>44.39</v>
      </c>
      <c r="F310" s="143" t="s">
        <v>194</v>
      </c>
    </row>
    <row r="311" spans="2:6" x14ac:dyDescent="0.25">
      <c r="B311" t="s">
        <v>232</v>
      </c>
      <c r="C311" s="144">
        <v>43633</v>
      </c>
      <c r="D311" s="143" t="s">
        <v>1153</v>
      </c>
      <c r="E311" s="145">
        <v>13.37</v>
      </c>
      <c r="F311" s="143" t="s">
        <v>194</v>
      </c>
    </row>
    <row r="312" spans="2:6" x14ac:dyDescent="0.25">
      <c r="B312" t="s">
        <v>232</v>
      </c>
      <c r="C312" s="144">
        <v>43633</v>
      </c>
      <c r="D312" s="143" t="s">
        <v>1154</v>
      </c>
      <c r="E312" s="145">
        <v>10.02</v>
      </c>
      <c r="F312" s="143" t="s">
        <v>194</v>
      </c>
    </row>
    <row r="313" spans="2:6" x14ac:dyDescent="0.25">
      <c r="B313" t="s">
        <v>232</v>
      </c>
      <c r="C313" s="144">
        <v>43633</v>
      </c>
      <c r="D313" s="143" t="s">
        <v>1148</v>
      </c>
      <c r="E313" s="145">
        <v>415.94</v>
      </c>
      <c r="F313" s="143" t="s">
        <v>194</v>
      </c>
    </row>
    <row r="314" spans="2:6" x14ac:dyDescent="0.25">
      <c r="B314" t="s">
        <v>232</v>
      </c>
      <c r="C314" s="144">
        <v>43633</v>
      </c>
      <c r="D314" s="143" t="s">
        <v>1155</v>
      </c>
      <c r="E314" s="145">
        <v>20.11</v>
      </c>
      <c r="F314" s="143" t="s">
        <v>17</v>
      </c>
    </row>
    <row r="315" spans="2:6" x14ac:dyDescent="0.25">
      <c r="B315" t="s">
        <v>232</v>
      </c>
      <c r="C315" s="144">
        <v>43633</v>
      </c>
      <c r="D315" s="143" t="s">
        <v>1156</v>
      </c>
      <c r="E315" s="145">
        <v>65</v>
      </c>
      <c r="F315" s="143" t="s">
        <v>506</v>
      </c>
    </row>
    <row r="316" spans="2:6" x14ac:dyDescent="0.25">
      <c r="B316" t="s">
        <v>200</v>
      </c>
      <c r="C316" s="144">
        <v>43633</v>
      </c>
      <c r="D316" s="143" t="s">
        <v>1156</v>
      </c>
      <c r="E316" s="145">
        <v>65</v>
      </c>
      <c r="F316" s="143" t="s">
        <v>506</v>
      </c>
    </row>
    <row r="317" spans="2:6" x14ac:dyDescent="0.25">
      <c r="B317" t="s">
        <v>232</v>
      </c>
      <c r="C317" s="144">
        <v>43633</v>
      </c>
      <c r="D317" s="143" t="s">
        <v>1157</v>
      </c>
      <c r="E317" s="145">
        <v>32.08</v>
      </c>
      <c r="F317" s="143" t="s">
        <v>754</v>
      </c>
    </row>
    <row r="318" spans="2:6" x14ac:dyDescent="0.25">
      <c r="B318" t="s">
        <v>232</v>
      </c>
      <c r="C318" s="144">
        <v>43633</v>
      </c>
      <c r="D318" s="143" t="s">
        <v>1158</v>
      </c>
      <c r="E318" s="145">
        <v>15.84</v>
      </c>
      <c r="F318" s="143" t="s">
        <v>17</v>
      </c>
    </row>
    <row r="319" spans="2:6" x14ac:dyDescent="0.25">
      <c r="B319" t="s">
        <v>232</v>
      </c>
      <c r="C319" s="144">
        <v>43630</v>
      </c>
      <c r="D319" s="143" t="s">
        <v>1159</v>
      </c>
      <c r="E319" s="145">
        <v>4.37</v>
      </c>
      <c r="F319" s="143" t="s">
        <v>194</v>
      </c>
    </row>
    <row r="320" spans="2:6" x14ac:dyDescent="0.25">
      <c r="B320" t="s">
        <v>232</v>
      </c>
      <c r="C320" s="144">
        <v>43630</v>
      </c>
      <c r="D320" s="143" t="s">
        <v>1160</v>
      </c>
      <c r="E320" s="145">
        <v>15.33</v>
      </c>
      <c r="F320" s="143" t="s">
        <v>194</v>
      </c>
    </row>
    <row r="321" spans="2:6" x14ac:dyDescent="0.25">
      <c r="B321" t="s">
        <v>232</v>
      </c>
      <c r="C321" s="144">
        <v>43630</v>
      </c>
      <c r="D321" s="143" t="s">
        <v>1161</v>
      </c>
      <c r="E321" s="145">
        <v>6.56</v>
      </c>
      <c r="F321" s="143" t="s">
        <v>676</v>
      </c>
    </row>
    <row r="322" spans="2:6" x14ac:dyDescent="0.25">
      <c r="B322" t="s">
        <v>232</v>
      </c>
      <c r="C322" s="144">
        <v>43630</v>
      </c>
      <c r="D322" s="143" t="s">
        <v>1162</v>
      </c>
      <c r="E322" s="145">
        <v>22.19</v>
      </c>
      <c r="F322" s="143" t="s">
        <v>17</v>
      </c>
    </row>
    <row r="323" spans="2:6" x14ac:dyDescent="0.25">
      <c r="B323" t="s">
        <v>232</v>
      </c>
      <c r="C323" s="144">
        <v>43629</v>
      </c>
      <c r="D323" s="143" t="s">
        <v>1163</v>
      </c>
      <c r="E323" s="145">
        <v>23</v>
      </c>
      <c r="F323" s="143" t="s">
        <v>198</v>
      </c>
    </row>
    <row r="324" spans="2:6" x14ac:dyDescent="0.25">
      <c r="B324" t="s">
        <v>232</v>
      </c>
      <c r="C324" s="144">
        <v>43629</v>
      </c>
      <c r="D324" s="143" t="s">
        <v>1164</v>
      </c>
      <c r="E324" s="145">
        <v>16.46</v>
      </c>
      <c r="F324" s="143" t="s">
        <v>21</v>
      </c>
    </row>
    <row r="325" spans="2:6" x14ac:dyDescent="0.25">
      <c r="B325" t="s">
        <v>232</v>
      </c>
      <c r="C325" s="144">
        <v>43629</v>
      </c>
      <c r="D325" s="143" t="s">
        <v>1165</v>
      </c>
      <c r="E325" s="145">
        <v>27.47</v>
      </c>
      <c r="F325" s="143" t="s">
        <v>17</v>
      </c>
    </row>
    <row r="326" spans="2:6" x14ac:dyDescent="0.25">
      <c r="B326" t="s">
        <v>232</v>
      </c>
      <c r="C326" s="144">
        <v>43629</v>
      </c>
      <c r="D326" s="143" t="s">
        <v>1166</v>
      </c>
      <c r="E326" s="145">
        <v>28.39</v>
      </c>
      <c r="F326" s="143" t="s">
        <v>138</v>
      </c>
    </row>
    <row r="327" spans="2:6" x14ac:dyDescent="0.25">
      <c r="B327" t="s">
        <v>232</v>
      </c>
      <c r="C327" s="144">
        <v>43628</v>
      </c>
      <c r="D327" s="143" t="s">
        <v>1167</v>
      </c>
      <c r="E327" s="145">
        <v>20</v>
      </c>
      <c r="F327" s="143" t="s">
        <v>16</v>
      </c>
    </row>
    <row r="328" spans="2:6" x14ac:dyDescent="0.25">
      <c r="B328" t="s">
        <v>232</v>
      </c>
      <c r="C328" s="144">
        <v>43628</v>
      </c>
      <c r="D328" s="143" t="s">
        <v>1168</v>
      </c>
      <c r="E328" s="145">
        <v>5.73</v>
      </c>
      <c r="F328" s="143" t="s">
        <v>19</v>
      </c>
    </row>
    <row r="329" spans="2:6" x14ac:dyDescent="0.25">
      <c r="B329" t="s">
        <v>232</v>
      </c>
      <c r="C329" s="144">
        <v>43628</v>
      </c>
      <c r="D329" s="143" t="s">
        <v>1169</v>
      </c>
      <c r="E329" s="145">
        <v>5.16</v>
      </c>
      <c r="F329" s="143" t="s">
        <v>754</v>
      </c>
    </row>
    <row r="330" spans="2:6" x14ac:dyDescent="0.25">
      <c r="B330" t="s">
        <v>232</v>
      </c>
      <c r="C330" s="144">
        <v>43628</v>
      </c>
      <c r="D330" s="143" t="s">
        <v>1170</v>
      </c>
      <c r="E330" s="145">
        <v>33.75</v>
      </c>
      <c r="F330" s="143" t="s">
        <v>194</v>
      </c>
    </row>
    <row r="331" spans="2:6" x14ac:dyDescent="0.25">
      <c r="B331" t="s">
        <v>232</v>
      </c>
      <c r="C331" s="144">
        <v>43628</v>
      </c>
      <c r="D331" s="143" t="s">
        <v>1171</v>
      </c>
      <c r="E331" s="145">
        <v>16.91</v>
      </c>
      <c r="F331" s="143" t="s">
        <v>17</v>
      </c>
    </row>
    <row r="332" spans="2:6" x14ac:dyDescent="0.25">
      <c r="B332" t="s">
        <v>232</v>
      </c>
      <c r="C332" s="144">
        <v>43627</v>
      </c>
      <c r="D332" s="143" t="s">
        <v>1172</v>
      </c>
      <c r="E332" s="145">
        <v>31.75</v>
      </c>
      <c r="F332" s="143" t="s">
        <v>17</v>
      </c>
    </row>
    <row r="333" spans="2:6" x14ac:dyDescent="0.25">
      <c r="B333" t="s">
        <v>232</v>
      </c>
      <c r="C333" s="144">
        <v>43626</v>
      </c>
      <c r="D333" s="143" t="s">
        <v>1173</v>
      </c>
      <c r="E333" s="145">
        <v>39.07</v>
      </c>
      <c r="F333" s="143" t="s">
        <v>333</v>
      </c>
    </row>
    <row r="334" spans="2:6" x14ac:dyDescent="0.25">
      <c r="B334" t="s">
        <v>232</v>
      </c>
      <c r="C334" s="144">
        <v>43626</v>
      </c>
      <c r="D334" s="143" t="s">
        <v>1174</v>
      </c>
      <c r="E334" s="145">
        <v>4.2300000000000004</v>
      </c>
      <c r="F334" s="143" t="s">
        <v>19</v>
      </c>
    </row>
    <row r="335" spans="2:6" x14ac:dyDescent="0.25">
      <c r="B335" t="s">
        <v>232</v>
      </c>
      <c r="C335" s="144">
        <v>43626</v>
      </c>
      <c r="D335" s="143" t="s">
        <v>1175</v>
      </c>
      <c r="E335" s="145">
        <v>32.26</v>
      </c>
      <c r="F335" s="143" t="s">
        <v>15</v>
      </c>
    </row>
    <row r="336" spans="2:6" x14ac:dyDescent="0.25">
      <c r="B336" t="s">
        <v>232</v>
      </c>
      <c r="C336" s="144">
        <v>43626</v>
      </c>
      <c r="D336" s="143" t="s">
        <v>1176</v>
      </c>
      <c r="E336" s="145">
        <v>10.59</v>
      </c>
      <c r="F336" s="143" t="s">
        <v>17</v>
      </c>
    </row>
    <row r="337" spans="2:7" x14ac:dyDescent="0.25">
      <c r="B337" t="s">
        <v>232</v>
      </c>
      <c r="C337" s="144">
        <v>43626</v>
      </c>
      <c r="D337" s="143" t="s">
        <v>1177</v>
      </c>
      <c r="E337" s="145">
        <v>44.92</v>
      </c>
      <c r="F337" s="143" t="s">
        <v>754</v>
      </c>
    </row>
    <row r="338" spans="2:7" x14ac:dyDescent="0.25">
      <c r="B338" t="s">
        <v>232</v>
      </c>
      <c r="C338" s="144">
        <v>43626</v>
      </c>
      <c r="D338" s="143" t="s">
        <v>1178</v>
      </c>
      <c r="E338" s="145">
        <v>118.93</v>
      </c>
      <c r="F338" s="143" t="s">
        <v>754</v>
      </c>
    </row>
    <row r="339" spans="2:7" x14ac:dyDescent="0.25">
      <c r="B339" t="s">
        <v>232</v>
      </c>
      <c r="C339" s="144">
        <v>43626</v>
      </c>
      <c r="D339" s="143" t="s">
        <v>1179</v>
      </c>
      <c r="E339" s="145">
        <v>22.79</v>
      </c>
      <c r="F339" s="143" t="s">
        <v>20</v>
      </c>
      <c r="G339" t="s">
        <v>1189</v>
      </c>
    </row>
    <row r="340" spans="2:7" x14ac:dyDescent="0.25">
      <c r="B340" t="s">
        <v>232</v>
      </c>
      <c r="C340" s="144">
        <v>43626</v>
      </c>
      <c r="D340" s="143" t="s">
        <v>1180</v>
      </c>
      <c r="E340" s="145">
        <v>10.32</v>
      </c>
      <c r="F340" s="143" t="s">
        <v>754</v>
      </c>
    </row>
    <row r="341" spans="2:7" x14ac:dyDescent="0.25">
      <c r="B341" t="s">
        <v>232</v>
      </c>
      <c r="C341" s="144">
        <v>43626</v>
      </c>
      <c r="D341" s="143" t="s">
        <v>1181</v>
      </c>
      <c r="E341" s="145">
        <v>30.15</v>
      </c>
      <c r="F341" s="143" t="s">
        <v>17</v>
      </c>
    </row>
    <row r="342" spans="2:7" x14ac:dyDescent="0.25">
      <c r="B342" t="s">
        <v>232</v>
      </c>
      <c r="C342" s="144">
        <v>43623</v>
      </c>
      <c r="D342" s="143" t="s">
        <v>1182</v>
      </c>
      <c r="E342" s="145">
        <v>37.659999999999997</v>
      </c>
      <c r="F342" s="143" t="s">
        <v>15</v>
      </c>
    </row>
    <row r="343" spans="2:7" x14ac:dyDescent="0.25">
      <c r="B343" t="s">
        <v>232</v>
      </c>
      <c r="C343" s="144">
        <v>43623</v>
      </c>
      <c r="D343" s="143" t="s">
        <v>1183</v>
      </c>
      <c r="E343" s="145">
        <v>57.9</v>
      </c>
      <c r="F343" s="143" t="s">
        <v>194</v>
      </c>
    </row>
    <row r="344" spans="2:7" x14ac:dyDescent="0.25">
      <c r="B344" t="s">
        <v>232</v>
      </c>
      <c r="C344" s="144">
        <v>43623</v>
      </c>
      <c r="D344" s="143" t="s">
        <v>1184</v>
      </c>
      <c r="E344" s="145">
        <v>124.3</v>
      </c>
      <c r="F344" s="143" t="s">
        <v>194</v>
      </c>
    </row>
    <row r="345" spans="2:7" x14ac:dyDescent="0.25">
      <c r="B345" t="s">
        <v>232</v>
      </c>
      <c r="C345" s="144">
        <v>43622</v>
      </c>
      <c r="D345" s="143" t="s">
        <v>1185</v>
      </c>
      <c r="E345" s="145">
        <v>17.11</v>
      </c>
      <c r="F345" s="143" t="s">
        <v>20</v>
      </c>
    </row>
    <row r="346" spans="2:7" x14ac:dyDescent="0.25">
      <c r="B346" t="s">
        <v>232</v>
      </c>
      <c r="C346" s="144">
        <v>43621</v>
      </c>
      <c r="D346" s="143" t="s">
        <v>364</v>
      </c>
      <c r="E346" s="145">
        <v>299</v>
      </c>
      <c r="F346" s="143" t="s">
        <v>8</v>
      </c>
    </row>
    <row r="347" spans="2:7" x14ac:dyDescent="0.25">
      <c r="B347" t="s">
        <v>232</v>
      </c>
      <c r="C347" s="144">
        <v>43621</v>
      </c>
      <c r="D347" s="143" t="s">
        <v>1186</v>
      </c>
      <c r="E347" s="145">
        <v>16.04</v>
      </c>
      <c r="F347" s="143" t="s">
        <v>20</v>
      </c>
    </row>
    <row r="348" spans="2:7" x14ac:dyDescent="0.25">
      <c r="B348" t="s">
        <v>232</v>
      </c>
      <c r="C348" s="144">
        <v>43621</v>
      </c>
      <c r="D348" s="143" t="s">
        <v>1187</v>
      </c>
      <c r="E348" s="145">
        <v>13.56</v>
      </c>
      <c r="F348" s="143" t="s">
        <v>17</v>
      </c>
    </row>
    <row r="349" spans="2:7" x14ac:dyDescent="0.25">
      <c r="B349" t="s">
        <v>232</v>
      </c>
      <c r="C349" s="144">
        <v>43621</v>
      </c>
      <c r="D349" s="143" t="s">
        <v>1188</v>
      </c>
      <c r="E349" s="145">
        <v>20.02</v>
      </c>
      <c r="F349" s="143" t="s">
        <v>16</v>
      </c>
    </row>
    <row r="350" spans="2:7" x14ac:dyDescent="0.25">
      <c r="B350" t="s">
        <v>232</v>
      </c>
      <c r="C350" s="144">
        <v>43621</v>
      </c>
      <c r="D350" s="143" t="s">
        <v>362</v>
      </c>
      <c r="E350" s="145">
        <v>8.2799999999999994</v>
      </c>
      <c r="F350" s="143" t="s">
        <v>17</v>
      </c>
    </row>
    <row r="351" spans="2:7" x14ac:dyDescent="0.25">
      <c r="B351" t="s">
        <v>232</v>
      </c>
      <c r="C351" s="144">
        <v>43621</v>
      </c>
      <c r="D351" s="143" t="s">
        <v>619</v>
      </c>
      <c r="E351" s="145">
        <v>299</v>
      </c>
      <c r="F351" s="143" t="s">
        <v>8</v>
      </c>
    </row>
    <row r="352" spans="2:7" x14ac:dyDescent="0.25">
      <c r="B352" t="s">
        <v>232</v>
      </c>
      <c r="C352" s="144">
        <v>43620</v>
      </c>
      <c r="D352" s="143" t="s">
        <v>724</v>
      </c>
      <c r="E352" s="145">
        <v>60.72</v>
      </c>
      <c r="F352" s="143" t="s">
        <v>329</v>
      </c>
    </row>
    <row r="353" spans="2:6" x14ac:dyDescent="0.25">
      <c r="B353" t="s">
        <v>232</v>
      </c>
      <c r="C353" s="144">
        <v>43620</v>
      </c>
      <c r="D353" s="143" t="s">
        <v>377</v>
      </c>
      <c r="E353" s="145">
        <v>832.24</v>
      </c>
      <c r="F353" s="143" t="s">
        <v>11</v>
      </c>
    </row>
    <row r="354" spans="2:6" x14ac:dyDescent="0.25">
      <c r="B354" t="s">
        <v>232</v>
      </c>
      <c r="C354" s="144">
        <v>43620</v>
      </c>
      <c r="D354" s="143" t="s">
        <v>1110</v>
      </c>
      <c r="E354" s="145">
        <v>16.95</v>
      </c>
      <c r="F354" s="143" t="s">
        <v>15</v>
      </c>
    </row>
    <row r="355" spans="2:6" x14ac:dyDescent="0.25">
      <c r="B355" t="s">
        <v>232</v>
      </c>
      <c r="C355" s="144">
        <v>43620</v>
      </c>
      <c r="D355" s="143" t="s">
        <v>1111</v>
      </c>
      <c r="E355" s="145">
        <v>20.440000000000001</v>
      </c>
      <c r="F355" s="143" t="s">
        <v>15</v>
      </c>
    </row>
    <row r="356" spans="2:6" x14ac:dyDescent="0.25">
      <c r="B356" t="s">
        <v>232</v>
      </c>
      <c r="C356" s="144">
        <v>43620</v>
      </c>
      <c r="D356" s="143" t="s">
        <v>1112</v>
      </c>
      <c r="E356" s="145">
        <v>10</v>
      </c>
      <c r="F356" s="143" t="s">
        <v>676</v>
      </c>
    </row>
    <row r="357" spans="2:6" x14ac:dyDescent="0.25">
      <c r="B357" t="s">
        <v>232</v>
      </c>
      <c r="C357" s="144">
        <v>43620</v>
      </c>
      <c r="D357" s="143" t="s">
        <v>1113</v>
      </c>
      <c r="E357" s="145">
        <v>272.82</v>
      </c>
      <c r="F357" s="143" t="s">
        <v>194</v>
      </c>
    </row>
    <row r="358" spans="2:6" x14ac:dyDescent="0.25">
      <c r="B358" t="s">
        <v>232</v>
      </c>
      <c r="C358" s="144">
        <v>43620</v>
      </c>
      <c r="D358" s="143" t="s">
        <v>1114</v>
      </c>
      <c r="E358" s="145">
        <v>44.74</v>
      </c>
      <c r="F358" s="143" t="s">
        <v>194</v>
      </c>
    </row>
    <row r="359" spans="2:6" x14ac:dyDescent="0.25">
      <c r="B359" t="s">
        <v>232</v>
      </c>
      <c r="C359" s="144">
        <v>43620</v>
      </c>
      <c r="D359" s="143" t="s">
        <v>1115</v>
      </c>
      <c r="E359" s="145">
        <v>152.01</v>
      </c>
      <c r="F359" s="143" t="s">
        <v>194</v>
      </c>
    </row>
    <row r="360" spans="2:6" x14ac:dyDescent="0.25">
      <c r="B360" t="s">
        <v>232</v>
      </c>
      <c r="C360" s="144">
        <v>43620</v>
      </c>
      <c r="D360" s="143" t="s">
        <v>1116</v>
      </c>
      <c r="E360" s="145">
        <v>-140</v>
      </c>
      <c r="F360" s="143" t="s">
        <v>194</v>
      </c>
    </row>
    <row r="361" spans="2:6" x14ac:dyDescent="0.25">
      <c r="B361" t="s">
        <v>232</v>
      </c>
      <c r="C361" s="144">
        <v>43619</v>
      </c>
      <c r="D361" s="143" t="s">
        <v>1117</v>
      </c>
      <c r="E361" s="145">
        <v>87.82</v>
      </c>
      <c r="F361" s="143" t="s">
        <v>507</v>
      </c>
    </row>
    <row r="362" spans="2:6" x14ac:dyDescent="0.25">
      <c r="B362" t="s">
        <v>232</v>
      </c>
      <c r="C362" s="144">
        <v>43619</v>
      </c>
      <c r="D362" s="143" t="s">
        <v>1118</v>
      </c>
      <c r="E362" s="145">
        <v>5.71</v>
      </c>
      <c r="F362" s="143" t="s">
        <v>676</v>
      </c>
    </row>
    <row r="363" spans="2:6" x14ac:dyDescent="0.25">
      <c r="B363" t="s">
        <v>232</v>
      </c>
      <c r="C363" s="144">
        <v>43619</v>
      </c>
      <c r="D363" s="143" t="s">
        <v>1119</v>
      </c>
      <c r="E363" s="145">
        <v>7.95</v>
      </c>
      <c r="F363" s="143" t="s">
        <v>15</v>
      </c>
    </row>
    <row r="364" spans="2:6" x14ac:dyDescent="0.25">
      <c r="B364" t="s">
        <v>232</v>
      </c>
      <c r="C364" s="144">
        <v>43619</v>
      </c>
      <c r="D364" s="143" t="s">
        <v>1120</v>
      </c>
      <c r="E364" s="145">
        <v>20.04</v>
      </c>
      <c r="F364" s="143" t="s">
        <v>16</v>
      </c>
    </row>
    <row r="365" spans="2:6" x14ac:dyDescent="0.25">
      <c r="B365" t="s">
        <v>232</v>
      </c>
      <c r="C365" s="144">
        <v>43619</v>
      </c>
      <c r="D365" s="143" t="s">
        <v>1121</v>
      </c>
      <c r="E365" s="145">
        <v>15.24</v>
      </c>
      <c r="F365" s="143" t="s">
        <v>194</v>
      </c>
    </row>
    <row r="366" spans="2:6" x14ac:dyDescent="0.25">
      <c r="B366" t="s">
        <v>232</v>
      </c>
      <c r="C366" s="144">
        <v>43619</v>
      </c>
      <c r="D366" s="143" t="s">
        <v>1122</v>
      </c>
      <c r="E366" s="145">
        <v>16.57</v>
      </c>
      <c r="F366" s="143" t="s">
        <v>15</v>
      </c>
    </row>
    <row r="367" spans="2:6" x14ac:dyDescent="0.25">
      <c r="B367" t="s">
        <v>232</v>
      </c>
      <c r="C367" s="144">
        <v>43619</v>
      </c>
      <c r="D367" s="143" t="s">
        <v>1123</v>
      </c>
      <c r="E367" s="145">
        <v>3.52</v>
      </c>
      <c r="F367" s="143" t="s">
        <v>194</v>
      </c>
    </row>
    <row r="368" spans="2:6" x14ac:dyDescent="0.25">
      <c r="B368" t="s">
        <v>232</v>
      </c>
      <c r="C368" s="144">
        <v>43619</v>
      </c>
      <c r="D368" s="143" t="s">
        <v>1123</v>
      </c>
      <c r="E368" s="145">
        <v>32.82</v>
      </c>
      <c r="F368" s="143" t="s">
        <v>194</v>
      </c>
    </row>
    <row r="369" spans="2:6" x14ac:dyDescent="0.25">
      <c r="B369" t="s">
        <v>232</v>
      </c>
      <c r="C369" s="144">
        <v>43619</v>
      </c>
      <c r="D369" s="143" t="s">
        <v>1124</v>
      </c>
      <c r="E369" s="145">
        <v>11.61</v>
      </c>
      <c r="F369" s="143" t="s">
        <v>754</v>
      </c>
    </row>
    <row r="370" spans="2:6" x14ac:dyDescent="0.25">
      <c r="B370" t="s">
        <v>232</v>
      </c>
      <c r="C370" s="144">
        <v>43619</v>
      </c>
      <c r="D370" s="143" t="s">
        <v>1125</v>
      </c>
      <c r="E370" s="145">
        <v>14.08</v>
      </c>
      <c r="F370" s="143" t="s">
        <v>334</v>
      </c>
    </row>
    <row r="371" spans="2:6" x14ac:dyDescent="0.25">
      <c r="B371" t="s">
        <v>232</v>
      </c>
      <c r="C371" s="144">
        <v>43619</v>
      </c>
      <c r="D371" s="143" t="s">
        <v>1126</v>
      </c>
      <c r="E371" s="145">
        <v>11.38</v>
      </c>
      <c r="F371" s="143" t="s">
        <v>194</v>
      </c>
    </row>
    <row r="372" spans="2:6" x14ac:dyDescent="0.25">
      <c r="B372" t="s">
        <v>232</v>
      </c>
      <c r="C372" s="144">
        <v>43619</v>
      </c>
      <c r="D372" s="143" t="s">
        <v>1127</v>
      </c>
      <c r="E372" s="145">
        <v>25.33</v>
      </c>
      <c r="F372" s="143" t="s">
        <v>194</v>
      </c>
    </row>
    <row r="373" spans="2:6" x14ac:dyDescent="0.25">
      <c r="B373" t="s">
        <v>232</v>
      </c>
      <c r="C373" s="144">
        <v>43619</v>
      </c>
      <c r="D373" s="143" t="s">
        <v>1128</v>
      </c>
      <c r="E373" s="145">
        <v>12</v>
      </c>
      <c r="F373" s="143" t="s">
        <v>194</v>
      </c>
    </row>
    <row r="374" spans="2:6" x14ac:dyDescent="0.25">
      <c r="B374" t="s">
        <v>232</v>
      </c>
      <c r="C374" s="144">
        <v>43619</v>
      </c>
      <c r="D374" s="143" t="s">
        <v>1129</v>
      </c>
      <c r="E374" s="145">
        <v>9.75</v>
      </c>
      <c r="F374" s="143" t="s">
        <v>194</v>
      </c>
    </row>
    <row r="375" spans="2:6" x14ac:dyDescent="0.25">
      <c r="B375" t="s">
        <v>232</v>
      </c>
      <c r="C375" s="144">
        <v>43619</v>
      </c>
      <c r="D375" s="143" t="s">
        <v>1130</v>
      </c>
      <c r="E375" s="145">
        <v>133.13</v>
      </c>
      <c r="F375" s="143" t="s">
        <v>194</v>
      </c>
    </row>
    <row r="376" spans="2:6" x14ac:dyDescent="0.25">
      <c r="B376" t="s">
        <v>232</v>
      </c>
      <c r="C376" s="144">
        <v>43619</v>
      </c>
      <c r="D376" s="143" t="s">
        <v>1131</v>
      </c>
      <c r="E376" s="145">
        <v>25</v>
      </c>
      <c r="F376" s="143" t="s">
        <v>194</v>
      </c>
    </row>
    <row r="377" spans="2:6" x14ac:dyDescent="0.25">
      <c r="B377" t="s">
        <v>232</v>
      </c>
      <c r="C377" s="144">
        <v>43619</v>
      </c>
      <c r="D377" s="143" t="s">
        <v>1132</v>
      </c>
      <c r="E377" s="145">
        <v>53.93</v>
      </c>
      <c r="F377" s="143" t="s">
        <v>21</v>
      </c>
    </row>
    <row r="378" spans="2:6" x14ac:dyDescent="0.25">
      <c r="B378" t="s">
        <v>232</v>
      </c>
      <c r="C378" s="144">
        <v>43619</v>
      </c>
      <c r="D378" s="143" t="s">
        <v>1133</v>
      </c>
      <c r="E378" s="145">
        <v>2.25</v>
      </c>
      <c r="F378" s="143" t="s">
        <v>20</v>
      </c>
    </row>
    <row r="379" spans="2:6" x14ac:dyDescent="0.25">
      <c r="B379" t="s">
        <v>232</v>
      </c>
      <c r="C379" s="144">
        <v>43619</v>
      </c>
      <c r="D379" s="143" t="s">
        <v>1134</v>
      </c>
      <c r="E379" s="145">
        <v>9.6300000000000008</v>
      </c>
      <c r="F379" s="143" t="s">
        <v>17</v>
      </c>
    </row>
    <row r="380" spans="2:6" x14ac:dyDescent="0.25">
      <c r="B380" t="s">
        <v>232</v>
      </c>
      <c r="C380" s="144">
        <v>43619</v>
      </c>
      <c r="D380" s="143" t="s">
        <v>1135</v>
      </c>
      <c r="E380" s="145">
        <v>23.26</v>
      </c>
      <c r="F380" s="143" t="s">
        <v>17</v>
      </c>
    </row>
    <row r="381" spans="2:6" x14ac:dyDescent="0.25">
      <c r="B381" t="s">
        <v>200</v>
      </c>
      <c r="C381" s="144">
        <v>43616</v>
      </c>
      <c r="D381" s="143" t="s">
        <v>1105</v>
      </c>
      <c r="E381" s="145">
        <v>3.16</v>
      </c>
      <c r="F381" s="143" t="s">
        <v>19</v>
      </c>
    </row>
    <row r="382" spans="2:6" x14ac:dyDescent="0.25">
      <c r="B382" t="s">
        <v>200</v>
      </c>
      <c r="C382" s="144">
        <v>43616</v>
      </c>
      <c r="D382" s="143" t="s">
        <v>1106</v>
      </c>
      <c r="E382" s="145">
        <v>8.19</v>
      </c>
      <c r="F382" s="143" t="s">
        <v>15</v>
      </c>
    </row>
    <row r="383" spans="2:6" x14ac:dyDescent="0.25">
      <c r="B383" t="s">
        <v>200</v>
      </c>
      <c r="C383" s="144">
        <v>43616</v>
      </c>
      <c r="D383" s="143" t="s">
        <v>1107</v>
      </c>
      <c r="E383" s="145">
        <v>44.91</v>
      </c>
      <c r="F383" s="143" t="s">
        <v>676</v>
      </c>
    </row>
    <row r="384" spans="2:6" x14ac:dyDescent="0.25">
      <c r="B384" t="s">
        <v>200</v>
      </c>
      <c r="C384" s="144">
        <v>43616</v>
      </c>
      <c r="D384" s="143" t="s">
        <v>1108</v>
      </c>
      <c r="E384" s="145">
        <v>80</v>
      </c>
      <c r="F384" s="143" t="s">
        <v>194</v>
      </c>
    </row>
    <row r="385" spans="2:7" x14ac:dyDescent="0.25">
      <c r="B385" t="s">
        <v>200</v>
      </c>
      <c r="C385" s="144">
        <v>43616</v>
      </c>
      <c r="D385" s="143" t="s">
        <v>1108</v>
      </c>
      <c r="E385" s="145">
        <v>200</v>
      </c>
      <c r="F385" s="143" t="s">
        <v>21</v>
      </c>
      <c r="G385" t="s">
        <v>1136</v>
      </c>
    </row>
    <row r="386" spans="2:7" x14ac:dyDescent="0.25">
      <c r="B386" t="s">
        <v>200</v>
      </c>
      <c r="C386" s="144">
        <v>43616</v>
      </c>
      <c r="D386" s="143" t="s">
        <v>1109</v>
      </c>
      <c r="E386" s="145">
        <v>19.489999999999998</v>
      </c>
      <c r="F386" s="143" t="s">
        <v>676</v>
      </c>
    </row>
    <row r="387" spans="2:7" x14ac:dyDescent="0.25">
      <c r="B387" t="s">
        <v>200</v>
      </c>
      <c r="C387" s="144">
        <v>43615</v>
      </c>
      <c r="D387" s="143" t="s">
        <v>1100</v>
      </c>
      <c r="E387" s="145">
        <v>8.49</v>
      </c>
      <c r="F387" s="143" t="s">
        <v>676</v>
      </c>
    </row>
    <row r="388" spans="2:7" x14ac:dyDescent="0.25">
      <c r="B388" t="s">
        <v>200</v>
      </c>
      <c r="C388" s="144">
        <v>43615</v>
      </c>
      <c r="D388" s="143" t="s">
        <v>1101</v>
      </c>
      <c r="E388" s="145">
        <v>4.2300000000000004</v>
      </c>
      <c r="F388" s="143" t="s">
        <v>19</v>
      </c>
    </row>
    <row r="389" spans="2:7" x14ac:dyDescent="0.25">
      <c r="B389" t="s">
        <v>200</v>
      </c>
      <c r="C389" s="144">
        <v>43615</v>
      </c>
      <c r="D389" s="143" t="s">
        <v>1102</v>
      </c>
      <c r="E389" s="145">
        <v>24.58</v>
      </c>
      <c r="F389" s="143" t="s">
        <v>15</v>
      </c>
    </row>
    <row r="390" spans="2:7" x14ac:dyDescent="0.25">
      <c r="B390" t="s">
        <v>200</v>
      </c>
      <c r="C390" s="144">
        <v>43615</v>
      </c>
      <c r="D390" s="143" t="s">
        <v>1103</v>
      </c>
      <c r="E390" s="145">
        <v>5.55</v>
      </c>
      <c r="F390" s="143" t="s">
        <v>21</v>
      </c>
    </row>
    <row r="391" spans="2:7" x14ac:dyDescent="0.25">
      <c r="B391" t="s">
        <v>200</v>
      </c>
      <c r="C391" s="144">
        <v>43615</v>
      </c>
      <c r="D391" s="143" t="s">
        <v>1103</v>
      </c>
      <c r="E391" s="145">
        <v>13.78</v>
      </c>
      <c r="F391" s="143" t="s">
        <v>21</v>
      </c>
    </row>
    <row r="392" spans="2:7" x14ac:dyDescent="0.25">
      <c r="B392" t="s">
        <v>200</v>
      </c>
      <c r="C392" s="144">
        <v>43615</v>
      </c>
      <c r="D392" s="143" t="s">
        <v>1104</v>
      </c>
      <c r="E392" s="145">
        <v>112.5</v>
      </c>
      <c r="F392" s="143" t="s">
        <v>20</v>
      </c>
    </row>
    <row r="393" spans="2:7" x14ac:dyDescent="0.25">
      <c r="B393" t="s">
        <v>200</v>
      </c>
      <c r="C393" s="144">
        <v>43615</v>
      </c>
      <c r="D393" s="143" t="s">
        <v>1099</v>
      </c>
      <c r="E393" s="145">
        <v>545</v>
      </c>
      <c r="F393" s="143" t="s">
        <v>13</v>
      </c>
    </row>
    <row r="394" spans="2:7" x14ac:dyDescent="0.25">
      <c r="B394" t="s">
        <v>200</v>
      </c>
      <c r="C394" s="144">
        <v>43614</v>
      </c>
      <c r="D394" s="143" t="s">
        <v>621</v>
      </c>
      <c r="E394" s="145">
        <v>30.16</v>
      </c>
      <c r="F394" s="143" t="s">
        <v>15</v>
      </c>
    </row>
    <row r="395" spans="2:7" x14ac:dyDescent="0.25">
      <c r="B395" t="s">
        <v>200</v>
      </c>
      <c r="C395" s="144">
        <v>43614</v>
      </c>
      <c r="D395" s="143" t="s">
        <v>622</v>
      </c>
      <c r="E395" s="145">
        <v>3.87</v>
      </c>
      <c r="F395" s="143" t="s">
        <v>754</v>
      </c>
    </row>
    <row r="396" spans="2:7" x14ac:dyDescent="0.25">
      <c r="B396" t="s">
        <v>200</v>
      </c>
      <c r="C396" s="144">
        <v>43614</v>
      </c>
      <c r="D396" s="143" t="s">
        <v>622</v>
      </c>
      <c r="E396" s="145">
        <v>7.74</v>
      </c>
      <c r="F396" s="143" t="s">
        <v>754</v>
      </c>
    </row>
    <row r="397" spans="2:7" x14ac:dyDescent="0.25">
      <c r="B397" t="s">
        <v>200</v>
      </c>
      <c r="C397" s="144">
        <v>43614</v>
      </c>
      <c r="D397" s="143" t="s">
        <v>140</v>
      </c>
      <c r="E397" s="145">
        <v>437.54</v>
      </c>
      <c r="F397" s="143" t="s">
        <v>192</v>
      </c>
    </row>
    <row r="398" spans="2:7" x14ac:dyDescent="0.25">
      <c r="B398" t="s">
        <v>200</v>
      </c>
      <c r="C398" s="144">
        <v>43613</v>
      </c>
      <c r="D398" s="143" t="s">
        <v>1054</v>
      </c>
      <c r="E398" s="145">
        <v>14.01</v>
      </c>
      <c r="F398" s="143" t="s">
        <v>15</v>
      </c>
    </row>
    <row r="399" spans="2:7" x14ac:dyDescent="0.25">
      <c r="B399" t="s">
        <v>200</v>
      </c>
      <c r="C399" s="144">
        <v>43613</v>
      </c>
      <c r="D399" s="143" t="s">
        <v>1055</v>
      </c>
      <c r="E399" s="145">
        <v>2.5</v>
      </c>
      <c r="F399" s="143" t="s">
        <v>20</v>
      </c>
    </row>
    <row r="400" spans="2:7" x14ac:dyDescent="0.25">
      <c r="B400" t="s">
        <v>200</v>
      </c>
      <c r="C400" s="144">
        <v>43613</v>
      </c>
      <c r="D400" s="143" t="s">
        <v>1056</v>
      </c>
      <c r="E400" s="145">
        <v>4.2300000000000004</v>
      </c>
      <c r="F400" s="143" t="s">
        <v>19</v>
      </c>
    </row>
    <row r="401" spans="2:7" x14ac:dyDescent="0.25">
      <c r="B401" t="s">
        <v>200</v>
      </c>
      <c r="C401" s="144">
        <v>43613</v>
      </c>
      <c r="D401" s="143" t="s">
        <v>1057</v>
      </c>
      <c r="E401" s="145">
        <v>15.31</v>
      </c>
      <c r="F401" s="143" t="s">
        <v>17</v>
      </c>
    </row>
    <row r="402" spans="2:7" x14ac:dyDescent="0.25">
      <c r="B402" t="s">
        <v>200</v>
      </c>
      <c r="C402" s="144">
        <v>43613</v>
      </c>
      <c r="D402" s="143" t="s">
        <v>1058</v>
      </c>
      <c r="E402" s="145">
        <v>3.16</v>
      </c>
      <c r="F402" s="143" t="s">
        <v>19</v>
      </c>
    </row>
    <row r="403" spans="2:7" x14ac:dyDescent="0.25">
      <c r="B403" t="s">
        <v>200</v>
      </c>
      <c r="C403" s="144">
        <v>43613</v>
      </c>
      <c r="D403" s="143" t="s">
        <v>1059</v>
      </c>
      <c r="E403" s="145">
        <v>2.58</v>
      </c>
      <c r="F403" s="143" t="s">
        <v>754</v>
      </c>
    </row>
    <row r="404" spans="2:7" x14ac:dyDescent="0.25">
      <c r="B404" t="s">
        <v>200</v>
      </c>
      <c r="C404" s="144">
        <v>43613</v>
      </c>
      <c r="D404" s="143" t="s">
        <v>1060</v>
      </c>
      <c r="E404" s="145">
        <v>10.82</v>
      </c>
      <c r="F404" s="143" t="s">
        <v>15</v>
      </c>
    </row>
    <row r="405" spans="2:7" x14ac:dyDescent="0.25">
      <c r="B405" t="s">
        <v>200</v>
      </c>
      <c r="C405" s="144">
        <v>43613</v>
      </c>
      <c r="D405" s="143" t="s">
        <v>1061</v>
      </c>
      <c r="E405" s="145">
        <v>39.93</v>
      </c>
      <c r="F405" s="143" t="s">
        <v>16</v>
      </c>
    </row>
    <row r="406" spans="2:7" x14ac:dyDescent="0.25">
      <c r="B406" t="s">
        <v>200</v>
      </c>
      <c r="C406" s="144">
        <v>43613</v>
      </c>
      <c r="D406" s="143" t="s">
        <v>1062</v>
      </c>
      <c r="E406" s="145">
        <v>24.59</v>
      </c>
      <c r="F406" s="143" t="s">
        <v>20</v>
      </c>
      <c r="G406" t="s">
        <v>1098</v>
      </c>
    </row>
    <row r="407" spans="2:7" x14ac:dyDescent="0.25">
      <c r="B407" t="s">
        <v>200</v>
      </c>
      <c r="C407" s="144">
        <v>43613</v>
      </c>
      <c r="D407" s="143" t="s">
        <v>1063</v>
      </c>
      <c r="E407" s="145">
        <v>4.2699999999999996</v>
      </c>
      <c r="F407" s="143" t="s">
        <v>20</v>
      </c>
    </row>
    <row r="408" spans="2:7" x14ac:dyDescent="0.25">
      <c r="B408" t="s">
        <v>200</v>
      </c>
      <c r="C408" s="144">
        <v>43613</v>
      </c>
      <c r="D408" s="143" t="s">
        <v>1064</v>
      </c>
      <c r="E408" s="145">
        <v>5.1100000000000003</v>
      </c>
      <c r="F408" s="143" t="s">
        <v>15</v>
      </c>
    </row>
    <row r="409" spans="2:7" x14ac:dyDescent="0.25">
      <c r="B409" t="s">
        <v>200</v>
      </c>
      <c r="C409" s="144">
        <v>43613</v>
      </c>
      <c r="D409" s="143" t="s">
        <v>1065</v>
      </c>
      <c r="E409" s="145">
        <v>21.37</v>
      </c>
      <c r="F409" s="143" t="s">
        <v>20</v>
      </c>
    </row>
    <row r="410" spans="2:7" x14ac:dyDescent="0.25">
      <c r="B410" t="s">
        <v>200</v>
      </c>
      <c r="C410" s="144">
        <v>43613</v>
      </c>
      <c r="D410" s="143" t="s">
        <v>1066</v>
      </c>
      <c r="E410" s="145">
        <v>40.11</v>
      </c>
      <c r="F410" s="143" t="s">
        <v>198</v>
      </c>
    </row>
    <row r="411" spans="2:7" x14ac:dyDescent="0.25">
      <c r="B411" t="s">
        <v>200</v>
      </c>
      <c r="C411" s="144">
        <v>43613</v>
      </c>
      <c r="D411" s="143" t="s">
        <v>1067</v>
      </c>
      <c r="E411" s="145">
        <v>12.42</v>
      </c>
      <c r="F411" s="143" t="s">
        <v>17</v>
      </c>
    </row>
    <row r="412" spans="2:7" x14ac:dyDescent="0.25">
      <c r="B412" t="s">
        <v>200</v>
      </c>
      <c r="C412" s="144">
        <v>43609</v>
      </c>
      <c r="D412" s="143" t="s">
        <v>1068</v>
      </c>
      <c r="E412" s="145">
        <v>0.99</v>
      </c>
      <c r="F412" s="143" t="s">
        <v>754</v>
      </c>
    </row>
    <row r="413" spans="2:7" x14ac:dyDescent="0.25">
      <c r="B413" t="s">
        <v>200</v>
      </c>
      <c r="C413" s="144">
        <v>43609</v>
      </c>
      <c r="D413" s="143" t="s">
        <v>1069</v>
      </c>
      <c r="E413" s="145">
        <v>12.43</v>
      </c>
      <c r="F413" s="143" t="s">
        <v>15</v>
      </c>
    </row>
    <row r="414" spans="2:7" x14ac:dyDescent="0.25">
      <c r="B414" t="s">
        <v>200</v>
      </c>
      <c r="C414" s="144">
        <v>43609</v>
      </c>
      <c r="D414" s="143" t="s">
        <v>1070</v>
      </c>
      <c r="E414" s="145">
        <v>18.5</v>
      </c>
      <c r="F414" s="143" t="s">
        <v>15</v>
      </c>
    </row>
    <row r="415" spans="2:7" x14ac:dyDescent="0.25">
      <c r="B415" t="s">
        <v>200</v>
      </c>
      <c r="C415" s="144">
        <v>43609</v>
      </c>
      <c r="D415" s="143" t="s">
        <v>1071</v>
      </c>
      <c r="E415" s="145">
        <v>16.12</v>
      </c>
      <c r="F415" s="143" t="s">
        <v>17</v>
      </c>
    </row>
    <row r="416" spans="2:7" x14ac:dyDescent="0.25">
      <c r="B416" t="s">
        <v>200</v>
      </c>
      <c r="C416" s="144">
        <v>43608</v>
      </c>
      <c r="D416" s="143" t="s">
        <v>1072</v>
      </c>
      <c r="E416" s="145">
        <v>27.69</v>
      </c>
      <c r="F416" s="143" t="s">
        <v>20</v>
      </c>
    </row>
    <row r="417" spans="2:6" x14ac:dyDescent="0.25">
      <c r="B417" t="s">
        <v>200</v>
      </c>
      <c r="C417" s="144">
        <v>43608</v>
      </c>
      <c r="D417" s="143" t="s">
        <v>1073</v>
      </c>
      <c r="E417" s="145">
        <v>12.71</v>
      </c>
      <c r="F417" s="143" t="s">
        <v>21</v>
      </c>
    </row>
    <row r="418" spans="2:6" x14ac:dyDescent="0.25">
      <c r="B418" t="s">
        <v>200</v>
      </c>
      <c r="C418" s="144">
        <v>43608</v>
      </c>
      <c r="D418" s="143" t="s">
        <v>1068</v>
      </c>
      <c r="E418" s="145">
        <v>8.15</v>
      </c>
      <c r="F418" s="143" t="s">
        <v>754</v>
      </c>
    </row>
    <row r="419" spans="2:6" x14ac:dyDescent="0.25">
      <c r="B419" t="s">
        <v>200</v>
      </c>
      <c r="C419" s="144">
        <v>43608</v>
      </c>
      <c r="D419" s="143" t="s">
        <v>1074</v>
      </c>
      <c r="E419" s="145">
        <v>4.26</v>
      </c>
      <c r="F419" s="143" t="s">
        <v>20</v>
      </c>
    </row>
    <row r="420" spans="2:6" x14ac:dyDescent="0.25">
      <c r="B420" t="s">
        <v>200</v>
      </c>
      <c r="C420" s="144">
        <v>43608</v>
      </c>
      <c r="D420" s="143" t="s">
        <v>1075</v>
      </c>
      <c r="E420" s="145">
        <v>16.91</v>
      </c>
      <c r="F420" s="143" t="s">
        <v>17</v>
      </c>
    </row>
    <row r="421" spans="2:6" x14ac:dyDescent="0.25">
      <c r="B421" t="s">
        <v>200</v>
      </c>
      <c r="C421" s="144">
        <v>43607</v>
      </c>
      <c r="D421" s="143" t="s">
        <v>1076</v>
      </c>
      <c r="E421" s="145">
        <v>24.1</v>
      </c>
      <c r="F421" s="143" t="s">
        <v>15</v>
      </c>
    </row>
    <row r="422" spans="2:6" x14ac:dyDescent="0.25">
      <c r="B422" t="s">
        <v>200</v>
      </c>
      <c r="C422" s="144">
        <v>43607</v>
      </c>
      <c r="D422" s="143" t="s">
        <v>1077</v>
      </c>
      <c r="E422" s="145">
        <v>10.91</v>
      </c>
      <c r="F422" s="143" t="s">
        <v>15</v>
      </c>
    </row>
    <row r="423" spans="2:6" x14ac:dyDescent="0.25">
      <c r="B423" t="s">
        <v>200</v>
      </c>
      <c r="C423" s="144">
        <v>43607</v>
      </c>
      <c r="D423" s="143" t="s">
        <v>1078</v>
      </c>
      <c r="E423" s="145">
        <v>32.049999999999997</v>
      </c>
      <c r="F423" s="143" t="s">
        <v>20</v>
      </c>
    </row>
    <row r="424" spans="2:6" x14ac:dyDescent="0.25">
      <c r="B424" t="s">
        <v>200</v>
      </c>
      <c r="C424" s="144">
        <v>43607</v>
      </c>
      <c r="D424" s="143" t="s">
        <v>1079</v>
      </c>
      <c r="E424" s="145">
        <v>15.77</v>
      </c>
      <c r="F424" s="143" t="s">
        <v>17</v>
      </c>
    </row>
    <row r="425" spans="2:6" x14ac:dyDescent="0.25">
      <c r="B425" t="s">
        <v>200</v>
      </c>
      <c r="C425" s="144">
        <v>43606</v>
      </c>
      <c r="D425" s="143" t="s">
        <v>1080</v>
      </c>
      <c r="E425" s="145">
        <v>7.48</v>
      </c>
      <c r="F425" s="143" t="s">
        <v>15</v>
      </c>
    </row>
    <row r="426" spans="2:6" x14ac:dyDescent="0.25">
      <c r="B426" t="s">
        <v>200</v>
      </c>
      <c r="C426" s="144">
        <v>43605</v>
      </c>
      <c r="D426" s="143" t="s">
        <v>1081</v>
      </c>
      <c r="E426" s="145">
        <v>17.62</v>
      </c>
      <c r="F426" s="143" t="s">
        <v>15</v>
      </c>
    </row>
    <row r="427" spans="2:6" x14ac:dyDescent="0.25">
      <c r="B427" t="s">
        <v>200</v>
      </c>
      <c r="C427" s="144">
        <v>43605</v>
      </c>
      <c r="D427" s="143" t="s">
        <v>1082</v>
      </c>
      <c r="E427" s="145">
        <v>7</v>
      </c>
      <c r="F427" s="143" t="s">
        <v>18</v>
      </c>
    </row>
    <row r="428" spans="2:6" x14ac:dyDescent="0.25">
      <c r="B428" t="s">
        <v>200</v>
      </c>
      <c r="C428" s="144">
        <v>43605</v>
      </c>
      <c r="D428" s="143" t="s">
        <v>1083</v>
      </c>
      <c r="E428" s="145">
        <v>13.96</v>
      </c>
      <c r="F428" s="143" t="s">
        <v>15</v>
      </c>
    </row>
    <row r="429" spans="2:6" x14ac:dyDescent="0.25">
      <c r="B429" t="s">
        <v>200</v>
      </c>
      <c r="C429" s="144">
        <v>43605</v>
      </c>
      <c r="D429" s="143" t="s">
        <v>1084</v>
      </c>
      <c r="E429" s="145">
        <v>13.86</v>
      </c>
      <c r="F429" s="143" t="s">
        <v>18</v>
      </c>
    </row>
    <row r="430" spans="2:6" x14ac:dyDescent="0.25">
      <c r="B430" t="s">
        <v>200</v>
      </c>
      <c r="C430" s="144">
        <v>43605</v>
      </c>
      <c r="D430" s="143" t="s">
        <v>1085</v>
      </c>
      <c r="E430" s="145">
        <v>32</v>
      </c>
      <c r="F430" s="143" t="s">
        <v>16</v>
      </c>
    </row>
    <row r="431" spans="2:6" x14ac:dyDescent="0.25">
      <c r="B431" t="s">
        <v>200</v>
      </c>
      <c r="C431" s="144">
        <v>43605</v>
      </c>
      <c r="D431" s="143" t="s">
        <v>1086</v>
      </c>
      <c r="E431" s="145">
        <v>4.2300000000000004</v>
      </c>
      <c r="F431" s="143" t="s">
        <v>19</v>
      </c>
    </row>
    <row r="432" spans="2:6" x14ac:dyDescent="0.25">
      <c r="B432" t="s">
        <v>200</v>
      </c>
      <c r="C432" s="144">
        <v>43605</v>
      </c>
      <c r="D432" s="143" t="s">
        <v>1087</v>
      </c>
      <c r="E432" s="145">
        <v>10.42</v>
      </c>
      <c r="F432" s="143" t="s">
        <v>17</v>
      </c>
    </row>
    <row r="433" spans="2:7" x14ac:dyDescent="0.25">
      <c r="B433" t="s">
        <v>200</v>
      </c>
      <c r="C433" s="144">
        <v>43605</v>
      </c>
      <c r="D433" s="143" t="s">
        <v>1088</v>
      </c>
      <c r="E433" s="145">
        <v>11.96</v>
      </c>
      <c r="F433" s="143" t="s">
        <v>18</v>
      </c>
    </row>
    <row r="434" spans="2:7" x14ac:dyDescent="0.25">
      <c r="B434" t="s">
        <v>200</v>
      </c>
      <c r="C434" s="144">
        <v>43605</v>
      </c>
      <c r="D434" s="143" t="s">
        <v>1089</v>
      </c>
      <c r="E434" s="145">
        <v>7.44</v>
      </c>
      <c r="F434" s="143" t="s">
        <v>21</v>
      </c>
    </row>
    <row r="435" spans="2:7" x14ac:dyDescent="0.25">
      <c r="B435" t="s">
        <v>200</v>
      </c>
      <c r="C435" s="144">
        <v>43605</v>
      </c>
      <c r="D435" s="143" t="s">
        <v>1090</v>
      </c>
      <c r="E435" s="145">
        <v>40.15</v>
      </c>
      <c r="F435" s="143" t="s">
        <v>21</v>
      </c>
    </row>
    <row r="436" spans="2:7" x14ac:dyDescent="0.25">
      <c r="B436" t="s">
        <v>200</v>
      </c>
      <c r="C436" s="144">
        <v>43605</v>
      </c>
      <c r="D436" s="143" t="s">
        <v>1091</v>
      </c>
      <c r="E436" s="145">
        <v>40</v>
      </c>
      <c r="F436" s="143" t="s">
        <v>202</v>
      </c>
    </row>
    <row r="437" spans="2:7" x14ac:dyDescent="0.25">
      <c r="B437" t="s">
        <v>200</v>
      </c>
      <c r="C437" s="144">
        <v>43605</v>
      </c>
      <c r="D437" s="143" t="s">
        <v>1092</v>
      </c>
      <c r="E437" s="145">
        <v>4.2300000000000004</v>
      </c>
      <c r="F437" s="143" t="s">
        <v>19</v>
      </c>
    </row>
    <row r="438" spans="2:7" x14ac:dyDescent="0.25">
      <c r="B438" t="s">
        <v>200</v>
      </c>
      <c r="C438" s="144">
        <v>43605</v>
      </c>
      <c r="D438" s="143" t="s">
        <v>1093</v>
      </c>
      <c r="E438" s="145">
        <v>38.99</v>
      </c>
      <c r="F438" s="143" t="s">
        <v>754</v>
      </c>
    </row>
    <row r="439" spans="2:7" x14ac:dyDescent="0.25">
      <c r="B439" t="s">
        <v>200</v>
      </c>
      <c r="C439" s="144">
        <v>43605</v>
      </c>
      <c r="D439" s="143" t="s">
        <v>1094</v>
      </c>
      <c r="E439" s="145">
        <v>60</v>
      </c>
      <c r="F439" s="143" t="s">
        <v>202</v>
      </c>
      <c r="G439" t="s">
        <v>1097</v>
      </c>
    </row>
    <row r="440" spans="2:7" x14ac:dyDescent="0.25">
      <c r="B440" t="s">
        <v>200</v>
      </c>
      <c r="C440" s="144">
        <v>43605</v>
      </c>
      <c r="D440" s="143" t="s">
        <v>1095</v>
      </c>
      <c r="E440" s="145">
        <v>39.97</v>
      </c>
      <c r="F440" s="143" t="s">
        <v>17</v>
      </c>
    </row>
    <row r="441" spans="2:7" x14ac:dyDescent="0.25">
      <c r="B441" t="s">
        <v>200</v>
      </c>
      <c r="C441" s="144">
        <v>43605</v>
      </c>
      <c r="D441" s="143" t="s">
        <v>1096</v>
      </c>
      <c r="E441" s="145">
        <v>1.29</v>
      </c>
      <c r="F441" s="143" t="s">
        <v>754</v>
      </c>
    </row>
    <row r="442" spans="2:7" x14ac:dyDescent="0.25">
      <c r="B442" t="s">
        <v>200</v>
      </c>
      <c r="C442" s="144">
        <v>43602</v>
      </c>
      <c r="D442" s="143" t="s">
        <v>662</v>
      </c>
      <c r="E442" s="145">
        <v>200</v>
      </c>
      <c r="F442" s="143" t="s">
        <v>20</v>
      </c>
      <c r="G442" t="s">
        <v>631</v>
      </c>
    </row>
    <row r="443" spans="2:7" x14ac:dyDescent="0.25">
      <c r="B443" t="s">
        <v>200</v>
      </c>
      <c r="C443" s="144">
        <v>43602</v>
      </c>
      <c r="D443" s="143" t="s">
        <v>1053</v>
      </c>
      <c r="E443" s="145">
        <v>8.0299999999999994</v>
      </c>
      <c r="F443" s="143" t="s">
        <v>17</v>
      </c>
    </row>
    <row r="444" spans="2:7" x14ac:dyDescent="0.25">
      <c r="B444" t="s">
        <v>200</v>
      </c>
      <c r="C444" s="144">
        <v>43602</v>
      </c>
      <c r="D444" s="143" t="s">
        <v>717</v>
      </c>
      <c r="E444" s="145">
        <v>33.82</v>
      </c>
      <c r="F444" s="143" t="s">
        <v>17</v>
      </c>
    </row>
    <row r="445" spans="2:7" x14ac:dyDescent="0.25">
      <c r="B445" t="s">
        <v>200</v>
      </c>
      <c r="C445" s="144">
        <v>43601</v>
      </c>
      <c r="D445" s="143" t="s">
        <v>1030</v>
      </c>
      <c r="E445" s="145">
        <v>12.71</v>
      </c>
      <c r="F445" s="143" t="s">
        <v>21</v>
      </c>
    </row>
    <row r="446" spans="2:7" x14ac:dyDescent="0.25">
      <c r="B446" t="s">
        <v>200</v>
      </c>
      <c r="C446" s="144">
        <v>43601</v>
      </c>
      <c r="D446" s="143" t="s">
        <v>1031</v>
      </c>
      <c r="E446" s="145">
        <v>17.91</v>
      </c>
      <c r="F446" s="143" t="s">
        <v>17</v>
      </c>
    </row>
    <row r="447" spans="2:7" x14ac:dyDescent="0.25">
      <c r="B447" t="s">
        <v>200</v>
      </c>
      <c r="C447" s="144">
        <v>43600</v>
      </c>
      <c r="D447" s="143" t="s">
        <v>1032</v>
      </c>
      <c r="E447" s="145">
        <v>25.07</v>
      </c>
      <c r="F447" s="143" t="s">
        <v>16</v>
      </c>
      <c r="G447" s="152" t="s">
        <v>1052</v>
      </c>
    </row>
    <row r="448" spans="2:7" x14ac:dyDescent="0.25">
      <c r="B448" t="s">
        <v>200</v>
      </c>
      <c r="C448" s="144">
        <v>43600</v>
      </c>
      <c r="D448" s="143" t="s">
        <v>1033</v>
      </c>
      <c r="E448" s="145">
        <v>33.229999999999997</v>
      </c>
      <c r="F448" s="143" t="s">
        <v>15</v>
      </c>
    </row>
    <row r="449" spans="2:7" x14ac:dyDescent="0.25">
      <c r="B449" t="s">
        <v>200</v>
      </c>
      <c r="C449" s="144">
        <v>43600</v>
      </c>
      <c r="D449" s="143" t="s">
        <v>1034</v>
      </c>
      <c r="E449" s="145">
        <v>5.73</v>
      </c>
      <c r="F449" s="143" t="s">
        <v>19</v>
      </c>
    </row>
    <row r="450" spans="2:7" x14ac:dyDescent="0.25">
      <c r="B450" t="s">
        <v>200</v>
      </c>
      <c r="C450" s="144">
        <v>43600</v>
      </c>
      <c r="D450" s="143" t="s">
        <v>1035</v>
      </c>
      <c r="E450" s="145">
        <v>113.51</v>
      </c>
      <c r="F450" s="143" t="s">
        <v>21</v>
      </c>
    </row>
    <row r="451" spans="2:7" x14ac:dyDescent="0.25">
      <c r="B451" t="s">
        <v>200</v>
      </c>
      <c r="C451" s="144">
        <v>43600</v>
      </c>
      <c r="D451" s="143" t="s">
        <v>1036</v>
      </c>
      <c r="E451" s="145">
        <v>5.73</v>
      </c>
      <c r="F451" s="143" t="s">
        <v>19</v>
      </c>
    </row>
    <row r="452" spans="2:7" x14ac:dyDescent="0.25">
      <c r="B452" t="s">
        <v>200</v>
      </c>
      <c r="C452" s="144">
        <v>43599</v>
      </c>
      <c r="D452" s="143" t="s">
        <v>1037</v>
      </c>
      <c r="E452" s="145">
        <v>1.29</v>
      </c>
      <c r="F452" s="143" t="s">
        <v>754</v>
      </c>
    </row>
    <row r="453" spans="2:7" x14ac:dyDescent="0.25">
      <c r="B453" t="s">
        <v>200</v>
      </c>
      <c r="C453" s="144">
        <v>43599</v>
      </c>
      <c r="D453" s="143" t="s">
        <v>1038</v>
      </c>
      <c r="E453" s="145">
        <v>3.48</v>
      </c>
      <c r="F453" s="143" t="s">
        <v>19</v>
      </c>
    </row>
    <row r="454" spans="2:7" x14ac:dyDescent="0.25">
      <c r="B454" t="s">
        <v>200</v>
      </c>
      <c r="C454" s="144">
        <v>43599</v>
      </c>
      <c r="D454" s="143" t="s">
        <v>1039</v>
      </c>
      <c r="E454" s="145">
        <v>39.17</v>
      </c>
      <c r="F454" s="143" t="s">
        <v>17</v>
      </c>
    </row>
    <row r="455" spans="2:7" x14ac:dyDescent="0.25">
      <c r="B455" t="s">
        <v>200</v>
      </c>
      <c r="C455" s="144">
        <v>43598</v>
      </c>
      <c r="D455" s="143" t="s">
        <v>1040</v>
      </c>
      <c r="E455" s="145">
        <v>2.39</v>
      </c>
      <c r="F455" s="143" t="s">
        <v>20</v>
      </c>
    </row>
    <row r="456" spans="2:7" x14ac:dyDescent="0.25">
      <c r="B456" t="s">
        <v>200</v>
      </c>
      <c r="C456" s="144">
        <v>43598</v>
      </c>
      <c r="D456" s="143" t="s">
        <v>1041</v>
      </c>
      <c r="E456" s="145">
        <v>3.16</v>
      </c>
      <c r="F456" s="143" t="s">
        <v>19</v>
      </c>
    </row>
    <row r="457" spans="2:7" x14ac:dyDescent="0.25">
      <c r="B457" t="s">
        <v>200</v>
      </c>
      <c r="C457" s="144">
        <v>43598</v>
      </c>
      <c r="D457" s="143" t="s">
        <v>1042</v>
      </c>
      <c r="E457" s="145">
        <v>9.89</v>
      </c>
      <c r="F457" s="143" t="s">
        <v>18</v>
      </c>
    </row>
    <row r="458" spans="2:7" x14ac:dyDescent="0.25">
      <c r="B458" t="s">
        <v>200</v>
      </c>
      <c r="C458" s="144">
        <v>43598</v>
      </c>
      <c r="D458" s="143" t="s">
        <v>1043</v>
      </c>
      <c r="E458" s="145">
        <v>23.92</v>
      </c>
      <c r="F458" s="143" t="s">
        <v>17</v>
      </c>
    </row>
    <row r="459" spans="2:7" x14ac:dyDescent="0.25">
      <c r="B459" t="s">
        <v>200</v>
      </c>
      <c r="C459" s="144">
        <v>43598</v>
      </c>
      <c r="D459" s="143" t="s">
        <v>1044</v>
      </c>
      <c r="E459" s="145">
        <v>4.2300000000000004</v>
      </c>
      <c r="F459" s="143" t="s">
        <v>19</v>
      </c>
    </row>
    <row r="460" spans="2:7" x14ac:dyDescent="0.25">
      <c r="B460" t="s">
        <v>200</v>
      </c>
      <c r="C460" s="144">
        <v>43598</v>
      </c>
      <c r="D460" s="143" t="s">
        <v>1045</v>
      </c>
      <c r="E460" s="145">
        <v>4.2300000000000004</v>
      </c>
      <c r="F460" s="143" t="s">
        <v>19</v>
      </c>
    </row>
    <row r="461" spans="2:7" x14ac:dyDescent="0.25">
      <c r="B461" t="s">
        <v>200</v>
      </c>
      <c r="C461" s="144">
        <v>43598</v>
      </c>
      <c r="D461" s="143" t="s">
        <v>1046</v>
      </c>
      <c r="E461" s="145">
        <v>8.33</v>
      </c>
      <c r="F461" s="143" t="s">
        <v>15</v>
      </c>
    </row>
    <row r="462" spans="2:7" x14ac:dyDescent="0.25">
      <c r="B462" t="s">
        <v>200</v>
      </c>
      <c r="C462" s="144">
        <v>43598</v>
      </c>
      <c r="D462" s="143" t="s">
        <v>1047</v>
      </c>
      <c r="E462" s="145">
        <v>30.35</v>
      </c>
      <c r="F462" s="143" t="s">
        <v>16</v>
      </c>
      <c r="G462" s="152" t="s">
        <v>1052</v>
      </c>
    </row>
    <row r="463" spans="2:7" x14ac:dyDescent="0.25">
      <c r="B463" t="s">
        <v>200</v>
      </c>
      <c r="C463" s="144">
        <v>43598</v>
      </c>
      <c r="D463" s="143" t="s">
        <v>1048</v>
      </c>
      <c r="E463" s="145">
        <v>17.11</v>
      </c>
      <c r="F463" s="143" t="s">
        <v>754</v>
      </c>
    </row>
    <row r="464" spans="2:7" x14ac:dyDescent="0.25">
      <c r="B464" t="s">
        <v>200</v>
      </c>
      <c r="C464" s="144">
        <v>43598</v>
      </c>
      <c r="D464" s="143" t="s">
        <v>1049</v>
      </c>
      <c r="E464" s="145">
        <v>4.2300000000000004</v>
      </c>
      <c r="F464" s="143" t="s">
        <v>19</v>
      </c>
    </row>
    <row r="465" spans="2:6" x14ac:dyDescent="0.25">
      <c r="B465" t="s">
        <v>200</v>
      </c>
      <c r="C465" s="144">
        <v>43598</v>
      </c>
      <c r="D465" s="143" t="s">
        <v>1050</v>
      </c>
      <c r="E465" s="145">
        <v>21.64</v>
      </c>
      <c r="F465" s="143" t="s">
        <v>21</v>
      </c>
    </row>
    <row r="466" spans="2:6" x14ac:dyDescent="0.25">
      <c r="B466" t="s">
        <v>200</v>
      </c>
      <c r="C466" s="144">
        <v>43598</v>
      </c>
      <c r="D466" s="143" t="s">
        <v>1051</v>
      </c>
      <c r="E466" s="145">
        <v>17.84</v>
      </c>
      <c r="F466" s="143" t="s">
        <v>17</v>
      </c>
    </row>
    <row r="467" spans="2:6" x14ac:dyDescent="0.25">
      <c r="B467" t="s">
        <v>200</v>
      </c>
      <c r="C467" s="144">
        <v>43595</v>
      </c>
      <c r="D467" s="143" t="s">
        <v>1029</v>
      </c>
      <c r="E467" s="145">
        <v>21.22</v>
      </c>
      <c r="F467" s="143" t="s">
        <v>20</v>
      </c>
    </row>
    <row r="468" spans="2:6" x14ac:dyDescent="0.25">
      <c r="B468" t="s">
        <v>200</v>
      </c>
      <c r="C468" s="144">
        <v>43595</v>
      </c>
      <c r="D468" s="143" t="s">
        <v>717</v>
      </c>
      <c r="E468" s="145">
        <f>6.42+6</f>
        <v>12.42</v>
      </c>
      <c r="F468" s="143" t="s">
        <v>17</v>
      </c>
    </row>
    <row r="469" spans="2:6" x14ac:dyDescent="0.25">
      <c r="B469" t="s">
        <v>200</v>
      </c>
      <c r="C469" s="144">
        <v>43594</v>
      </c>
      <c r="D469" s="143" t="s">
        <v>1019</v>
      </c>
      <c r="E469" s="145">
        <v>8.23</v>
      </c>
      <c r="F469" s="143" t="s">
        <v>21</v>
      </c>
    </row>
    <row r="470" spans="2:6" x14ac:dyDescent="0.25">
      <c r="B470" t="s">
        <v>200</v>
      </c>
      <c r="C470" s="144">
        <v>43593</v>
      </c>
      <c r="D470" s="143" t="s">
        <v>1020</v>
      </c>
      <c r="E470" s="145">
        <v>142.59</v>
      </c>
      <c r="F470" s="143" t="s">
        <v>21</v>
      </c>
    </row>
    <row r="471" spans="2:6" x14ac:dyDescent="0.25">
      <c r="B471" t="s">
        <v>200</v>
      </c>
      <c r="C471" s="144">
        <v>43593</v>
      </c>
      <c r="D471" s="143" t="s">
        <v>1021</v>
      </c>
      <c r="E471" s="145">
        <v>27.01</v>
      </c>
      <c r="F471" s="143" t="s">
        <v>16</v>
      </c>
    </row>
    <row r="472" spans="2:6" x14ac:dyDescent="0.25">
      <c r="B472" t="s">
        <v>200</v>
      </c>
      <c r="C472" s="144">
        <v>43593</v>
      </c>
      <c r="D472" s="143" t="s">
        <v>1022</v>
      </c>
      <c r="E472" s="145">
        <v>16.03</v>
      </c>
      <c r="F472" s="143" t="s">
        <v>195</v>
      </c>
    </row>
    <row r="473" spans="2:6" x14ac:dyDescent="0.25">
      <c r="B473" t="s">
        <v>200</v>
      </c>
      <c r="C473" s="144">
        <v>43593</v>
      </c>
      <c r="D473" s="143" t="s">
        <v>1023</v>
      </c>
      <c r="E473" s="145">
        <v>30.33</v>
      </c>
      <c r="F473" s="143" t="s">
        <v>17</v>
      </c>
    </row>
    <row r="474" spans="2:6" x14ac:dyDescent="0.25">
      <c r="B474" t="s">
        <v>200</v>
      </c>
      <c r="C474" s="144">
        <v>43592</v>
      </c>
      <c r="D474" s="143" t="s">
        <v>724</v>
      </c>
      <c r="E474" s="145">
        <v>54.84</v>
      </c>
      <c r="F474" s="143" t="s">
        <v>329</v>
      </c>
    </row>
    <row r="475" spans="2:6" x14ac:dyDescent="0.25">
      <c r="B475" t="s">
        <v>200</v>
      </c>
      <c r="C475" s="144">
        <v>43592</v>
      </c>
      <c r="D475" s="143" t="s">
        <v>1024</v>
      </c>
      <c r="E475" s="145">
        <v>15.11</v>
      </c>
      <c r="F475" s="143" t="s">
        <v>15</v>
      </c>
    </row>
    <row r="476" spans="2:6" x14ac:dyDescent="0.25">
      <c r="B476" t="s">
        <v>200</v>
      </c>
      <c r="C476" s="144">
        <v>43592</v>
      </c>
      <c r="D476" s="143" t="s">
        <v>1025</v>
      </c>
      <c r="E476" s="145">
        <v>4.2300000000000004</v>
      </c>
      <c r="F476" s="143" t="s">
        <v>19</v>
      </c>
    </row>
    <row r="477" spans="2:6" x14ac:dyDescent="0.25">
      <c r="B477" t="s">
        <v>200</v>
      </c>
      <c r="C477" s="144">
        <v>43592</v>
      </c>
      <c r="D477" s="143" t="s">
        <v>1026</v>
      </c>
      <c r="E477" s="145">
        <v>20.12</v>
      </c>
      <c r="F477" s="143" t="s">
        <v>15</v>
      </c>
    </row>
    <row r="478" spans="2:6" x14ac:dyDescent="0.25">
      <c r="B478" t="s">
        <v>200</v>
      </c>
      <c r="C478" s="144">
        <v>43592</v>
      </c>
      <c r="D478" s="143" t="s">
        <v>1027</v>
      </c>
      <c r="E478" s="145">
        <v>5.72</v>
      </c>
      <c r="F478" s="143" t="s">
        <v>15</v>
      </c>
    </row>
    <row r="479" spans="2:6" x14ac:dyDescent="0.25">
      <c r="B479" t="s">
        <v>200</v>
      </c>
      <c r="C479" s="144">
        <v>43592</v>
      </c>
      <c r="D479" s="143" t="s">
        <v>1028</v>
      </c>
      <c r="E479" s="145">
        <v>87.82</v>
      </c>
      <c r="F479" s="143" t="s">
        <v>507</v>
      </c>
    </row>
    <row r="480" spans="2:6" x14ac:dyDescent="0.25">
      <c r="B480" t="s">
        <v>200</v>
      </c>
      <c r="C480" s="144">
        <v>43592</v>
      </c>
      <c r="D480" s="143" t="s">
        <v>1017</v>
      </c>
      <c r="E480" s="145">
        <v>-103.35</v>
      </c>
      <c r="F480" s="143" t="s">
        <v>754</v>
      </c>
    </row>
    <row r="481" spans="2:7" x14ac:dyDescent="0.25">
      <c r="B481" t="s">
        <v>200</v>
      </c>
      <c r="C481" s="144">
        <v>43591</v>
      </c>
      <c r="D481" s="143" t="s">
        <v>1018</v>
      </c>
      <c r="E481" s="145">
        <v>14.12</v>
      </c>
      <c r="F481" s="143" t="s">
        <v>334</v>
      </c>
    </row>
    <row r="482" spans="2:7" x14ac:dyDescent="0.25">
      <c r="B482" t="s">
        <v>200</v>
      </c>
      <c r="C482" s="144">
        <v>43591</v>
      </c>
      <c r="D482" s="143" t="s">
        <v>364</v>
      </c>
      <c r="E482" s="145">
        <v>299</v>
      </c>
      <c r="F482" s="143" t="s">
        <v>8</v>
      </c>
    </row>
    <row r="483" spans="2:7" x14ac:dyDescent="0.25">
      <c r="B483" t="s">
        <v>200</v>
      </c>
      <c r="C483" s="144">
        <v>43591</v>
      </c>
      <c r="D483" s="143" t="s">
        <v>1013</v>
      </c>
      <c r="E483" s="145">
        <v>98.17</v>
      </c>
      <c r="F483" s="143" t="s">
        <v>20</v>
      </c>
    </row>
    <row r="484" spans="2:7" x14ac:dyDescent="0.25">
      <c r="B484" t="s">
        <v>200</v>
      </c>
      <c r="C484" s="144">
        <v>43591</v>
      </c>
      <c r="D484" s="143" t="s">
        <v>356</v>
      </c>
      <c r="E484" s="145">
        <v>1225</v>
      </c>
      <c r="F484" s="143" t="s">
        <v>12</v>
      </c>
    </row>
    <row r="485" spans="2:7" x14ac:dyDescent="0.25">
      <c r="B485" t="s">
        <v>200</v>
      </c>
      <c r="C485" s="144">
        <v>43591</v>
      </c>
      <c r="D485" s="143" t="s">
        <v>43</v>
      </c>
      <c r="E485" s="145">
        <v>4.2300000000000004</v>
      </c>
      <c r="F485" s="143" t="s">
        <v>19</v>
      </c>
    </row>
    <row r="486" spans="2:7" x14ac:dyDescent="0.25">
      <c r="B486" t="s">
        <v>200</v>
      </c>
      <c r="C486" s="144">
        <v>43591</v>
      </c>
      <c r="D486" s="143" t="s">
        <v>626</v>
      </c>
      <c r="E486" s="145">
        <v>7.69</v>
      </c>
      <c r="F486" s="143" t="s">
        <v>676</v>
      </c>
    </row>
    <row r="487" spans="2:7" x14ac:dyDescent="0.25">
      <c r="B487" t="s">
        <v>200</v>
      </c>
      <c r="C487" s="144">
        <v>43591</v>
      </c>
      <c r="D487" s="143" t="s">
        <v>839</v>
      </c>
      <c r="E487" s="145">
        <v>40.39</v>
      </c>
      <c r="F487" s="143" t="s">
        <v>21</v>
      </c>
    </row>
    <row r="488" spans="2:7" x14ac:dyDescent="0.25">
      <c r="B488" t="s">
        <v>200</v>
      </c>
      <c r="C488" s="144">
        <v>43591</v>
      </c>
      <c r="D488" s="143" t="s">
        <v>609</v>
      </c>
      <c r="E488" s="145">
        <v>13.06</v>
      </c>
      <c r="F488" s="143" t="s">
        <v>15</v>
      </c>
    </row>
    <row r="489" spans="2:7" x14ac:dyDescent="0.25">
      <c r="B489" t="s">
        <v>200</v>
      </c>
      <c r="C489" s="144">
        <v>43591</v>
      </c>
      <c r="D489" s="143" t="s">
        <v>924</v>
      </c>
      <c r="E489" s="145">
        <v>29.1</v>
      </c>
      <c r="F489" s="143" t="s">
        <v>754</v>
      </c>
    </row>
    <row r="490" spans="2:7" x14ac:dyDescent="0.25">
      <c r="B490" t="s">
        <v>200</v>
      </c>
      <c r="C490" s="144">
        <v>43591</v>
      </c>
      <c r="D490" s="143" t="s">
        <v>349</v>
      </c>
      <c r="E490" s="145">
        <v>35.229999999999997</v>
      </c>
      <c r="F490" s="143" t="s">
        <v>736</v>
      </c>
      <c r="G490" t="s">
        <v>1016</v>
      </c>
    </row>
    <row r="491" spans="2:7" x14ac:dyDescent="0.25">
      <c r="B491" t="s">
        <v>200</v>
      </c>
      <c r="C491" s="144">
        <v>43591</v>
      </c>
      <c r="D491" s="143" t="s">
        <v>43</v>
      </c>
      <c r="E491" s="145">
        <v>6.96</v>
      </c>
      <c r="F491" s="143" t="s">
        <v>20</v>
      </c>
    </row>
    <row r="492" spans="2:7" x14ac:dyDescent="0.25">
      <c r="B492" t="s">
        <v>200</v>
      </c>
      <c r="C492" s="144">
        <v>43591</v>
      </c>
      <c r="D492" s="143" t="s">
        <v>43</v>
      </c>
      <c r="E492" s="145">
        <v>4.2300000000000004</v>
      </c>
      <c r="F492" s="143" t="s">
        <v>19</v>
      </c>
    </row>
    <row r="493" spans="2:7" x14ac:dyDescent="0.25">
      <c r="B493" t="s">
        <v>200</v>
      </c>
      <c r="C493" s="144">
        <v>43591</v>
      </c>
      <c r="D493" s="143" t="s">
        <v>257</v>
      </c>
      <c r="E493" s="145">
        <v>8.4499999999999993</v>
      </c>
      <c r="F493" s="143" t="s">
        <v>17</v>
      </c>
    </row>
    <row r="494" spans="2:7" x14ac:dyDescent="0.25">
      <c r="B494" t="s">
        <v>200</v>
      </c>
      <c r="C494" s="144">
        <v>43591</v>
      </c>
      <c r="D494" s="143" t="s">
        <v>257</v>
      </c>
      <c r="E494" s="145">
        <v>19.79</v>
      </c>
      <c r="F494" s="143" t="s">
        <v>15</v>
      </c>
    </row>
    <row r="495" spans="2:7" x14ac:dyDescent="0.25">
      <c r="B495" t="s">
        <v>200</v>
      </c>
      <c r="C495" s="144">
        <v>43591</v>
      </c>
      <c r="D495" s="143" t="s">
        <v>626</v>
      </c>
      <c r="E495" s="145">
        <v>8.49</v>
      </c>
      <c r="F495" s="143" t="s">
        <v>676</v>
      </c>
    </row>
    <row r="496" spans="2:7" x14ac:dyDescent="0.25">
      <c r="B496" t="s">
        <v>200</v>
      </c>
      <c r="C496" s="144">
        <v>43591</v>
      </c>
      <c r="D496" s="143" t="s">
        <v>841</v>
      </c>
      <c r="E496" s="145">
        <f>35.31*1.2</f>
        <v>42.372</v>
      </c>
      <c r="F496" s="143" t="s">
        <v>21</v>
      </c>
    </row>
    <row r="497" spans="2:6" x14ac:dyDescent="0.25">
      <c r="B497" t="s">
        <v>200</v>
      </c>
      <c r="C497" s="144">
        <v>43591</v>
      </c>
      <c r="D497" s="143" t="s">
        <v>40</v>
      </c>
      <c r="E497" s="145">
        <v>2.65</v>
      </c>
      <c r="F497" s="143" t="s">
        <v>20</v>
      </c>
    </row>
    <row r="498" spans="2:6" x14ac:dyDescent="0.25">
      <c r="B498" t="s">
        <v>200</v>
      </c>
      <c r="C498" s="144">
        <v>43591</v>
      </c>
      <c r="D498" s="143" t="s">
        <v>1014</v>
      </c>
      <c r="E498" s="145">
        <v>30.11</v>
      </c>
      <c r="F498" s="143" t="s">
        <v>16</v>
      </c>
    </row>
    <row r="499" spans="2:6" x14ac:dyDescent="0.25">
      <c r="B499" t="s">
        <v>200</v>
      </c>
      <c r="C499" s="144">
        <v>43591</v>
      </c>
      <c r="D499" s="143" t="s">
        <v>43</v>
      </c>
      <c r="E499" s="145">
        <v>4.2300000000000004</v>
      </c>
      <c r="F499" s="143" t="s">
        <v>19</v>
      </c>
    </row>
    <row r="500" spans="2:6" x14ac:dyDescent="0.25">
      <c r="B500" t="s">
        <v>200</v>
      </c>
      <c r="C500" s="144">
        <v>43591</v>
      </c>
      <c r="D500" s="143" t="s">
        <v>806</v>
      </c>
      <c r="E500" s="145">
        <v>24</v>
      </c>
      <c r="F500" s="143" t="s">
        <v>198</v>
      </c>
    </row>
    <row r="501" spans="2:6" x14ac:dyDescent="0.25">
      <c r="B501" t="s">
        <v>200</v>
      </c>
      <c r="C501" s="144">
        <v>43591</v>
      </c>
      <c r="D501" s="143" t="s">
        <v>1015</v>
      </c>
      <c r="E501" s="145">
        <v>40</v>
      </c>
      <c r="F501" s="143" t="s">
        <v>202</v>
      </c>
    </row>
    <row r="502" spans="2:6" x14ac:dyDescent="0.25">
      <c r="B502" t="s">
        <v>200</v>
      </c>
      <c r="C502" s="144">
        <v>43589</v>
      </c>
      <c r="D502" s="143" t="s">
        <v>717</v>
      </c>
      <c r="E502" s="145">
        <v>34.89</v>
      </c>
      <c r="F502" s="143" t="s">
        <v>17</v>
      </c>
    </row>
    <row r="503" spans="2:6" x14ac:dyDescent="0.25">
      <c r="B503" t="s">
        <v>200</v>
      </c>
      <c r="C503" s="144">
        <v>43588</v>
      </c>
      <c r="D503" s="143" t="s">
        <v>1005</v>
      </c>
      <c r="E503" s="145">
        <v>14.12</v>
      </c>
      <c r="F503" s="143" t="s">
        <v>334</v>
      </c>
    </row>
    <row r="504" spans="2:6" x14ac:dyDescent="0.25">
      <c r="B504" t="s">
        <v>200</v>
      </c>
      <c r="C504" s="144">
        <v>43587</v>
      </c>
      <c r="D504" s="143" t="s">
        <v>377</v>
      </c>
      <c r="E504" s="145">
        <v>832.24</v>
      </c>
      <c r="F504" s="143" t="s">
        <v>11</v>
      </c>
    </row>
    <row r="505" spans="2:6" x14ac:dyDescent="0.25">
      <c r="B505" t="s">
        <v>200</v>
      </c>
      <c r="C505" s="144">
        <v>43587</v>
      </c>
      <c r="D505" s="143" t="s">
        <v>1006</v>
      </c>
      <c r="E505" s="145">
        <v>16.46</v>
      </c>
      <c r="F505" s="143" t="s">
        <v>21</v>
      </c>
    </row>
    <row r="506" spans="2:6" x14ac:dyDescent="0.25">
      <c r="B506" t="s">
        <v>200</v>
      </c>
      <c r="C506" s="144">
        <v>43586</v>
      </c>
      <c r="D506" s="143" t="s">
        <v>1007</v>
      </c>
      <c r="E506" s="145">
        <v>13.9</v>
      </c>
      <c r="F506" s="143" t="s">
        <v>21</v>
      </c>
    </row>
    <row r="507" spans="2:6" x14ac:dyDescent="0.25">
      <c r="B507" t="s">
        <v>201</v>
      </c>
      <c r="C507" s="144">
        <v>43585</v>
      </c>
      <c r="D507" s="143" t="s">
        <v>104</v>
      </c>
      <c r="E507" s="145">
        <v>-0.01</v>
      </c>
      <c r="F507" s="143" t="s">
        <v>20</v>
      </c>
    </row>
    <row r="508" spans="2:6" x14ac:dyDescent="0.25">
      <c r="B508" t="s">
        <v>201</v>
      </c>
      <c r="C508" s="144">
        <v>43585</v>
      </c>
      <c r="D508" s="143" t="s">
        <v>1008</v>
      </c>
      <c r="E508" s="145">
        <v>13.54</v>
      </c>
      <c r="F508" s="143" t="s">
        <v>15</v>
      </c>
    </row>
    <row r="509" spans="2:6" x14ac:dyDescent="0.25">
      <c r="B509" t="s">
        <v>201</v>
      </c>
      <c r="C509" s="144">
        <v>43585</v>
      </c>
      <c r="D509" s="143" t="s">
        <v>1009</v>
      </c>
      <c r="E509" s="145">
        <v>14.1</v>
      </c>
      <c r="F509" s="143" t="s">
        <v>17</v>
      </c>
    </row>
    <row r="510" spans="2:6" x14ac:dyDescent="0.25">
      <c r="B510" t="s">
        <v>201</v>
      </c>
      <c r="C510" s="144">
        <v>43585</v>
      </c>
      <c r="D510" s="143" t="s">
        <v>1010</v>
      </c>
      <c r="E510" s="145">
        <v>31.59</v>
      </c>
      <c r="F510" s="143" t="s">
        <v>15</v>
      </c>
    </row>
    <row r="511" spans="2:6" x14ac:dyDescent="0.25">
      <c r="B511" t="s">
        <v>201</v>
      </c>
      <c r="C511" s="144">
        <v>43585</v>
      </c>
      <c r="D511" s="143" t="s">
        <v>1011</v>
      </c>
      <c r="E511" s="145">
        <v>44.45</v>
      </c>
      <c r="F511" s="143" t="s">
        <v>17</v>
      </c>
    </row>
    <row r="512" spans="2:6" x14ac:dyDescent="0.25">
      <c r="B512" t="s">
        <v>201</v>
      </c>
      <c r="C512" s="144">
        <v>43584</v>
      </c>
      <c r="D512" s="143" t="s">
        <v>1000</v>
      </c>
      <c r="E512" s="145">
        <v>40</v>
      </c>
      <c r="F512" s="143" t="s">
        <v>202</v>
      </c>
    </row>
    <row r="513" spans="2:7" x14ac:dyDescent="0.25">
      <c r="B513" t="s">
        <v>201</v>
      </c>
      <c r="C513" s="144">
        <v>43584</v>
      </c>
      <c r="D513" s="143" t="s">
        <v>999</v>
      </c>
      <c r="E513" s="145">
        <v>-29.95</v>
      </c>
      <c r="F513" s="143" t="s">
        <v>20</v>
      </c>
      <c r="G513" t="s">
        <v>1002</v>
      </c>
    </row>
    <row r="514" spans="2:7" x14ac:dyDescent="0.25">
      <c r="B514" t="s">
        <v>201</v>
      </c>
      <c r="C514" s="144">
        <v>43584</v>
      </c>
      <c r="D514" s="143" t="s">
        <v>140</v>
      </c>
      <c r="E514" s="145">
        <v>437.54</v>
      </c>
      <c r="F514" s="143" t="s">
        <v>192</v>
      </c>
    </row>
    <row r="515" spans="2:7" x14ac:dyDescent="0.25">
      <c r="B515" t="s">
        <v>201</v>
      </c>
      <c r="C515" s="148">
        <v>43584</v>
      </c>
      <c r="D515" s="115" t="s">
        <v>968</v>
      </c>
      <c r="E515" s="19">
        <v>29.95</v>
      </c>
      <c r="F515" s="128" t="s">
        <v>20</v>
      </c>
      <c r="G515" t="s">
        <v>1001</v>
      </c>
    </row>
    <row r="516" spans="2:7" x14ac:dyDescent="0.25">
      <c r="B516" t="s">
        <v>201</v>
      </c>
      <c r="C516" s="144">
        <v>43584</v>
      </c>
      <c r="D516" s="143" t="s">
        <v>969</v>
      </c>
      <c r="E516" s="145">
        <v>32.130000000000003</v>
      </c>
      <c r="F516" s="143" t="s">
        <v>16</v>
      </c>
    </row>
    <row r="517" spans="2:7" x14ac:dyDescent="0.25">
      <c r="B517" t="s">
        <v>201</v>
      </c>
      <c r="C517" s="144">
        <v>43584</v>
      </c>
      <c r="D517" s="143" t="s">
        <v>257</v>
      </c>
      <c r="E517" s="145">
        <v>15.7</v>
      </c>
      <c r="F517" s="143" t="s">
        <v>15</v>
      </c>
    </row>
    <row r="518" spans="2:7" x14ac:dyDescent="0.25">
      <c r="B518" t="s">
        <v>201</v>
      </c>
      <c r="C518" s="144">
        <v>43584</v>
      </c>
      <c r="D518" s="143" t="s">
        <v>257</v>
      </c>
      <c r="E518" s="145">
        <v>12.46</v>
      </c>
      <c r="F518" s="143" t="s">
        <v>17</v>
      </c>
    </row>
    <row r="519" spans="2:7" x14ac:dyDescent="0.25">
      <c r="B519" t="s">
        <v>201</v>
      </c>
      <c r="C519" s="144">
        <v>43584</v>
      </c>
      <c r="D519" s="143" t="s">
        <v>712</v>
      </c>
      <c r="E519" s="145">
        <v>7.48</v>
      </c>
      <c r="F519" s="143" t="s">
        <v>15</v>
      </c>
    </row>
    <row r="520" spans="2:7" x14ac:dyDescent="0.25">
      <c r="B520" t="s">
        <v>201</v>
      </c>
      <c r="C520" s="144">
        <v>43584</v>
      </c>
      <c r="D520" s="143" t="s">
        <v>970</v>
      </c>
      <c r="E520" s="145">
        <v>130.32</v>
      </c>
      <c r="F520" s="143" t="s">
        <v>736</v>
      </c>
    </row>
    <row r="521" spans="2:7" x14ac:dyDescent="0.25">
      <c r="B521" t="s">
        <v>201</v>
      </c>
      <c r="C521" s="144">
        <v>43584</v>
      </c>
      <c r="D521" s="143" t="s">
        <v>971</v>
      </c>
      <c r="E521" s="145">
        <v>5.55</v>
      </c>
      <c r="F521" s="143" t="s">
        <v>21</v>
      </c>
    </row>
    <row r="522" spans="2:7" x14ac:dyDescent="0.25">
      <c r="B522" t="s">
        <v>201</v>
      </c>
      <c r="C522" s="144">
        <v>43584</v>
      </c>
      <c r="D522" s="143" t="s">
        <v>656</v>
      </c>
      <c r="E522" s="145">
        <v>8.5399999999999991</v>
      </c>
      <c r="F522" s="143" t="s">
        <v>754</v>
      </c>
    </row>
    <row r="523" spans="2:7" x14ac:dyDescent="0.25">
      <c r="B523" t="s">
        <v>201</v>
      </c>
      <c r="C523" s="144">
        <v>43584</v>
      </c>
      <c r="D523" s="143" t="s">
        <v>43</v>
      </c>
      <c r="E523" s="145">
        <v>4.2300000000000004</v>
      </c>
      <c r="F523" s="143" t="s">
        <v>19</v>
      </c>
    </row>
    <row r="524" spans="2:7" x14ac:dyDescent="0.25">
      <c r="B524" t="s">
        <v>201</v>
      </c>
      <c r="C524" s="144">
        <v>43584</v>
      </c>
      <c r="D524" s="143" t="s">
        <v>972</v>
      </c>
      <c r="E524" s="145">
        <v>21.25</v>
      </c>
      <c r="F524" s="143" t="s">
        <v>754</v>
      </c>
    </row>
    <row r="525" spans="2:7" x14ac:dyDescent="0.25">
      <c r="B525" t="s">
        <v>201</v>
      </c>
      <c r="C525" s="144">
        <v>43584</v>
      </c>
      <c r="D525" s="143" t="s">
        <v>765</v>
      </c>
      <c r="E525" s="145">
        <v>21.39</v>
      </c>
      <c r="F525" s="143" t="s">
        <v>138</v>
      </c>
    </row>
    <row r="526" spans="2:7" x14ac:dyDescent="0.25">
      <c r="B526" t="s">
        <v>201</v>
      </c>
      <c r="C526" s="144">
        <v>43584</v>
      </c>
      <c r="D526" s="143" t="s">
        <v>39</v>
      </c>
      <c r="E526" s="145">
        <v>37.450000000000003</v>
      </c>
      <c r="F526" s="143" t="s">
        <v>17</v>
      </c>
    </row>
    <row r="527" spans="2:7" x14ac:dyDescent="0.25">
      <c r="B527" t="s">
        <v>201</v>
      </c>
      <c r="C527" s="144">
        <v>43584</v>
      </c>
      <c r="D527" s="143" t="s">
        <v>40</v>
      </c>
      <c r="E527" s="145">
        <v>2.65</v>
      </c>
      <c r="F527" s="143" t="s">
        <v>20</v>
      </c>
    </row>
    <row r="528" spans="2:7" x14ac:dyDescent="0.25">
      <c r="B528" t="s">
        <v>201</v>
      </c>
      <c r="C528" s="144">
        <v>43584</v>
      </c>
      <c r="D528" s="143" t="s">
        <v>1003</v>
      </c>
      <c r="E528" s="145">
        <v>69.98</v>
      </c>
      <c r="F528" s="143" t="s">
        <v>20</v>
      </c>
    </row>
    <row r="529" spans="2:7" x14ac:dyDescent="0.25">
      <c r="B529" t="s">
        <v>201</v>
      </c>
      <c r="C529" s="144">
        <v>43584</v>
      </c>
      <c r="D529" s="143" t="s">
        <v>1004</v>
      </c>
      <c r="E529" s="145">
        <v>-42.78</v>
      </c>
      <c r="F529" s="143" t="s">
        <v>754</v>
      </c>
    </row>
    <row r="530" spans="2:7" x14ac:dyDescent="0.25">
      <c r="B530" t="s">
        <v>201</v>
      </c>
      <c r="C530" s="144">
        <v>43584</v>
      </c>
      <c r="D530" s="143" t="s">
        <v>777</v>
      </c>
      <c r="E530" s="145">
        <v>42.78</v>
      </c>
      <c r="F530" s="143" t="s">
        <v>754</v>
      </c>
    </row>
    <row r="531" spans="2:7" x14ac:dyDescent="0.25">
      <c r="B531" t="s">
        <v>201</v>
      </c>
      <c r="C531" s="144">
        <v>43584</v>
      </c>
      <c r="D531" s="143" t="s">
        <v>973</v>
      </c>
      <c r="E531" s="145">
        <v>30.21</v>
      </c>
      <c r="F531" s="143" t="s">
        <v>16</v>
      </c>
    </row>
    <row r="532" spans="2:7" x14ac:dyDescent="0.25">
      <c r="B532" t="s">
        <v>201</v>
      </c>
      <c r="C532" s="144">
        <v>43584</v>
      </c>
      <c r="D532" s="143" t="s">
        <v>620</v>
      </c>
      <c r="E532" s="145">
        <f>80+50</f>
        <v>130</v>
      </c>
      <c r="F532" s="143" t="s">
        <v>202</v>
      </c>
      <c r="G532" t="s">
        <v>998</v>
      </c>
    </row>
    <row r="533" spans="2:7" x14ac:dyDescent="0.25">
      <c r="B533" t="s">
        <v>201</v>
      </c>
      <c r="C533" s="144">
        <v>43584</v>
      </c>
      <c r="D533" s="143" t="s">
        <v>620</v>
      </c>
      <c r="E533" s="145">
        <f>160-80-50</f>
        <v>30</v>
      </c>
      <c r="F533" s="143" t="s">
        <v>202</v>
      </c>
    </row>
    <row r="534" spans="2:7" x14ac:dyDescent="0.25">
      <c r="B534" t="s">
        <v>201</v>
      </c>
      <c r="C534" s="144">
        <v>43582</v>
      </c>
      <c r="D534" s="143" t="s">
        <v>717</v>
      </c>
      <c r="E534" s="145">
        <v>8.42</v>
      </c>
      <c r="F534" s="143" t="s">
        <v>17</v>
      </c>
    </row>
    <row r="535" spans="2:7" x14ac:dyDescent="0.25">
      <c r="B535" t="s">
        <v>201</v>
      </c>
      <c r="C535" s="144">
        <v>43581</v>
      </c>
      <c r="D535" s="143" t="s">
        <v>974</v>
      </c>
      <c r="E535" s="145">
        <v>2.13</v>
      </c>
      <c r="F535" s="143" t="s">
        <v>736</v>
      </c>
    </row>
    <row r="536" spans="2:7" x14ac:dyDescent="0.25">
      <c r="B536" t="s">
        <v>201</v>
      </c>
      <c r="C536" s="144">
        <v>43581</v>
      </c>
      <c r="D536" s="143" t="s">
        <v>975</v>
      </c>
      <c r="E536" s="145">
        <v>10.49</v>
      </c>
      <c r="F536" s="143" t="s">
        <v>15</v>
      </c>
    </row>
    <row r="537" spans="2:7" x14ac:dyDescent="0.25">
      <c r="B537" t="s">
        <v>201</v>
      </c>
      <c r="C537" s="144">
        <v>43580</v>
      </c>
      <c r="D537" s="143" t="s">
        <v>976</v>
      </c>
      <c r="E537" s="145">
        <v>39.06</v>
      </c>
      <c r="F537" s="143" t="s">
        <v>333</v>
      </c>
    </row>
    <row r="538" spans="2:7" x14ac:dyDescent="0.25">
      <c r="B538" t="s">
        <v>201</v>
      </c>
      <c r="C538" s="144">
        <v>43580</v>
      </c>
      <c r="D538" s="143" t="s">
        <v>977</v>
      </c>
      <c r="E538" s="145">
        <v>41.71</v>
      </c>
      <c r="F538" s="143" t="s">
        <v>754</v>
      </c>
    </row>
    <row r="539" spans="2:7" x14ac:dyDescent="0.25">
      <c r="B539" t="s">
        <v>201</v>
      </c>
      <c r="C539" s="144">
        <v>43580</v>
      </c>
      <c r="D539" s="143" t="s">
        <v>978</v>
      </c>
      <c r="E539" s="145">
        <v>13.78</v>
      </c>
      <c r="F539" s="143" t="s">
        <v>21</v>
      </c>
    </row>
    <row r="540" spans="2:7" x14ac:dyDescent="0.25">
      <c r="B540" t="s">
        <v>201</v>
      </c>
      <c r="C540" s="144">
        <v>43579</v>
      </c>
      <c r="D540" s="143" t="s">
        <v>979</v>
      </c>
      <c r="E540" s="145">
        <v>0.99</v>
      </c>
      <c r="F540" s="143" t="s">
        <v>754</v>
      </c>
    </row>
    <row r="541" spans="2:7" x14ac:dyDescent="0.25">
      <c r="B541" t="s">
        <v>201</v>
      </c>
      <c r="C541" s="144">
        <v>43579</v>
      </c>
      <c r="D541" s="143" t="s">
        <v>979</v>
      </c>
      <c r="E541" s="145">
        <v>2.99</v>
      </c>
      <c r="F541" s="143" t="s">
        <v>754</v>
      </c>
    </row>
    <row r="542" spans="2:7" x14ac:dyDescent="0.25">
      <c r="B542" t="s">
        <v>201</v>
      </c>
      <c r="C542" s="144">
        <v>43579</v>
      </c>
      <c r="D542" s="143" t="s">
        <v>980</v>
      </c>
      <c r="E542" s="145">
        <v>5.94</v>
      </c>
      <c r="F542" s="143" t="s">
        <v>19</v>
      </c>
    </row>
    <row r="543" spans="2:7" x14ac:dyDescent="0.25">
      <c r="B543" t="s">
        <v>201</v>
      </c>
      <c r="C543" s="144">
        <v>43579</v>
      </c>
      <c r="D543" s="143" t="s">
        <v>981</v>
      </c>
      <c r="E543" s="145">
        <v>9.6199999999999992</v>
      </c>
      <c r="F543" s="143" t="s">
        <v>17</v>
      </c>
    </row>
    <row r="544" spans="2:7" x14ac:dyDescent="0.25">
      <c r="B544" t="s">
        <v>201</v>
      </c>
      <c r="C544" s="144">
        <v>43579</v>
      </c>
      <c r="D544" s="143" t="s">
        <v>982</v>
      </c>
      <c r="E544" s="145">
        <v>39.770000000000003</v>
      </c>
      <c r="F544" s="143" t="s">
        <v>754</v>
      </c>
    </row>
    <row r="545" spans="2:6" x14ac:dyDescent="0.25">
      <c r="B545" t="s">
        <v>201</v>
      </c>
      <c r="C545" s="144">
        <v>43579</v>
      </c>
      <c r="D545" s="143" t="s">
        <v>983</v>
      </c>
      <c r="E545" s="145">
        <v>23.83</v>
      </c>
      <c r="F545" s="143" t="s">
        <v>17</v>
      </c>
    </row>
    <row r="546" spans="2:6" x14ac:dyDescent="0.25">
      <c r="B546" t="s">
        <v>201</v>
      </c>
      <c r="C546" s="144">
        <v>43578</v>
      </c>
      <c r="D546" s="143" t="s">
        <v>984</v>
      </c>
      <c r="E546" s="145">
        <v>12.97</v>
      </c>
      <c r="F546" s="143" t="s">
        <v>17</v>
      </c>
    </row>
    <row r="547" spans="2:6" x14ac:dyDescent="0.25">
      <c r="B547" t="s">
        <v>201</v>
      </c>
      <c r="C547" s="144">
        <v>43578</v>
      </c>
      <c r="D547" s="143" t="s">
        <v>985</v>
      </c>
      <c r="E547" s="145">
        <v>32</v>
      </c>
      <c r="F547" s="143" t="s">
        <v>15</v>
      </c>
    </row>
    <row r="548" spans="2:6" x14ac:dyDescent="0.25">
      <c r="B548" t="s">
        <v>201</v>
      </c>
      <c r="C548" s="144">
        <v>43577</v>
      </c>
      <c r="D548" s="143" t="s">
        <v>986</v>
      </c>
      <c r="E548" s="145">
        <v>9.6199999999999992</v>
      </c>
      <c r="F548" s="143" t="s">
        <v>17</v>
      </c>
    </row>
    <row r="549" spans="2:6" x14ac:dyDescent="0.25">
      <c r="B549" t="s">
        <v>201</v>
      </c>
      <c r="C549" s="144">
        <v>43577</v>
      </c>
      <c r="D549" s="143" t="s">
        <v>987</v>
      </c>
      <c r="E549" s="145">
        <v>35.5</v>
      </c>
      <c r="F549" s="143" t="s">
        <v>16</v>
      </c>
    </row>
    <row r="550" spans="2:6" x14ac:dyDescent="0.25">
      <c r="B550" t="s">
        <v>201</v>
      </c>
      <c r="C550" s="144">
        <v>43577</v>
      </c>
      <c r="D550" s="143" t="s">
        <v>988</v>
      </c>
      <c r="E550" s="145">
        <v>3.49</v>
      </c>
      <c r="F550" s="143" t="s">
        <v>754</v>
      </c>
    </row>
    <row r="551" spans="2:6" x14ac:dyDescent="0.25">
      <c r="B551" t="s">
        <v>201</v>
      </c>
      <c r="C551" s="144">
        <v>43577</v>
      </c>
      <c r="D551" s="143" t="s">
        <v>989</v>
      </c>
      <c r="E551" s="145">
        <v>4.9800000000000004</v>
      </c>
      <c r="F551" s="143" t="s">
        <v>19</v>
      </c>
    </row>
    <row r="552" spans="2:6" x14ac:dyDescent="0.25">
      <c r="B552" t="s">
        <v>201</v>
      </c>
      <c r="C552" s="144">
        <v>43577</v>
      </c>
      <c r="D552" s="143" t="s">
        <v>990</v>
      </c>
      <c r="E552" s="145">
        <f>29.08-20</f>
        <v>9.0799999999999983</v>
      </c>
      <c r="F552" s="143" t="s">
        <v>17</v>
      </c>
    </row>
    <row r="553" spans="2:6" x14ac:dyDescent="0.25">
      <c r="B553" t="s">
        <v>201</v>
      </c>
      <c r="C553" s="144">
        <v>43577</v>
      </c>
      <c r="D553" s="143" t="s">
        <v>990</v>
      </c>
      <c r="E553" s="145">
        <f>29.08-9.08</f>
        <v>20</v>
      </c>
      <c r="F553" s="143" t="s">
        <v>202</v>
      </c>
    </row>
    <row r="554" spans="2:6" x14ac:dyDescent="0.25">
      <c r="B554" t="s">
        <v>201</v>
      </c>
      <c r="C554" s="144">
        <v>43577</v>
      </c>
      <c r="D554" s="143" t="s">
        <v>991</v>
      </c>
      <c r="E554" s="145">
        <v>4.2300000000000004</v>
      </c>
      <c r="F554" s="143" t="s">
        <v>19</v>
      </c>
    </row>
    <row r="555" spans="2:6" x14ac:dyDescent="0.25">
      <c r="B555" t="s">
        <v>201</v>
      </c>
      <c r="C555" s="144">
        <v>43577</v>
      </c>
      <c r="D555" s="143" t="s">
        <v>992</v>
      </c>
      <c r="E555" s="145">
        <v>46.99</v>
      </c>
      <c r="F555" s="143" t="s">
        <v>21</v>
      </c>
    </row>
    <row r="556" spans="2:6" x14ac:dyDescent="0.25">
      <c r="B556" t="s">
        <v>201</v>
      </c>
      <c r="C556" s="144">
        <v>43577</v>
      </c>
      <c r="D556" s="143" t="s">
        <v>993</v>
      </c>
      <c r="E556" s="145">
        <v>21.39</v>
      </c>
      <c r="F556" s="143" t="s">
        <v>754</v>
      </c>
    </row>
    <row r="557" spans="2:6" x14ac:dyDescent="0.25">
      <c r="B557" t="s">
        <v>201</v>
      </c>
      <c r="C557" s="144">
        <v>43577</v>
      </c>
      <c r="D557" s="143" t="s">
        <v>994</v>
      </c>
      <c r="E557" s="145">
        <v>4.2300000000000004</v>
      </c>
      <c r="F557" s="143" t="s">
        <v>19</v>
      </c>
    </row>
    <row r="558" spans="2:6" x14ac:dyDescent="0.25">
      <c r="B558" t="s">
        <v>201</v>
      </c>
      <c r="C558" s="144">
        <v>43577</v>
      </c>
      <c r="D558" s="143" t="s">
        <v>995</v>
      </c>
      <c r="E558" s="145">
        <v>34.93</v>
      </c>
      <c r="F558" s="143" t="s">
        <v>17</v>
      </c>
    </row>
    <row r="559" spans="2:6" x14ac:dyDescent="0.25">
      <c r="B559" t="s">
        <v>201</v>
      </c>
      <c r="C559" s="144">
        <v>43577</v>
      </c>
      <c r="D559" s="143" t="s">
        <v>996</v>
      </c>
      <c r="E559" s="145">
        <v>4</v>
      </c>
      <c r="F559" s="143" t="s">
        <v>20</v>
      </c>
    </row>
    <row r="560" spans="2:6" x14ac:dyDescent="0.25">
      <c r="B560" t="s">
        <v>201</v>
      </c>
      <c r="C560" s="144">
        <v>43577</v>
      </c>
      <c r="D560" s="143" t="s">
        <v>997</v>
      </c>
      <c r="E560" s="145">
        <v>3.48</v>
      </c>
      <c r="F560" s="143" t="s">
        <v>19</v>
      </c>
    </row>
    <row r="561" spans="2:7" x14ac:dyDescent="0.25">
      <c r="B561" t="s">
        <v>201</v>
      </c>
      <c r="C561" s="144">
        <v>43574</v>
      </c>
      <c r="D561" s="143" t="s">
        <v>963</v>
      </c>
      <c r="E561" s="145">
        <v>17.11</v>
      </c>
      <c r="F561" s="143" t="s">
        <v>20</v>
      </c>
    </row>
    <row r="562" spans="2:7" x14ac:dyDescent="0.25">
      <c r="B562" t="s">
        <v>201</v>
      </c>
      <c r="C562" s="144">
        <v>43574</v>
      </c>
      <c r="D562" s="143" t="s">
        <v>964</v>
      </c>
      <c r="E562" s="145">
        <v>4.2300000000000004</v>
      </c>
      <c r="F562" s="143" t="s">
        <v>19</v>
      </c>
    </row>
    <row r="563" spans="2:7" x14ac:dyDescent="0.25">
      <c r="B563" t="s">
        <v>201</v>
      </c>
      <c r="C563" s="144">
        <v>43574</v>
      </c>
      <c r="D563" s="143" t="s">
        <v>965</v>
      </c>
      <c r="E563" s="145">
        <v>19.149999999999999</v>
      </c>
      <c r="F563" s="143" t="s">
        <v>15</v>
      </c>
    </row>
    <row r="564" spans="2:7" x14ac:dyDescent="0.25">
      <c r="B564" t="s">
        <v>201</v>
      </c>
      <c r="C564" s="144">
        <v>43574</v>
      </c>
      <c r="D564" s="143" t="s">
        <v>966</v>
      </c>
      <c r="E564" s="145">
        <v>30.07</v>
      </c>
      <c r="F564" s="143" t="s">
        <v>16</v>
      </c>
      <c r="G564" s="152" t="s">
        <v>1052</v>
      </c>
    </row>
    <row r="565" spans="2:7" x14ac:dyDescent="0.25">
      <c r="B565" t="s">
        <v>201</v>
      </c>
      <c r="C565" s="144">
        <v>43574</v>
      </c>
      <c r="D565" s="143" t="s">
        <v>967</v>
      </c>
      <c r="E565" s="145">
        <v>23</v>
      </c>
      <c r="F565" s="143" t="s">
        <v>198</v>
      </c>
    </row>
    <row r="566" spans="2:7" x14ac:dyDescent="0.25">
      <c r="B566" t="s">
        <v>201</v>
      </c>
      <c r="C566" s="144">
        <v>43574</v>
      </c>
      <c r="D566" s="143" t="s">
        <v>717</v>
      </c>
      <c r="E566" s="145">
        <v>32.75</v>
      </c>
      <c r="F566" s="143" t="s">
        <v>17</v>
      </c>
    </row>
    <row r="567" spans="2:7" x14ac:dyDescent="0.25">
      <c r="B567" t="s">
        <v>201</v>
      </c>
      <c r="C567" s="144">
        <v>43572</v>
      </c>
      <c r="D567" s="143" t="s">
        <v>662</v>
      </c>
      <c r="E567" s="145">
        <v>84</v>
      </c>
      <c r="F567" s="143" t="s">
        <v>20</v>
      </c>
      <c r="G567" t="s">
        <v>631</v>
      </c>
    </row>
    <row r="568" spans="2:7" x14ac:dyDescent="0.25">
      <c r="B568" t="s">
        <v>201</v>
      </c>
      <c r="C568" s="144">
        <v>43572</v>
      </c>
      <c r="D568" s="143" t="s">
        <v>938</v>
      </c>
      <c r="E568" s="145">
        <v>10.17</v>
      </c>
      <c r="F568" s="143" t="s">
        <v>15</v>
      </c>
    </row>
    <row r="569" spans="2:7" x14ac:dyDescent="0.25">
      <c r="B569" t="s">
        <v>201</v>
      </c>
      <c r="C569" s="144">
        <v>43572</v>
      </c>
      <c r="D569" s="143" t="s">
        <v>939</v>
      </c>
      <c r="E569" s="145">
        <v>2.2799999999999998</v>
      </c>
      <c r="F569" s="143" t="s">
        <v>754</v>
      </c>
    </row>
    <row r="570" spans="2:7" x14ac:dyDescent="0.25">
      <c r="B570" t="s">
        <v>201</v>
      </c>
      <c r="C570" s="144">
        <v>43572</v>
      </c>
      <c r="D570" s="143" t="s">
        <v>940</v>
      </c>
      <c r="E570" s="145">
        <v>24.33</v>
      </c>
      <c r="F570" s="143" t="s">
        <v>17</v>
      </c>
    </row>
    <row r="571" spans="2:7" x14ac:dyDescent="0.25">
      <c r="B571" t="s">
        <v>201</v>
      </c>
      <c r="C571" s="144">
        <v>43571</v>
      </c>
      <c r="D571" s="143" t="s">
        <v>941</v>
      </c>
      <c r="E571" s="145">
        <v>161.72999999999999</v>
      </c>
      <c r="F571" s="143" t="s">
        <v>20</v>
      </c>
    </row>
    <row r="572" spans="2:7" x14ac:dyDescent="0.25">
      <c r="B572" t="s">
        <v>201</v>
      </c>
      <c r="C572" s="144">
        <v>43571</v>
      </c>
      <c r="D572" s="143" t="s">
        <v>942</v>
      </c>
      <c r="E572" s="145">
        <v>5.01</v>
      </c>
      <c r="F572" s="143" t="s">
        <v>15</v>
      </c>
    </row>
    <row r="573" spans="2:7" x14ac:dyDescent="0.25">
      <c r="B573" t="s">
        <v>201</v>
      </c>
      <c r="C573" s="144">
        <v>43571</v>
      </c>
      <c r="D573" s="143" t="s">
        <v>943</v>
      </c>
      <c r="E573" s="145">
        <v>10.199999999999999</v>
      </c>
      <c r="F573" s="143" t="s">
        <v>17</v>
      </c>
    </row>
    <row r="574" spans="2:7" x14ac:dyDescent="0.25">
      <c r="B574" t="s">
        <v>201</v>
      </c>
      <c r="C574" s="144">
        <v>43571</v>
      </c>
      <c r="D574" s="143" t="s">
        <v>944</v>
      </c>
      <c r="E574" s="145">
        <v>5.73</v>
      </c>
      <c r="F574" s="143" t="s">
        <v>19</v>
      </c>
    </row>
    <row r="575" spans="2:7" x14ac:dyDescent="0.25">
      <c r="B575" t="s">
        <v>201</v>
      </c>
      <c r="C575" s="144">
        <v>43571</v>
      </c>
      <c r="D575" s="143" t="s">
        <v>945</v>
      </c>
      <c r="E575" s="145">
        <v>56.23</v>
      </c>
      <c r="F575" s="143" t="s">
        <v>21</v>
      </c>
    </row>
    <row r="576" spans="2:7" x14ac:dyDescent="0.25">
      <c r="B576" t="s">
        <v>201</v>
      </c>
      <c r="C576" s="144">
        <v>43570</v>
      </c>
      <c r="D576" s="143" t="s">
        <v>946</v>
      </c>
      <c r="E576" s="145">
        <v>18.12</v>
      </c>
      <c r="F576" s="143" t="s">
        <v>15</v>
      </c>
    </row>
    <row r="577" spans="2:6" x14ac:dyDescent="0.25">
      <c r="B577" t="s">
        <v>201</v>
      </c>
      <c r="C577" s="144">
        <v>43570</v>
      </c>
      <c r="D577" s="143" t="s">
        <v>947</v>
      </c>
      <c r="E577" s="145">
        <v>22</v>
      </c>
      <c r="F577" s="143" t="s">
        <v>20</v>
      </c>
    </row>
    <row r="578" spans="2:6" x14ac:dyDescent="0.25">
      <c r="B578" t="s">
        <v>201</v>
      </c>
      <c r="C578" s="144">
        <v>43570</v>
      </c>
      <c r="D578" s="143" t="s">
        <v>948</v>
      </c>
      <c r="E578" s="145">
        <v>45.66</v>
      </c>
      <c r="F578" s="143" t="s">
        <v>15</v>
      </c>
    </row>
    <row r="579" spans="2:6" x14ac:dyDescent="0.25">
      <c r="B579" t="s">
        <v>201</v>
      </c>
      <c r="C579" s="144">
        <v>43570</v>
      </c>
      <c r="D579" s="143" t="s">
        <v>949</v>
      </c>
      <c r="E579" s="145">
        <v>128.34</v>
      </c>
      <c r="F579" s="143" t="s">
        <v>20</v>
      </c>
    </row>
    <row r="580" spans="2:6" x14ac:dyDescent="0.25">
      <c r="B580" t="s">
        <v>201</v>
      </c>
      <c r="C580" s="144">
        <v>43570</v>
      </c>
      <c r="D580" s="143" t="s">
        <v>950</v>
      </c>
      <c r="E580" s="145">
        <v>4.2300000000000004</v>
      </c>
      <c r="F580" s="143" t="s">
        <v>19</v>
      </c>
    </row>
    <row r="581" spans="2:6" x14ac:dyDescent="0.25">
      <c r="B581" t="s">
        <v>201</v>
      </c>
      <c r="C581" s="144">
        <v>43570</v>
      </c>
      <c r="D581" s="143" t="s">
        <v>951</v>
      </c>
      <c r="E581" s="145">
        <v>35.82</v>
      </c>
      <c r="F581" s="143" t="s">
        <v>17</v>
      </c>
    </row>
    <row r="582" spans="2:6" x14ac:dyDescent="0.25">
      <c r="B582" t="s">
        <v>201</v>
      </c>
      <c r="C582" s="144">
        <v>43570</v>
      </c>
      <c r="D582" s="143" t="s">
        <v>952</v>
      </c>
      <c r="E582" s="145">
        <v>9.6199999999999992</v>
      </c>
      <c r="F582" s="143" t="s">
        <v>754</v>
      </c>
    </row>
    <row r="583" spans="2:6" x14ac:dyDescent="0.25">
      <c r="B583" t="s">
        <v>201</v>
      </c>
      <c r="C583" s="144">
        <v>43570</v>
      </c>
      <c r="D583" s="143" t="s">
        <v>953</v>
      </c>
      <c r="E583" s="145">
        <v>220.47</v>
      </c>
      <c r="F583" s="143" t="s">
        <v>754</v>
      </c>
    </row>
    <row r="584" spans="2:6" x14ac:dyDescent="0.25">
      <c r="B584" t="s">
        <v>201</v>
      </c>
      <c r="C584" s="144">
        <v>43570</v>
      </c>
      <c r="D584" s="143" t="s">
        <v>954</v>
      </c>
      <c r="E584" s="145">
        <v>30.01</v>
      </c>
      <c r="F584" s="143" t="s">
        <v>16</v>
      </c>
    </row>
    <row r="585" spans="2:6" x14ac:dyDescent="0.25">
      <c r="B585" t="s">
        <v>201</v>
      </c>
      <c r="C585" s="144">
        <v>43570</v>
      </c>
      <c r="D585" s="143" t="s">
        <v>955</v>
      </c>
      <c r="E585" s="145">
        <v>4.2300000000000004</v>
      </c>
      <c r="F585" s="143" t="s">
        <v>19</v>
      </c>
    </row>
    <row r="586" spans="2:6" x14ac:dyDescent="0.25">
      <c r="B586" t="s">
        <v>201</v>
      </c>
      <c r="C586" s="144">
        <v>43570</v>
      </c>
      <c r="D586" s="143" t="s">
        <v>956</v>
      </c>
      <c r="E586" s="145">
        <v>26.32</v>
      </c>
      <c r="F586" s="143" t="s">
        <v>17</v>
      </c>
    </row>
    <row r="587" spans="2:6" x14ac:dyDescent="0.25">
      <c r="B587" t="s">
        <v>201</v>
      </c>
      <c r="C587" s="144">
        <v>43570</v>
      </c>
      <c r="D587" s="143" t="s">
        <v>957</v>
      </c>
      <c r="E587" s="145">
        <v>3.48</v>
      </c>
      <c r="F587" s="143" t="s">
        <v>19</v>
      </c>
    </row>
    <row r="588" spans="2:6" x14ac:dyDescent="0.25">
      <c r="B588" t="s">
        <v>201</v>
      </c>
      <c r="C588" s="144">
        <v>43570</v>
      </c>
      <c r="D588" s="143" t="s">
        <v>958</v>
      </c>
      <c r="E588" s="145">
        <v>2.99</v>
      </c>
      <c r="F588" s="143" t="s">
        <v>754</v>
      </c>
    </row>
    <row r="589" spans="2:6" x14ac:dyDescent="0.25">
      <c r="B589" t="s">
        <v>201</v>
      </c>
      <c r="C589" s="144">
        <v>43567</v>
      </c>
      <c r="D589" s="143" t="s">
        <v>959</v>
      </c>
      <c r="E589" s="145">
        <v>23</v>
      </c>
      <c r="F589" s="143" t="s">
        <v>15</v>
      </c>
    </row>
    <row r="590" spans="2:6" x14ac:dyDescent="0.25">
      <c r="B590" t="s">
        <v>201</v>
      </c>
      <c r="C590" s="144">
        <v>43567</v>
      </c>
      <c r="D590" s="143" t="s">
        <v>960</v>
      </c>
      <c r="E590" s="145">
        <v>5.09</v>
      </c>
      <c r="F590" s="143" t="s">
        <v>19</v>
      </c>
    </row>
    <row r="591" spans="2:6" x14ac:dyDescent="0.25">
      <c r="B591" t="s">
        <v>201</v>
      </c>
      <c r="C591" s="144">
        <v>43567</v>
      </c>
      <c r="D591" s="143" t="s">
        <v>961</v>
      </c>
      <c r="E591" s="145">
        <v>5.85</v>
      </c>
      <c r="F591" s="143" t="s">
        <v>754</v>
      </c>
    </row>
    <row r="592" spans="2:6" x14ac:dyDescent="0.25">
      <c r="B592" t="s">
        <v>201</v>
      </c>
      <c r="C592" s="144">
        <v>43566</v>
      </c>
      <c r="D592" s="143" t="s">
        <v>962</v>
      </c>
      <c r="E592" s="145">
        <v>25.78</v>
      </c>
      <c r="F592" s="143" t="s">
        <v>15</v>
      </c>
    </row>
    <row r="593" spans="2:6" x14ac:dyDescent="0.25">
      <c r="B593" t="s">
        <v>201</v>
      </c>
      <c r="C593" s="144">
        <v>43566</v>
      </c>
      <c r="D593" s="143" t="s">
        <v>632</v>
      </c>
      <c r="E593" s="145">
        <v>16.46</v>
      </c>
      <c r="F593" s="143" t="s">
        <v>21</v>
      </c>
    </row>
    <row r="594" spans="2:6" x14ac:dyDescent="0.25">
      <c r="B594" t="s">
        <v>201</v>
      </c>
      <c r="C594" s="144">
        <v>43566</v>
      </c>
      <c r="D594" s="143" t="s">
        <v>717</v>
      </c>
      <c r="E594" s="145">
        <f>6.42+5</f>
        <v>11.42</v>
      </c>
      <c r="F594" s="143" t="s">
        <v>17</v>
      </c>
    </row>
    <row r="595" spans="2:6" x14ac:dyDescent="0.25">
      <c r="B595" t="s">
        <v>201</v>
      </c>
      <c r="C595" s="144">
        <v>43566</v>
      </c>
      <c r="D595" s="143" t="s">
        <v>931</v>
      </c>
      <c r="E595" s="145">
        <v>2.99</v>
      </c>
      <c r="F595" s="143" t="s">
        <v>754</v>
      </c>
    </row>
    <row r="596" spans="2:6" x14ac:dyDescent="0.25">
      <c r="B596" t="s">
        <v>201</v>
      </c>
      <c r="C596" s="144">
        <v>43565</v>
      </c>
      <c r="D596" s="143" t="s">
        <v>932</v>
      </c>
      <c r="E596" s="145">
        <v>7.47</v>
      </c>
      <c r="F596" s="143" t="s">
        <v>17</v>
      </c>
    </row>
    <row r="597" spans="2:6" x14ac:dyDescent="0.25">
      <c r="B597" t="s">
        <v>201</v>
      </c>
      <c r="C597" s="144">
        <v>43565</v>
      </c>
      <c r="D597" s="143" t="s">
        <v>933</v>
      </c>
      <c r="E597" s="145">
        <v>12.36</v>
      </c>
      <c r="F597" s="143" t="s">
        <v>15</v>
      </c>
    </row>
    <row r="598" spans="2:6" x14ac:dyDescent="0.25">
      <c r="B598" t="s">
        <v>201</v>
      </c>
      <c r="C598" s="144">
        <v>43565</v>
      </c>
      <c r="D598" s="143" t="s">
        <v>934</v>
      </c>
      <c r="E598" s="145">
        <v>5.09</v>
      </c>
      <c r="F598" s="143" t="s">
        <v>19</v>
      </c>
    </row>
    <row r="599" spans="2:6" x14ac:dyDescent="0.25">
      <c r="B599" t="s">
        <v>201</v>
      </c>
      <c r="C599" s="144">
        <v>43565</v>
      </c>
      <c r="D599" s="143" t="s">
        <v>935</v>
      </c>
      <c r="E599" s="145">
        <v>-411.28</v>
      </c>
      <c r="F599" s="143" t="s">
        <v>20</v>
      </c>
    </row>
    <row r="600" spans="2:6" x14ac:dyDescent="0.25">
      <c r="B600" t="s">
        <v>201</v>
      </c>
      <c r="C600" s="144">
        <v>43564</v>
      </c>
      <c r="D600" s="143" t="s">
        <v>724</v>
      </c>
      <c r="E600" s="145">
        <v>50.22</v>
      </c>
      <c r="F600" s="143" t="s">
        <v>329</v>
      </c>
    </row>
    <row r="601" spans="2:6" x14ac:dyDescent="0.25">
      <c r="B601" t="s">
        <v>201</v>
      </c>
      <c r="C601" s="144">
        <v>43564</v>
      </c>
      <c r="D601" s="143" t="s">
        <v>936</v>
      </c>
      <c r="E601" s="145">
        <v>4.2300000000000004</v>
      </c>
      <c r="F601" s="143" t="s">
        <v>19</v>
      </c>
    </row>
    <row r="602" spans="2:6" x14ac:dyDescent="0.25">
      <c r="B602" t="s">
        <v>201</v>
      </c>
      <c r="C602" s="144">
        <v>43564</v>
      </c>
      <c r="D602" s="143" t="s">
        <v>937</v>
      </c>
      <c r="E602" s="145">
        <v>5.09</v>
      </c>
      <c r="F602" s="143" t="s">
        <v>19</v>
      </c>
    </row>
    <row r="603" spans="2:6" x14ac:dyDescent="0.25">
      <c r="B603" t="s">
        <v>201</v>
      </c>
      <c r="C603" s="144">
        <v>43563</v>
      </c>
      <c r="D603" s="143" t="s">
        <v>929</v>
      </c>
      <c r="E603" s="145">
        <v>27.76</v>
      </c>
      <c r="F603" s="143" t="s">
        <v>15</v>
      </c>
    </row>
    <row r="604" spans="2:6" x14ac:dyDescent="0.25">
      <c r="B604" t="s">
        <v>201</v>
      </c>
      <c r="C604" s="144">
        <v>43563</v>
      </c>
      <c r="D604" s="143" t="s">
        <v>930</v>
      </c>
      <c r="E604" s="145">
        <v>4.2300000000000004</v>
      </c>
      <c r="F604" s="143" t="s">
        <v>19</v>
      </c>
    </row>
    <row r="605" spans="2:6" x14ac:dyDescent="0.25">
      <c r="B605" t="s">
        <v>201</v>
      </c>
      <c r="C605" s="144">
        <v>43563</v>
      </c>
      <c r="D605" s="143" t="s">
        <v>705</v>
      </c>
      <c r="E605" s="145">
        <f>24.08+5</f>
        <v>29.08</v>
      </c>
      <c r="F605" s="143" t="s">
        <v>17</v>
      </c>
    </row>
    <row r="606" spans="2:6" x14ac:dyDescent="0.25">
      <c r="B606" t="s">
        <v>201</v>
      </c>
      <c r="C606" s="144">
        <v>43563</v>
      </c>
      <c r="D606" s="143" t="s">
        <v>921</v>
      </c>
      <c r="E606" s="145">
        <v>7.99</v>
      </c>
      <c r="F606" s="143" t="s">
        <v>676</v>
      </c>
    </row>
    <row r="607" spans="2:6" x14ac:dyDescent="0.25">
      <c r="B607" t="s">
        <v>201</v>
      </c>
      <c r="C607" s="144">
        <v>43563</v>
      </c>
      <c r="D607" s="143" t="s">
        <v>620</v>
      </c>
      <c r="E607" s="145">
        <v>40</v>
      </c>
      <c r="F607" s="143" t="s">
        <v>202</v>
      </c>
    </row>
    <row r="608" spans="2:6" x14ac:dyDescent="0.25">
      <c r="B608" t="s">
        <v>201</v>
      </c>
      <c r="C608" s="144">
        <v>43563</v>
      </c>
      <c r="D608" s="143" t="s">
        <v>922</v>
      </c>
      <c r="E608" s="145">
        <v>15.28</v>
      </c>
      <c r="F608" s="143" t="s">
        <v>21</v>
      </c>
    </row>
    <row r="609" spans="2:6" x14ac:dyDescent="0.25">
      <c r="B609" t="s">
        <v>201</v>
      </c>
      <c r="C609" s="144">
        <v>43563</v>
      </c>
      <c r="D609" s="143" t="s">
        <v>43</v>
      </c>
      <c r="E609" s="145">
        <v>4.2300000000000004</v>
      </c>
      <c r="F609" s="143" t="s">
        <v>19</v>
      </c>
    </row>
    <row r="610" spans="2:6" x14ac:dyDescent="0.25">
      <c r="B610" t="s">
        <v>201</v>
      </c>
      <c r="C610" s="144">
        <v>43563</v>
      </c>
      <c r="D610" s="143" t="s">
        <v>923</v>
      </c>
      <c r="E610" s="145">
        <v>27.08</v>
      </c>
      <c r="F610" s="143" t="s">
        <v>16</v>
      </c>
    </row>
    <row r="611" spans="2:6" x14ac:dyDescent="0.25">
      <c r="B611" t="s">
        <v>201</v>
      </c>
      <c r="C611" s="144">
        <v>43563</v>
      </c>
      <c r="D611" s="143" t="s">
        <v>924</v>
      </c>
      <c r="E611" s="145">
        <v>103.35</v>
      </c>
      <c r="F611" s="143" t="s">
        <v>754</v>
      </c>
    </row>
    <row r="612" spans="2:6" x14ac:dyDescent="0.25">
      <c r="B612" t="s">
        <v>201</v>
      </c>
      <c r="C612" s="144">
        <v>43563</v>
      </c>
      <c r="D612" s="143" t="s">
        <v>43</v>
      </c>
      <c r="E612" s="145">
        <v>4.2300000000000004</v>
      </c>
      <c r="F612" s="143" t="s">
        <v>19</v>
      </c>
    </row>
    <row r="613" spans="2:6" x14ac:dyDescent="0.25">
      <c r="B613" t="s">
        <v>201</v>
      </c>
      <c r="C613" s="144">
        <v>43563</v>
      </c>
      <c r="D613" s="143" t="s">
        <v>43</v>
      </c>
      <c r="E613" s="145">
        <v>4.2300000000000004</v>
      </c>
      <c r="F613" s="143" t="s">
        <v>19</v>
      </c>
    </row>
    <row r="614" spans="2:6" x14ac:dyDescent="0.25">
      <c r="B614" t="s">
        <v>201</v>
      </c>
      <c r="C614" s="144">
        <v>43563</v>
      </c>
      <c r="D614" s="143" t="s">
        <v>925</v>
      </c>
      <c r="E614" s="145">
        <v>22</v>
      </c>
      <c r="F614" s="143" t="s">
        <v>20</v>
      </c>
    </row>
    <row r="615" spans="2:6" x14ac:dyDescent="0.25">
      <c r="B615" t="s">
        <v>201</v>
      </c>
      <c r="C615" s="144">
        <v>43563</v>
      </c>
      <c r="D615" s="143" t="s">
        <v>257</v>
      </c>
      <c r="E615" s="145">
        <v>11.36</v>
      </c>
      <c r="F615" s="143" t="s">
        <v>17</v>
      </c>
    </row>
    <row r="616" spans="2:6" x14ac:dyDescent="0.25">
      <c r="B616" t="s">
        <v>201</v>
      </c>
      <c r="C616" s="144">
        <v>43563</v>
      </c>
      <c r="D616" s="143" t="s">
        <v>924</v>
      </c>
      <c r="E616" s="145">
        <v>42.39</v>
      </c>
      <c r="F616" s="143" t="s">
        <v>754</v>
      </c>
    </row>
    <row r="617" spans="2:6" x14ac:dyDescent="0.25">
      <c r="B617" t="s">
        <v>201</v>
      </c>
      <c r="C617" s="144">
        <v>43563</v>
      </c>
      <c r="D617" s="143" t="s">
        <v>275</v>
      </c>
      <c r="E617" s="145">
        <v>13.89</v>
      </c>
      <c r="F617" s="143" t="s">
        <v>15</v>
      </c>
    </row>
    <row r="618" spans="2:6" x14ac:dyDescent="0.25">
      <c r="B618" t="s">
        <v>201</v>
      </c>
      <c r="C618" s="144">
        <v>43563</v>
      </c>
      <c r="D618" s="143" t="s">
        <v>806</v>
      </c>
      <c r="E618" s="145">
        <v>23</v>
      </c>
      <c r="F618" s="143" t="s">
        <v>198</v>
      </c>
    </row>
    <row r="619" spans="2:6" x14ac:dyDescent="0.25">
      <c r="B619" t="s">
        <v>201</v>
      </c>
      <c r="C619" s="144">
        <v>43563</v>
      </c>
      <c r="D619" s="143" t="s">
        <v>43</v>
      </c>
      <c r="E619" s="145">
        <v>21.35</v>
      </c>
      <c r="F619" s="143" t="s">
        <v>20</v>
      </c>
    </row>
    <row r="620" spans="2:6" x14ac:dyDescent="0.25">
      <c r="B620" t="s">
        <v>201</v>
      </c>
      <c r="C620" s="144">
        <v>43563</v>
      </c>
      <c r="D620" s="143" t="s">
        <v>43</v>
      </c>
      <c r="E620" s="145">
        <v>4.2300000000000004</v>
      </c>
      <c r="F620" s="143" t="s">
        <v>19</v>
      </c>
    </row>
    <row r="621" spans="2:6" x14ac:dyDescent="0.25">
      <c r="B621" t="s">
        <v>201</v>
      </c>
      <c r="C621" s="144">
        <v>43561</v>
      </c>
      <c r="D621" s="143" t="s">
        <v>778</v>
      </c>
      <c r="E621" s="145">
        <v>32.21</v>
      </c>
      <c r="F621" s="143" t="s">
        <v>17</v>
      </c>
    </row>
    <row r="622" spans="2:6" x14ac:dyDescent="0.25">
      <c r="B622" t="s">
        <v>201</v>
      </c>
      <c r="C622" s="144">
        <v>43560</v>
      </c>
      <c r="D622" s="143" t="s">
        <v>926</v>
      </c>
      <c r="E622" s="145">
        <v>27.66</v>
      </c>
      <c r="F622" s="143" t="s">
        <v>15</v>
      </c>
    </row>
    <row r="623" spans="2:6" x14ac:dyDescent="0.25">
      <c r="B623" t="s">
        <v>201</v>
      </c>
      <c r="C623" s="144">
        <v>43560</v>
      </c>
      <c r="D623" s="143" t="s">
        <v>927</v>
      </c>
      <c r="E623" s="145">
        <v>6.96</v>
      </c>
      <c r="F623" s="143" t="s">
        <v>19</v>
      </c>
    </row>
    <row r="624" spans="2:6" x14ac:dyDescent="0.25">
      <c r="B624" t="s">
        <v>201</v>
      </c>
      <c r="C624" s="144">
        <v>43560</v>
      </c>
      <c r="D624" s="143" t="s">
        <v>928</v>
      </c>
      <c r="E624" s="145">
        <v>26.03</v>
      </c>
      <c r="F624" s="143" t="s">
        <v>16</v>
      </c>
    </row>
    <row r="625" spans="2:6" x14ac:dyDescent="0.25">
      <c r="B625" t="s">
        <v>201</v>
      </c>
      <c r="C625" s="3">
        <v>43560</v>
      </c>
      <c r="D625" t="s">
        <v>717</v>
      </c>
      <c r="E625" s="5">
        <v>8.0299999999999994</v>
      </c>
      <c r="F625" t="s">
        <v>17</v>
      </c>
    </row>
    <row r="626" spans="2:6" x14ac:dyDescent="0.25">
      <c r="B626" t="s">
        <v>201</v>
      </c>
      <c r="C626" s="3">
        <v>43560</v>
      </c>
      <c r="D626" t="s">
        <v>669</v>
      </c>
      <c r="E626" s="5">
        <v>5.09</v>
      </c>
      <c r="F626" t="s">
        <v>19</v>
      </c>
    </row>
    <row r="627" spans="2:6" x14ac:dyDescent="0.25">
      <c r="B627" t="s">
        <v>201</v>
      </c>
      <c r="C627" s="3">
        <v>43560</v>
      </c>
      <c r="D627" t="s">
        <v>619</v>
      </c>
      <c r="E627" s="5">
        <v>299</v>
      </c>
      <c r="F627" t="s">
        <v>8</v>
      </c>
    </row>
    <row r="628" spans="2:6" x14ac:dyDescent="0.25">
      <c r="B628" t="s">
        <v>201</v>
      </c>
      <c r="C628" s="3">
        <v>43559</v>
      </c>
      <c r="D628" t="s">
        <v>909</v>
      </c>
      <c r="E628" s="5">
        <v>5.73</v>
      </c>
      <c r="F628" t="s">
        <v>19</v>
      </c>
    </row>
    <row r="629" spans="2:6" x14ac:dyDescent="0.25">
      <c r="B629" t="s">
        <v>201</v>
      </c>
      <c r="C629" s="3">
        <v>43559</v>
      </c>
      <c r="D629" t="s">
        <v>910</v>
      </c>
      <c r="E629" s="5">
        <v>2.2799999999999998</v>
      </c>
      <c r="F629" t="s">
        <v>754</v>
      </c>
    </row>
    <row r="630" spans="2:6" x14ac:dyDescent="0.25">
      <c r="B630" t="s">
        <v>201</v>
      </c>
      <c r="C630" s="3">
        <v>43559</v>
      </c>
      <c r="D630" t="s">
        <v>911</v>
      </c>
      <c r="E630" s="5">
        <v>26.4</v>
      </c>
      <c r="F630" t="s">
        <v>17</v>
      </c>
    </row>
    <row r="631" spans="2:6" x14ac:dyDescent="0.25">
      <c r="B631" t="s">
        <v>201</v>
      </c>
      <c r="C631" s="3">
        <v>43558</v>
      </c>
      <c r="D631" t="s">
        <v>912</v>
      </c>
      <c r="E631" s="5">
        <v>14.12</v>
      </c>
      <c r="F631" t="s">
        <v>334</v>
      </c>
    </row>
    <row r="632" spans="2:6" x14ac:dyDescent="0.25">
      <c r="B632" t="s">
        <v>201</v>
      </c>
      <c r="C632" s="3">
        <v>43558</v>
      </c>
      <c r="D632" t="s">
        <v>913</v>
      </c>
      <c r="E632" s="5">
        <v>65</v>
      </c>
      <c r="F632" t="s">
        <v>506</v>
      </c>
    </row>
    <row r="633" spans="2:6" x14ac:dyDescent="0.25">
      <c r="B633" t="s">
        <v>201</v>
      </c>
      <c r="C633" s="3">
        <v>43558</v>
      </c>
      <c r="D633" t="s">
        <v>914</v>
      </c>
      <c r="E633" s="5">
        <v>87.82</v>
      </c>
      <c r="F633" t="s">
        <v>507</v>
      </c>
    </row>
    <row r="634" spans="2:6" x14ac:dyDescent="0.25">
      <c r="B634" t="s">
        <v>201</v>
      </c>
      <c r="C634" s="3">
        <v>43558</v>
      </c>
      <c r="D634" t="s">
        <v>915</v>
      </c>
      <c r="E634" s="5">
        <v>5.09</v>
      </c>
      <c r="F634" t="s">
        <v>19</v>
      </c>
    </row>
    <row r="635" spans="2:6" x14ac:dyDescent="0.25">
      <c r="B635" t="s">
        <v>201</v>
      </c>
      <c r="C635" s="3">
        <v>43558</v>
      </c>
      <c r="D635" t="s">
        <v>916</v>
      </c>
      <c r="E635" s="5">
        <v>25.33</v>
      </c>
      <c r="F635" t="s">
        <v>17</v>
      </c>
    </row>
    <row r="636" spans="2:6" x14ac:dyDescent="0.25">
      <c r="B636" t="s">
        <v>201</v>
      </c>
      <c r="C636" s="3">
        <v>43557</v>
      </c>
      <c r="D636" t="s">
        <v>377</v>
      </c>
      <c r="E636" s="5">
        <v>832.24</v>
      </c>
      <c r="F636" t="s">
        <v>11</v>
      </c>
    </row>
    <row r="637" spans="2:6" x14ac:dyDescent="0.25">
      <c r="B637" t="s">
        <v>201</v>
      </c>
      <c r="C637" s="3">
        <v>43557</v>
      </c>
      <c r="D637" t="s">
        <v>917</v>
      </c>
      <c r="E637" s="5">
        <v>2.41</v>
      </c>
      <c r="F637" t="s">
        <v>19</v>
      </c>
    </row>
    <row r="638" spans="2:6" x14ac:dyDescent="0.25">
      <c r="B638" t="s">
        <v>201</v>
      </c>
      <c r="C638" s="3">
        <v>43557</v>
      </c>
      <c r="D638" t="s">
        <v>918</v>
      </c>
      <c r="E638" s="5">
        <v>7.73</v>
      </c>
      <c r="F638" t="s">
        <v>15</v>
      </c>
    </row>
    <row r="639" spans="2:6" x14ac:dyDescent="0.25">
      <c r="B639" t="s">
        <v>201</v>
      </c>
      <c r="C639" s="3">
        <v>43557</v>
      </c>
      <c r="D639" t="s">
        <v>919</v>
      </c>
      <c r="E639" s="5">
        <v>11.55</v>
      </c>
      <c r="F639" t="s">
        <v>17</v>
      </c>
    </row>
    <row r="640" spans="2:6" x14ac:dyDescent="0.25">
      <c r="B640" t="s">
        <v>201</v>
      </c>
      <c r="C640" s="3">
        <v>43557</v>
      </c>
      <c r="D640" t="s">
        <v>920</v>
      </c>
      <c r="E640" s="5">
        <v>20.59</v>
      </c>
      <c r="F640" t="s">
        <v>17</v>
      </c>
    </row>
    <row r="641" spans="2:7" x14ac:dyDescent="0.25">
      <c r="B641" t="s">
        <v>201</v>
      </c>
      <c r="C641" s="3">
        <v>43556</v>
      </c>
      <c r="D641" t="s">
        <v>894</v>
      </c>
      <c r="E641" s="5">
        <v>29.95</v>
      </c>
      <c r="F641" t="s">
        <v>20</v>
      </c>
    </row>
    <row r="642" spans="2:7" x14ac:dyDescent="0.25">
      <c r="B642" t="s">
        <v>201</v>
      </c>
      <c r="C642" s="3">
        <v>43556</v>
      </c>
      <c r="D642" t="s">
        <v>895</v>
      </c>
      <c r="E642" s="5">
        <v>17.97</v>
      </c>
      <c r="F642" t="s">
        <v>15</v>
      </c>
    </row>
    <row r="643" spans="2:7" x14ac:dyDescent="0.25">
      <c r="B643" t="s">
        <v>201</v>
      </c>
      <c r="C643" s="3">
        <v>43556</v>
      </c>
      <c r="D643" t="s">
        <v>896</v>
      </c>
      <c r="E643" s="5">
        <v>30.01</v>
      </c>
      <c r="F643" t="s">
        <v>20</v>
      </c>
    </row>
    <row r="644" spans="2:7" x14ac:dyDescent="0.25">
      <c r="B644" t="s">
        <v>201</v>
      </c>
      <c r="C644" s="3">
        <v>43556</v>
      </c>
      <c r="D644" t="s">
        <v>897</v>
      </c>
      <c r="E644" s="5">
        <v>37.97</v>
      </c>
      <c r="F644" t="s">
        <v>20</v>
      </c>
    </row>
    <row r="645" spans="2:7" x14ac:dyDescent="0.25">
      <c r="B645" t="s">
        <v>201</v>
      </c>
      <c r="C645" s="3">
        <v>43556</v>
      </c>
      <c r="D645" t="s">
        <v>898</v>
      </c>
      <c r="E645" s="5">
        <v>29.47</v>
      </c>
      <c r="F645" t="s">
        <v>21</v>
      </c>
    </row>
    <row r="646" spans="2:7" x14ac:dyDescent="0.25">
      <c r="B646" t="s">
        <v>201</v>
      </c>
      <c r="C646" s="3">
        <v>43556</v>
      </c>
      <c r="D646" t="s">
        <v>899</v>
      </c>
      <c r="E646" s="5">
        <v>2.68</v>
      </c>
      <c r="F646" t="s">
        <v>19</v>
      </c>
    </row>
    <row r="647" spans="2:7" x14ac:dyDescent="0.25">
      <c r="B647" t="s">
        <v>201</v>
      </c>
      <c r="C647" s="3">
        <v>43556</v>
      </c>
      <c r="D647" t="s">
        <v>900</v>
      </c>
      <c r="E647" s="5">
        <v>5.62</v>
      </c>
      <c r="F647" t="s">
        <v>19</v>
      </c>
    </row>
    <row r="648" spans="2:7" x14ac:dyDescent="0.25">
      <c r="B648" t="s">
        <v>201</v>
      </c>
      <c r="C648" s="3">
        <v>43556</v>
      </c>
      <c r="D648" t="s">
        <v>901</v>
      </c>
      <c r="E648" s="5">
        <v>37.44</v>
      </c>
      <c r="F648" t="s">
        <v>21</v>
      </c>
    </row>
    <row r="649" spans="2:7" x14ac:dyDescent="0.25">
      <c r="B649" t="s">
        <v>201</v>
      </c>
      <c r="C649" s="3">
        <v>43556</v>
      </c>
      <c r="D649" t="s">
        <v>902</v>
      </c>
      <c r="E649" s="5">
        <v>5.51</v>
      </c>
      <c r="F649" t="s">
        <v>19</v>
      </c>
    </row>
    <row r="650" spans="2:7" x14ac:dyDescent="0.25">
      <c r="B650" t="s">
        <v>201</v>
      </c>
      <c r="C650" s="3">
        <v>43556</v>
      </c>
      <c r="D650" t="s">
        <v>903</v>
      </c>
      <c r="E650" s="5">
        <v>6.42</v>
      </c>
      <c r="F650" t="s">
        <v>17</v>
      </c>
    </row>
    <row r="651" spans="2:7" x14ac:dyDescent="0.25">
      <c r="B651" t="s">
        <v>201</v>
      </c>
      <c r="C651" s="3">
        <v>43556</v>
      </c>
      <c r="D651" t="s">
        <v>904</v>
      </c>
      <c r="E651" s="5">
        <v>2.68</v>
      </c>
      <c r="F651" t="s">
        <v>19</v>
      </c>
    </row>
    <row r="652" spans="2:7" x14ac:dyDescent="0.25">
      <c r="B652" t="s">
        <v>201</v>
      </c>
      <c r="C652" s="3">
        <v>43556</v>
      </c>
      <c r="D652" t="s">
        <v>905</v>
      </c>
      <c r="E652" s="5">
        <v>6.05</v>
      </c>
      <c r="F652" t="s">
        <v>19</v>
      </c>
    </row>
    <row r="653" spans="2:7" x14ac:dyDescent="0.25">
      <c r="B653" t="s">
        <v>201</v>
      </c>
      <c r="C653" s="3">
        <v>43556</v>
      </c>
      <c r="D653" t="s">
        <v>906</v>
      </c>
      <c r="E653" s="5">
        <v>53.49</v>
      </c>
      <c r="F653" t="s">
        <v>20</v>
      </c>
      <c r="G653" t="s">
        <v>908</v>
      </c>
    </row>
    <row r="654" spans="2:7" x14ac:dyDescent="0.25">
      <c r="B654" t="s">
        <v>201</v>
      </c>
      <c r="C654" s="3">
        <v>43556</v>
      </c>
      <c r="D654" t="s">
        <v>907</v>
      </c>
      <c r="E654" s="5">
        <v>11.42</v>
      </c>
      <c r="F654" t="s">
        <v>17</v>
      </c>
    </row>
    <row r="655" spans="2:7" x14ac:dyDescent="0.25">
      <c r="B655" t="s">
        <v>510</v>
      </c>
      <c r="C655" s="3">
        <v>43553</v>
      </c>
      <c r="D655" t="s">
        <v>104</v>
      </c>
      <c r="E655" s="5">
        <v>-0.01</v>
      </c>
      <c r="F655" t="s">
        <v>20</v>
      </c>
    </row>
    <row r="656" spans="2:7" x14ac:dyDescent="0.25">
      <c r="B656" t="s">
        <v>510</v>
      </c>
      <c r="C656" s="3">
        <v>43553</v>
      </c>
      <c r="D656" t="s">
        <v>106</v>
      </c>
      <c r="E656" s="5">
        <v>437.54</v>
      </c>
      <c r="F656" t="s">
        <v>192</v>
      </c>
    </row>
    <row r="657" spans="2:6" x14ac:dyDescent="0.25">
      <c r="B657" t="s">
        <v>510</v>
      </c>
      <c r="C657" s="3">
        <v>43553</v>
      </c>
      <c r="D657" t="s">
        <v>889</v>
      </c>
      <c r="E657" s="5">
        <v>35.369999999999997</v>
      </c>
      <c r="F657" t="s">
        <v>15</v>
      </c>
    </row>
    <row r="658" spans="2:6" x14ac:dyDescent="0.25">
      <c r="B658" t="s">
        <v>510</v>
      </c>
      <c r="C658" s="3">
        <v>43553</v>
      </c>
      <c r="D658" t="s">
        <v>890</v>
      </c>
      <c r="E658" s="5">
        <v>5.94</v>
      </c>
      <c r="F658" t="s">
        <v>19</v>
      </c>
    </row>
    <row r="659" spans="2:6" x14ac:dyDescent="0.25">
      <c r="B659" t="s">
        <v>510</v>
      </c>
      <c r="C659" s="3">
        <v>43553</v>
      </c>
      <c r="D659" t="s">
        <v>891</v>
      </c>
      <c r="E659" s="5">
        <v>4.05</v>
      </c>
      <c r="F659" t="s">
        <v>17</v>
      </c>
    </row>
    <row r="660" spans="2:6" x14ac:dyDescent="0.25">
      <c r="B660" t="s">
        <v>510</v>
      </c>
      <c r="C660" s="3">
        <v>43553</v>
      </c>
      <c r="D660" t="s">
        <v>892</v>
      </c>
      <c r="E660" s="5">
        <v>13.78</v>
      </c>
      <c r="F660" t="s">
        <v>21</v>
      </c>
    </row>
    <row r="661" spans="2:6" x14ac:dyDescent="0.25">
      <c r="B661" t="s">
        <v>510</v>
      </c>
      <c r="C661" s="3">
        <v>43553</v>
      </c>
      <c r="D661" t="s">
        <v>893</v>
      </c>
      <c r="E661" s="5">
        <v>5.09</v>
      </c>
      <c r="F661" t="s">
        <v>19</v>
      </c>
    </row>
    <row r="662" spans="2:6" x14ac:dyDescent="0.25">
      <c r="B662" t="s">
        <v>510</v>
      </c>
      <c r="C662" s="3">
        <v>43552</v>
      </c>
      <c r="D662" t="s">
        <v>887</v>
      </c>
      <c r="E662" s="5">
        <v>30</v>
      </c>
      <c r="F662" t="s">
        <v>16</v>
      </c>
    </row>
    <row r="663" spans="2:6" x14ac:dyDescent="0.25">
      <c r="B663" t="s">
        <v>510</v>
      </c>
      <c r="C663" s="3">
        <v>43552</v>
      </c>
      <c r="D663" t="s">
        <v>888</v>
      </c>
      <c r="E663" s="5">
        <v>30.35</v>
      </c>
      <c r="F663" t="s">
        <v>15</v>
      </c>
    </row>
    <row r="664" spans="2:6" x14ac:dyDescent="0.25">
      <c r="B664" t="s">
        <v>510</v>
      </c>
      <c r="C664" s="3">
        <v>43553</v>
      </c>
      <c r="D664" t="s">
        <v>862</v>
      </c>
      <c r="E664" s="5">
        <v>16.03</v>
      </c>
      <c r="F664" t="s">
        <v>195</v>
      </c>
    </row>
    <row r="665" spans="2:6" x14ac:dyDescent="0.25">
      <c r="B665" t="s">
        <v>510</v>
      </c>
      <c r="C665" s="3">
        <v>43553</v>
      </c>
      <c r="D665" t="s">
        <v>765</v>
      </c>
      <c r="E665" s="5">
        <v>21.39</v>
      </c>
      <c r="F665" t="s">
        <v>138</v>
      </c>
    </row>
    <row r="666" spans="2:6" x14ac:dyDescent="0.25">
      <c r="B666" t="s">
        <v>510</v>
      </c>
      <c r="C666" s="3">
        <v>43552</v>
      </c>
      <c r="D666" t="s">
        <v>863</v>
      </c>
      <c r="E666" s="5">
        <v>17.97</v>
      </c>
      <c r="F666" t="s">
        <v>17</v>
      </c>
    </row>
    <row r="667" spans="2:6" x14ac:dyDescent="0.25">
      <c r="B667" t="s">
        <v>510</v>
      </c>
      <c r="C667" s="3">
        <v>43552</v>
      </c>
      <c r="D667" t="s">
        <v>669</v>
      </c>
      <c r="E667" s="5">
        <v>5.73</v>
      </c>
      <c r="F667" t="s">
        <v>19</v>
      </c>
    </row>
    <row r="668" spans="2:6" x14ac:dyDescent="0.25">
      <c r="B668" t="s">
        <v>510</v>
      </c>
      <c r="C668" s="3">
        <v>43551</v>
      </c>
      <c r="D668" t="s">
        <v>864</v>
      </c>
      <c r="E668" s="5">
        <v>20.149999999999999</v>
      </c>
      <c r="F668" t="s">
        <v>15</v>
      </c>
    </row>
    <row r="669" spans="2:6" x14ac:dyDescent="0.25">
      <c r="B669" t="s">
        <v>510</v>
      </c>
      <c r="C669" s="3">
        <v>43551</v>
      </c>
      <c r="D669" t="s">
        <v>865</v>
      </c>
      <c r="E669" s="5">
        <v>40.1</v>
      </c>
      <c r="F669" t="s">
        <v>17</v>
      </c>
    </row>
    <row r="670" spans="2:6" x14ac:dyDescent="0.25">
      <c r="B670" t="s">
        <v>510</v>
      </c>
      <c r="C670" s="3">
        <v>43550</v>
      </c>
      <c r="D670" t="s">
        <v>866</v>
      </c>
      <c r="E670" s="5">
        <v>42.79</v>
      </c>
      <c r="F670" t="s">
        <v>20</v>
      </c>
    </row>
    <row r="671" spans="2:6" x14ac:dyDescent="0.25">
      <c r="B671" t="s">
        <v>510</v>
      </c>
      <c r="C671" s="3">
        <v>43550</v>
      </c>
      <c r="D671" t="s">
        <v>867</v>
      </c>
      <c r="E671" s="5">
        <v>5.3</v>
      </c>
      <c r="F671" t="s">
        <v>19</v>
      </c>
    </row>
    <row r="672" spans="2:6" x14ac:dyDescent="0.25">
      <c r="B672" t="s">
        <v>510</v>
      </c>
      <c r="C672" s="3">
        <v>43550</v>
      </c>
      <c r="D672" t="s">
        <v>868</v>
      </c>
      <c r="E672" s="5">
        <v>12.42</v>
      </c>
      <c r="F672" t="s">
        <v>17</v>
      </c>
    </row>
    <row r="673" spans="2:6" x14ac:dyDescent="0.25">
      <c r="B673" t="s">
        <v>510</v>
      </c>
      <c r="C673" s="3">
        <v>43550</v>
      </c>
      <c r="D673" t="s">
        <v>869</v>
      </c>
      <c r="E673" s="5">
        <v>7.35</v>
      </c>
      <c r="F673" t="s">
        <v>17</v>
      </c>
    </row>
    <row r="674" spans="2:6" x14ac:dyDescent="0.25">
      <c r="B674" t="s">
        <v>510</v>
      </c>
      <c r="C674" s="3">
        <v>43549</v>
      </c>
      <c r="D674" t="s">
        <v>870</v>
      </c>
      <c r="E674" s="5">
        <v>0.99</v>
      </c>
      <c r="F674" t="s">
        <v>754</v>
      </c>
    </row>
    <row r="675" spans="2:6" x14ac:dyDescent="0.25">
      <c r="B675" t="s">
        <v>510</v>
      </c>
      <c r="C675" s="3">
        <v>43549</v>
      </c>
      <c r="D675" t="s">
        <v>871</v>
      </c>
      <c r="E675" s="5">
        <v>39.06</v>
      </c>
      <c r="F675" t="s">
        <v>333</v>
      </c>
    </row>
    <row r="676" spans="2:6" x14ac:dyDescent="0.25">
      <c r="B676" t="s">
        <v>510</v>
      </c>
      <c r="C676" s="3">
        <v>43549</v>
      </c>
      <c r="D676" t="s">
        <v>872</v>
      </c>
      <c r="E676" s="5">
        <v>26.95</v>
      </c>
      <c r="F676" t="s">
        <v>15</v>
      </c>
    </row>
    <row r="677" spans="2:6" x14ac:dyDescent="0.25">
      <c r="B677" t="s">
        <v>510</v>
      </c>
      <c r="C677" s="3">
        <v>43549</v>
      </c>
      <c r="D677" t="s">
        <v>873</v>
      </c>
      <c r="E677" s="5">
        <v>22.01</v>
      </c>
      <c r="F677" t="s">
        <v>16</v>
      </c>
    </row>
    <row r="678" spans="2:6" x14ac:dyDescent="0.25">
      <c r="B678" t="s">
        <v>510</v>
      </c>
      <c r="C678" s="3">
        <v>43549</v>
      </c>
      <c r="D678" t="s">
        <v>874</v>
      </c>
      <c r="E678" s="5">
        <v>6.05</v>
      </c>
      <c r="F678" t="s">
        <v>19</v>
      </c>
    </row>
    <row r="679" spans="2:6" x14ac:dyDescent="0.25">
      <c r="B679" t="s">
        <v>510</v>
      </c>
      <c r="C679" s="3">
        <v>43549</v>
      </c>
      <c r="D679" t="s">
        <v>875</v>
      </c>
      <c r="E679" s="5">
        <v>6.94</v>
      </c>
      <c r="F679" t="s">
        <v>20</v>
      </c>
    </row>
    <row r="680" spans="2:6" x14ac:dyDescent="0.25">
      <c r="B680" t="s">
        <v>510</v>
      </c>
      <c r="C680" s="3">
        <v>43549</v>
      </c>
      <c r="D680" t="s">
        <v>876</v>
      </c>
      <c r="E680" s="5">
        <v>11.11</v>
      </c>
      <c r="F680" t="s">
        <v>21</v>
      </c>
    </row>
    <row r="681" spans="2:6" x14ac:dyDescent="0.25">
      <c r="B681" t="s">
        <v>510</v>
      </c>
      <c r="C681" s="3">
        <v>43549</v>
      </c>
      <c r="D681" t="s">
        <v>877</v>
      </c>
      <c r="E681" s="5">
        <v>16.05</v>
      </c>
      <c r="F681" t="s">
        <v>20</v>
      </c>
    </row>
    <row r="682" spans="2:6" x14ac:dyDescent="0.25">
      <c r="B682" t="s">
        <v>510</v>
      </c>
      <c r="C682" s="3">
        <v>43549</v>
      </c>
      <c r="D682" t="s">
        <v>878</v>
      </c>
      <c r="E682" s="5">
        <v>63.95</v>
      </c>
      <c r="F682" t="s">
        <v>202</v>
      </c>
    </row>
    <row r="683" spans="2:6" x14ac:dyDescent="0.25">
      <c r="B683" t="s">
        <v>510</v>
      </c>
      <c r="C683" s="3">
        <v>43549</v>
      </c>
      <c r="D683" t="s">
        <v>879</v>
      </c>
      <c r="E683" s="5">
        <v>37.450000000000003</v>
      </c>
      <c r="F683" t="s">
        <v>17</v>
      </c>
    </row>
    <row r="684" spans="2:6" x14ac:dyDescent="0.25">
      <c r="B684" t="s">
        <v>510</v>
      </c>
      <c r="C684" s="3">
        <v>43549</v>
      </c>
      <c r="D684" t="s">
        <v>880</v>
      </c>
      <c r="E684" s="5">
        <v>13.97</v>
      </c>
      <c r="F684" t="s">
        <v>15</v>
      </c>
    </row>
    <row r="685" spans="2:6" x14ac:dyDescent="0.25">
      <c r="B685" t="s">
        <v>510</v>
      </c>
      <c r="C685" s="3">
        <v>43549</v>
      </c>
      <c r="D685" t="s">
        <v>881</v>
      </c>
      <c r="E685" s="5">
        <v>13.38</v>
      </c>
      <c r="F685" t="s">
        <v>17</v>
      </c>
    </row>
    <row r="686" spans="2:6" x14ac:dyDescent="0.25">
      <c r="B686" t="s">
        <v>510</v>
      </c>
      <c r="C686" s="3">
        <v>43549</v>
      </c>
      <c r="D686" t="s">
        <v>882</v>
      </c>
      <c r="E686" s="5">
        <v>4.2300000000000004</v>
      </c>
      <c r="F686" t="s">
        <v>19</v>
      </c>
    </row>
    <row r="687" spans="2:6" x14ac:dyDescent="0.25">
      <c r="B687" t="s">
        <v>510</v>
      </c>
      <c r="C687" s="3">
        <v>43549</v>
      </c>
      <c r="D687" t="s">
        <v>883</v>
      </c>
      <c r="E687" s="5">
        <v>5</v>
      </c>
      <c r="F687" t="s">
        <v>15</v>
      </c>
    </row>
    <row r="688" spans="2:6" x14ac:dyDescent="0.25">
      <c r="B688" t="s">
        <v>510</v>
      </c>
      <c r="C688" s="3">
        <v>43549</v>
      </c>
      <c r="D688" t="s">
        <v>884</v>
      </c>
      <c r="E688" s="5">
        <f>23.59-20</f>
        <v>3.59</v>
      </c>
      <c r="F688" t="s">
        <v>17</v>
      </c>
    </row>
    <row r="689" spans="2:6" x14ac:dyDescent="0.25">
      <c r="B689" t="s">
        <v>510</v>
      </c>
      <c r="C689" s="3">
        <v>43549</v>
      </c>
      <c r="D689" t="s">
        <v>884</v>
      </c>
      <c r="E689" s="5">
        <f>23.59-3.59</f>
        <v>20</v>
      </c>
      <c r="F689" t="s">
        <v>202</v>
      </c>
    </row>
    <row r="690" spans="2:6" x14ac:dyDescent="0.25">
      <c r="B690" t="s">
        <v>510</v>
      </c>
      <c r="C690" s="3">
        <v>43549</v>
      </c>
      <c r="D690" t="s">
        <v>885</v>
      </c>
      <c r="E690" s="5">
        <v>30</v>
      </c>
      <c r="F690" t="s">
        <v>16</v>
      </c>
    </row>
    <row r="691" spans="2:6" x14ac:dyDescent="0.25">
      <c r="B691" t="s">
        <v>510</v>
      </c>
      <c r="C691" s="3">
        <v>43549</v>
      </c>
      <c r="D691" t="s">
        <v>886</v>
      </c>
      <c r="E691" s="5">
        <v>18.45</v>
      </c>
      <c r="F691" t="s">
        <v>17</v>
      </c>
    </row>
    <row r="692" spans="2:6" x14ac:dyDescent="0.25">
      <c r="B692" t="s">
        <v>510</v>
      </c>
      <c r="C692" s="3">
        <v>43549</v>
      </c>
      <c r="D692" t="s">
        <v>857</v>
      </c>
      <c r="E692" s="5">
        <v>-3.95</v>
      </c>
      <c r="F692" t="s">
        <v>20</v>
      </c>
    </row>
    <row r="693" spans="2:6" x14ac:dyDescent="0.25">
      <c r="B693" t="s">
        <v>510</v>
      </c>
      <c r="C693" s="3">
        <v>43546</v>
      </c>
      <c r="D693" t="s">
        <v>858</v>
      </c>
      <c r="E693" s="5">
        <v>11.45</v>
      </c>
      <c r="F693" t="s">
        <v>17</v>
      </c>
    </row>
    <row r="694" spans="2:6" x14ac:dyDescent="0.25">
      <c r="B694" t="s">
        <v>510</v>
      </c>
      <c r="C694" s="3">
        <v>43546</v>
      </c>
      <c r="D694" t="s">
        <v>859</v>
      </c>
      <c r="E694" s="5">
        <v>30.83</v>
      </c>
      <c r="F694" t="s">
        <v>15</v>
      </c>
    </row>
    <row r="695" spans="2:6" x14ac:dyDescent="0.25">
      <c r="B695" t="s">
        <v>510</v>
      </c>
      <c r="C695" s="3">
        <v>43546</v>
      </c>
      <c r="D695" t="s">
        <v>860</v>
      </c>
      <c r="E695" s="5">
        <v>23</v>
      </c>
      <c r="F695" t="s">
        <v>198</v>
      </c>
    </row>
    <row r="696" spans="2:6" x14ac:dyDescent="0.25">
      <c r="B696" t="s">
        <v>510</v>
      </c>
      <c r="C696" s="3">
        <v>43546</v>
      </c>
      <c r="D696" t="s">
        <v>861</v>
      </c>
      <c r="E696" s="5">
        <v>7.48</v>
      </c>
      <c r="F696" t="s">
        <v>15</v>
      </c>
    </row>
    <row r="697" spans="2:6" x14ac:dyDescent="0.25">
      <c r="B697" t="s">
        <v>510</v>
      </c>
      <c r="C697" s="3">
        <v>43546</v>
      </c>
      <c r="D697" t="s">
        <v>773</v>
      </c>
      <c r="E697" s="5">
        <v>11.84</v>
      </c>
      <c r="F697" t="s">
        <v>754</v>
      </c>
    </row>
    <row r="698" spans="2:6" x14ac:dyDescent="0.25">
      <c r="B698" t="s">
        <v>510</v>
      </c>
      <c r="C698" s="3">
        <v>43546</v>
      </c>
      <c r="D698" t="s">
        <v>717</v>
      </c>
      <c r="E698" s="5">
        <f>12.84+4</f>
        <v>16.84</v>
      </c>
      <c r="F698" t="s">
        <v>17</v>
      </c>
    </row>
    <row r="699" spans="2:6" x14ac:dyDescent="0.25">
      <c r="B699" t="s">
        <v>510</v>
      </c>
      <c r="C699" s="3">
        <v>43546</v>
      </c>
      <c r="D699" t="s">
        <v>848</v>
      </c>
      <c r="E699" s="5">
        <v>5.73</v>
      </c>
      <c r="F699" t="s">
        <v>19</v>
      </c>
    </row>
    <row r="700" spans="2:6" x14ac:dyDescent="0.25">
      <c r="B700" t="s">
        <v>510</v>
      </c>
      <c r="C700" s="3">
        <v>43545</v>
      </c>
      <c r="D700" t="s">
        <v>849</v>
      </c>
      <c r="E700" s="5">
        <v>46.99</v>
      </c>
      <c r="F700" t="s">
        <v>21</v>
      </c>
    </row>
    <row r="701" spans="2:6" x14ac:dyDescent="0.25">
      <c r="B701" t="s">
        <v>510</v>
      </c>
      <c r="C701" s="3">
        <v>43545</v>
      </c>
      <c r="D701" t="s">
        <v>850</v>
      </c>
      <c r="E701" s="5">
        <v>2.25</v>
      </c>
      <c r="F701" t="s">
        <v>20</v>
      </c>
    </row>
    <row r="702" spans="2:6" x14ac:dyDescent="0.25">
      <c r="B702" t="s">
        <v>510</v>
      </c>
      <c r="C702" s="3">
        <v>43545</v>
      </c>
      <c r="D702" t="s">
        <v>851</v>
      </c>
      <c r="E702" s="5">
        <v>5.73</v>
      </c>
      <c r="F702" t="s">
        <v>19</v>
      </c>
    </row>
    <row r="703" spans="2:6" x14ac:dyDescent="0.25">
      <c r="B703" t="s">
        <v>510</v>
      </c>
      <c r="C703" s="3">
        <v>43544</v>
      </c>
      <c r="D703" t="s">
        <v>852</v>
      </c>
      <c r="E703" s="5">
        <v>10</v>
      </c>
      <c r="F703" t="s">
        <v>20</v>
      </c>
    </row>
    <row r="704" spans="2:6" x14ac:dyDescent="0.25">
      <c r="B704" t="s">
        <v>510</v>
      </c>
      <c r="C704" s="3">
        <v>43543</v>
      </c>
      <c r="D704" t="s">
        <v>853</v>
      </c>
      <c r="E704" s="5">
        <v>17.11</v>
      </c>
      <c r="F704" t="s">
        <v>754</v>
      </c>
    </row>
    <row r="705" spans="2:6" x14ac:dyDescent="0.25">
      <c r="B705" t="s">
        <v>510</v>
      </c>
      <c r="C705" s="3">
        <v>43543</v>
      </c>
      <c r="D705" t="s">
        <v>854</v>
      </c>
      <c r="E705" s="5">
        <v>13.96</v>
      </c>
      <c r="F705" t="s">
        <v>17</v>
      </c>
    </row>
    <row r="706" spans="2:6" x14ac:dyDescent="0.25">
      <c r="B706" t="s">
        <v>510</v>
      </c>
      <c r="C706" s="3">
        <v>43543</v>
      </c>
      <c r="D706" t="s">
        <v>855</v>
      </c>
      <c r="E706" s="5">
        <v>25.03</v>
      </c>
      <c r="F706" t="s">
        <v>16</v>
      </c>
    </row>
    <row r="707" spans="2:6" x14ac:dyDescent="0.25">
      <c r="B707" t="s">
        <v>510</v>
      </c>
      <c r="C707" s="3">
        <v>43543</v>
      </c>
      <c r="D707" t="s">
        <v>856</v>
      </c>
      <c r="E707" s="5">
        <v>25.94</v>
      </c>
      <c r="F707" t="s">
        <v>15</v>
      </c>
    </row>
    <row r="708" spans="2:6" x14ac:dyDescent="0.25">
      <c r="B708" t="s">
        <v>510</v>
      </c>
      <c r="C708" s="3">
        <v>43542</v>
      </c>
      <c r="D708" t="s">
        <v>147</v>
      </c>
      <c r="E708" s="5">
        <v>11.24</v>
      </c>
      <c r="F708" t="s">
        <v>17</v>
      </c>
    </row>
    <row r="709" spans="2:6" x14ac:dyDescent="0.25">
      <c r="B709" t="s">
        <v>510</v>
      </c>
      <c r="C709" s="3">
        <v>43542</v>
      </c>
      <c r="D709" t="s">
        <v>40</v>
      </c>
      <c r="E709" s="5">
        <v>3.4</v>
      </c>
      <c r="F709" t="s">
        <v>20</v>
      </c>
    </row>
    <row r="710" spans="2:6" x14ac:dyDescent="0.25">
      <c r="B710" t="s">
        <v>510</v>
      </c>
      <c r="C710" s="3">
        <v>43542</v>
      </c>
      <c r="D710" t="s">
        <v>846</v>
      </c>
      <c r="E710" s="5">
        <v>13.6</v>
      </c>
      <c r="F710" t="s">
        <v>18</v>
      </c>
    </row>
    <row r="711" spans="2:6" x14ac:dyDescent="0.25">
      <c r="B711" t="s">
        <v>510</v>
      </c>
      <c r="C711" s="3">
        <v>43542</v>
      </c>
      <c r="D711" t="s">
        <v>845</v>
      </c>
      <c r="E711" s="5">
        <v>11.23</v>
      </c>
      <c r="F711" t="s">
        <v>15</v>
      </c>
    </row>
    <row r="712" spans="2:6" x14ac:dyDescent="0.25">
      <c r="B712" t="s">
        <v>510</v>
      </c>
      <c r="C712" s="3">
        <v>43542</v>
      </c>
      <c r="D712" t="s">
        <v>43</v>
      </c>
      <c r="E712" s="5">
        <v>5.94</v>
      </c>
      <c r="F712" t="s">
        <v>19</v>
      </c>
    </row>
    <row r="713" spans="2:6" x14ac:dyDescent="0.25">
      <c r="B713" t="s">
        <v>510</v>
      </c>
      <c r="C713" s="3">
        <v>43542</v>
      </c>
      <c r="D713" t="s">
        <v>844</v>
      </c>
      <c r="E713" s="5">
        <f>47.03-3</f>
        <v>44.03</v>
      </c>
      <c r="F713" t="s">
        <v>17</v>
      </c>
    </row>
    <row r="714" spans="2:6" x14ac:dyDescent="0.25">
      <c r="B714" t="s">
        <v>510</v>
      </c>
      <c r="C714" s="3">
        <v>43542</v>
      </c>
      <c r="D714" t="s">
        <v>844</v>
      </c>
      <c r="E714" s="5">
        <v>3</v>
      </c>
      <c r="F714" t="s">
        <v>15</v>
      </c>
    </row>
    <row r="715" spans="2:6" x14ac:dyDescent="0.25">
      <c r="B715" t="s">
        <v>510</v>
      </c>
      <c r="C715" s="3">
        <v>43542</v>
      </c>
      <c r="D715" t="s">
        <v>662</v>
      </c>
      <c r="E715" s="5">
        <v>150</v>
      </c>
      <c r="F715" t="s">
        <v>20</v>
      </c>
    </row>
    <row r="716" spans="2:6" x14ac:dyDescent="0.25">
      <c r="B716" t="s">
        <v>510</v>
      </c>
      <c r="C716" s="3">
        <v>43542</v>
      </c>
      <c r="D716" t="s">
        <v>841</v>
      </c>
      <c r="E716" s="5">
        <v>18.190000000000001</v>
      </c>
      <c r="F716" t="s">
        <v>17</v>
      </c>
    </row>
    <row r="717" spans="2:6" x14ac:dyDescent="0.25">
      <c r="B717" t="s">
        <v>510</v>
      </c>
      <c r="C717" s="3">
        <v>43542</v>
      </c>
      <c r="D717" t="s">
        <v>144</v>
      </c>
      <c r="E717" s="5">
        <v>25.68</v>
      </c>
      <c r="F717" t="s">
        <v>17</v>
      </c>
    </row>
    <row r="718" spans="2:6" x14ac:dyDescent="0.25">
      <c r="B718" t="s">
        <v>510</v>
      </c>
      <c r="C718" s="3">
        <v>43542</v>
      </c>
      <c r="D718" t="s">
        <v>40</v>
      </c>
      <c r="E718" s="5">
        <v>2.25</v>
      </c>
      <c r="F718" t="s">
        <v>20</v>
      </c>
    </row>
    <row r="719" spans="2:6" x14ac:dyDescent="0.25">
      <c r="B719" t="s">
        <v>510</v>
      </c>
      <c r="C719" s="3">
        <v>43542</v>
      </c>
      <c r="D719" t="s">
        <v>352</v>
      </c>
      <c r="E719" s="5">
        <v>32.08</v>
      </c>
      <c r="F719" t="s">
        <v>20</v>
      </c>
    </row>
    <row r="720" spans="2:6" x14ac:dyDescent="0.25">
      <c r="B720" t="s">
        <v>510</v>
      </c>
      <c r="C720" s="3">
        <v>43542</v>
      </c>
      <c r="D720" t="s">
        <v>43</v>
      </c>
      <c r="E720" s="5">
        <v>5.19</v>
      </c>
      <c r="F720" t="s">
        <v>19</v>
      </c>
    </row>
    <row r="721" spans="2:7" x14ac:dyDescent="0.25">
      <c r="B721" t="s">
        <v>510</v>
      </c>
      <c r="C721" s="3">
        <v>43542</v>
      </c>
      <c r="D721" t="s">
        <v>839</v>
      </c>
      <c r="E721" s="5">
        <v>40.26</v>
      </c>
      <c r="F721" t="s">
        <v>18</v>
      </c>
      <c r="G721" t="s">
        <v>842</v>
      </c>
    </row>
    <row r="722" spans="2:7" x14ac:dyDescent="0.25">
      <c r="B722" t="s">
        <v>510</v>
      </c>
      <c r="C722" s="3">
        <v>43542</v>
      </c>
      <c r="D722" t="s">
        <v>43</v>
      </c>
      <c r="E722" s="5">
        <v>2.2999999999999998</v>
      </c>
      <c r="F722" t="s">
        <v>19</v>
      </c>
    </row>
    <row r="723" spans="2:7" x14ac:dyDescent="0.25">
      <c r="B723" t="s">
        <v>510</v>
      </c>
      <c r="C723" s="3">
        <v>43542</v>
      </c>
      <c r="D723" t="s">
        <v>840</v>
      </c>
      <c r="E723" s="5">
        <v>52.95</v>
      </c>
      <c r="F723" t="s">
        <v>18</v>
      </c>
      <c r="G723" t="s">
        <v>843</v>
      </c>
    </row>
    <row r="724" spans="2:7" x14ac:dyDescent="0.25">
      <c r="B724" t="s">
        <v>510</v>
      </c>
      <c r="C724" s="3">
        <v>43542</v>
      </c>
      <c r="D724" t="s">
        <v>655</v>
      </c>
      <c r="E724" s="5">
        <v>42.79</v>
      </c>
      <c r="F724" t="s">
        <v>754</v>
      </c>
    </row>
    <row r="725" spans="2:7" x14ac:dyDescent="0.25">
      <c r="B725" t="s">
        <v>510</v>
      </c>
      <c r="C725" s="3">
        <v>43542</v>
      </c>
      <c r="D725" t="s">
        <v>43</v>
      </c>
      <c r="E725" s="5">
        <v>4.55</v>
      </c>
      <c r="F725" t="s">
        <v>17</v>
      </c>
    </row>
    <row r="726" spans="2:7" x14ac:dyDescent="0.25">
      <c r="B726" t="s">
        <v>510</v>
      </c>
      <c r="C726" s="3">
        <v>43542</v>
      </c>
      <c r="D726" t="s">
        <v>43</v>
      </c>
      <c r="E726" s="5">
        <v>3.91</v>
      </c>
      <c r="F726" t="s">
        <v>19</v>
      </c>
    </row>
    <row r="727" spans="2:7" x14ac:dyDescent="0.25">
      <c r="B727" t="s">
        <v>510</v>
      </c>
      <c r="C727" s="3">
        <v>43542</v>
      </c>
      <c r="D727" t="s">
        <v>146</v>
      </c>
      <c r="E727" s="5">
        <v>30</v>
      </c>
      <c r="F727" t="s">
        <v>16</v>
      </c>
    </row>
    <row r="728" spans="2:7" x14ac:dyDescent="0.25">
      <c r="B728" t="s">
        <v>510</v>
      </c>
      <c r="C728" s="3">
        <v>43540</v>
      </c>
      <c r="D728" t="s">
        <v>669</v>
      </c>
      <c r="E728" s="5">
        <v>5.09</v>
      </c>
      <c r="F728" t="s">
        <v>19</v>
      </c>
    </row>
    <row r="729" spans="2:7" x14ac:dyDescent="0.25">
      <c r="B729" t="s">
        <v>510</v>
      </c>
      <c r="C729" s="3">
        <v>43539</v>
      </c>
      <c r="D729" t="s">
        <v>837</v>
      </c>
      <c r="E729" s="5">
        <v>11.84</v>
      </c>
      <c r="F729" t="s">
        <v>17</v>
      </c>
    </row>
    <row r="730" spans="2:7" x14ac:dyDescent="0.25">
      <c r="B730" t="s">
        <v>510</v>
      </c>
      <c r="C730" s="3">
        <v>43539</v>
      </c>
      <c r="D730" t="s">
        <v>838</v>
      </c>
      <c r="E730" s="5">
        <v>23.52</v>
      </c>
      <c r="F730" t="s">
        <v>15</v>
      </c>
    </row>
    <row r="731" spans="2:7" x14ac:dyDescent="0.25">
      <c r="B731" t="s">
        <v>510</v>
      </c>
      <c r="C731" s="3">
        <v>43539</v>
      </c>
      <c r="D731" t="s">
        <v>809</v>
      </c>
      <c r="E731" s="5">
        <v>13.97</v>
      </c>
      <c r="F731" t="s">
        <v>21</v>
      </c>
    </row>
    <row r="732" spans="2:7" x14ac:dyDescent="0.25">
      <c r="B732" t="s">
        <v>510</v>
      </c>
      <c r="C732" s="3">
        <v>43539</v>
      </c>
      <c r="D732" t="s">
        <v>717</v>
      </c>
      <c r="E732" s="5">
        <v>12.84</v>
      </c>
      <c r="F732" t="s">
        <v>17</v>
      </c>
    </row>
    <row r="733" spans="2:7" x14ac:dyDescent="0.25">
      <c r="B733" t="s">
        <v>510</v>
      </c>
      <c r="C733" s="3">
        <v>43538</v>
      </c>
      <c r="D733" t="s">
        <v>810</v>
      </c>
      <c r="E733" s="5">
        <v>3.89</v>
      </c>
      <c r="F733" t="s">
        <v>15</v>
      </c>
    </row>
    <row r="734" spans="2:7" x14ac:dyDescent="0.25">
      <c r="B734" t="s">
        <v>510</v>
      </c>
      <c r="C734" s="3">
        <v>43537</v>
      </c>
      <c r="D734" t="s">
        <v>811</v>
      </c>
      <c r="E734" s="5">
        <v>8.5399999999999991</v>
      </c>
      <c r="F734" t="s">
        <v>17</v>
      </c>
    </row>
    <row r="735" spans="2:7" x14ac:dyDescent="0.25">
      <c r="B735" t="s">
        <v>510</v>
      </c>
      <c r="C735" s="3">
        <v>43537</v>
      </c>
      <c r="D735" t="s">
        <v>812</v>
      </c>
      <c r="E735" s="5">
        <v>9.5299999999999994</v>
      </c>
      <c r="F735" t="s">
        <v>15</v>
      </c>
    </row>
    <row r="736" spans="2:7" x14ac:dyDescent="0.25">
      <c r="B736" t="s">
        <v>510</v>
      </c>
      <c r="C736" s="3">
        <v>43537</v>
      </c>
      <c r="D736" t="s">
        <v>813</v>
      </c>
      <c r="E736" s="5">
        <v>45.58</v>
      </c>
      <c r="F736" t="s">
        <v>15</v>
      </c>
    </row>
    <row r="737" spans="2:6" x14ac:dyDescent="0.25">
      <c r="B737" t="s">
        <v>510</v>
      </c>
      <c r="C737" s="3">
        <v>43537</v>
      </c>
      <c r="D737" t="s">
        <v>814</v>
      </c>
      <c r="E737" s="5">
        <v>18.18</v>
      </c>
      <c r="F737" t="s">
        <v>754</v>
      </c>
    </row>
    <row r="738" spans="2:6" x14ac:dyDescent="0.25">
      <c r="B738" t="s">
        <v>510</v>
      </c>
      <c r="C738" s="3">
        <v>43537</v>
      </c>
      <c r="D738" t="s">
        <v>815</v>
      </c>
      <c r="E738" s="5">
        <v>27.7</v>
      </c>
      <c r="F738" t="s">
        <v>15</v>
      </c>
    </row>
    <row r="739" spans="2:6" x14ac:dyDescent="0.25">
      <c r="B739" t="s">
        <v>510</v>
      </c>
      <c r="C739" s="3">
        <v>43536</v>
      </c>
      <c r="D739" t="s">
        <v>816</v>
      </c>
      <c r="E739" s="5">
        <v>3.2</v>
      </c>
      <c r="F739" t="s">
        <v>17</v>
      </c>
    </row>
    <row r="740" spans="2:6" x14ac:dyDescent="0.25">
      <c r="B740" t="s">
        <v>510</v>
      </c>
      <c r="C740" s="3">
        <v>43536</v>
      </c>
      <c r="D740" t="s">
        <v>817</v>
      </c>
      <c r="E740" s="5">
        <v>5.09</v>
      </c>
      <c r="F740" t="s">
        <v>19</v>
      </c>
    </row>
    <row r="741" spans="2:6" x14ac:dyDescent="0.25">
      <c r="B741" t="s">
        <v>510</v>
      </c>
      <c r="C741" s="3">
        <v>43536</v>
      </c>
      <c r="D741" t="s">
        <v>818</v>
      </c>
      <c r="E741" s="5">
        <v>130.27000000000001</v>
      </c>
      <c r="F741" t="s">
        <v>676</v>
      </c>
    </row>
    <row r="742" spans="2:6" x14ac:dyDescent="0.25">
      <c r="B742" t="s">
        <v>510</v>
      </c>
      <c r="C742" s="3">
        <v>43536</v>
      </c>
      <c r="D742" t="s">
        <v>819</v>
      </c>
      <c r="E742" s="5">
        <v>10</v>
      </c>
      <c r="F742" t="s">
        <v>20</v>
      </c>
    </row>
    <row r="743" spans="2:6" x14ac:dyDescent="0.25">
      <c r="B743" t="s">
        <v>510</v>
      </c>
      <c r="C743" s="3">
        <v>43535</v>
      </c>
      <c r="D743" t="s">
        <v>820</v>
      </c>
      <c r="E743" s="5">
        <v>12.36</v>
      </c>
      <c r="F743" t="s">
        <v>15</v>
      </c>
    </row>
    <row r="744" spans="2:6" x14ac:dyDescent="0.25">
      <c r="B744" t="s">
        <v>510</v>
      </c>
      <c r="C744" s="3">
        <v>43535</v>
      </c>
      <c r="D744" t="s">
        <v>821</v>
      </c>
      <c r="E744" s="5">
        <v>6.96</v>
      </c>
      <c r="F744" t="s">
        <v>19</v>
      </c>
    </row>
    <row r="745" spans="2:6" x14ac:dyDescent="0.25">
      <c r="B745" t="s">
        <v>510</v>
      </c>
      <c r="C745" s="3">
        <v>43535</v>
      </c>
      <c r="D745" t="s">
        <v>822</v>
      </c>
      <c r="E745" s="5">
        <v>29.55</v>
      </c>
      <c r="F745" t="s">
        <v>16</v>
      </c>
    </row>
    <row r="746" spans="2:6" x14ac:dyDescent="0.25">
      <c r="B746" t="s">
        <v>510</v>
      </c>
      <c r="C746" s="3">
        <v>43535</v>
      </c>
      <c r="D746" t="s">
        <v>823</v>
      </c>
      <c r="E746" s="5">
        <v>23.5</v>
      </c>
      <c r="F746" t="s">
        <v>17</v>
      </c>
    </row>
    <row r="747" spans="2:6" x14ac:dyDescent="0.25">
      <c r="B747" t="s">
        <v>510</v>
      </c>
      <c r="C747" s="3">
        <v>43535</v>
      </c>
      <c r="D747" t="s">
        <v>824</v>
      </c>
      <c r="E747" s="5">
        <v>13.9</v>
      </c>
      <c r="F747" t="s">
        <v>21</v>
      </c>
    </row>
    <row r="748" spans="2:6" x14ac:dyDescent="0.25">
      <c r="B748" t="s">
        <v>510</v>
      </c>
      <c r="C748" s="3">
        <v>43535</v>
      </c>
      <c r="D748" t="s">
        <v>825</v>
      </c>
      <c r="E748" s="5">
        <v>8.23</v>
      </c>
      <c r="F748" t="s">
        <v>21</v>
      </c>
    </row>
    <row r="749" spans="2:6" x14ac:dyDescent="0.25">
      <c r="B749" t="s">
        <v>510</v>
      </c>
      <c r="C749" s="3">
        <v>43535</v>
      </c>
      <c r="D749" t="s">
        <v>826</v>
      </c>
      <c r="E749" s="5">
        <v>33.49</v>
      </c>
      <c r="F749" t="s">
        <v>20</v>
      </c>
    </row>
    <row r="750" spans="2:6" x14ac:dyDescent="0.25">
      <c r="B750" t="s">
        <v>510</v>
      </c>
      <c r="C750" s="3">
        <v>43535</v>
      </c>
      <c r="D750" t="s">
        <v>827</v>
      </c>
      <c r="E750" s="5">
        <v>30.01</v>
      </c>
      <c r="F750" t="s">
        <v>736</v>
      </c>
    </row>
    <row r="751" spans="2:6" x14ac:dyDescent="0.25">
      <c r="B751" t="s">
        <v>510</v>
      </c>
      <c r="C751" s="3">
        <v>43535</v>
      </c>
      <c r="D751" t="s">
        <v>828</v>
      </c>
      <c r="E751" s="5">
        <v>5.2</v>
      </c>
      <c r="F751" t="s">
        <v>15</v>
      </c>
    </row>
    <row r="752" spans="2:6" x14ac:dyDescent="0.25">
      <c r="B752" t="s">
        <v>510</v>
      </c>
      <c r="C752" s="3">
        <v>43535</v>
      </c>
      <c r="D752" t="s">
        <v>829</v>
      </c>
      <c r="E752" s="5">
        <v>17.84</v>
      </c>
      <c r="F752" t="s">
        <v>17</v>
      </c>
    </row>
    <row r="753" spans="2:6" x14ac:dyDescent="0.25">
      <c r="B753" t="s">
        <v>510</v>
      </c>
      <c r="C753" s="3">
        <v>43535</v>
      </c>
      <c r="D753" t="s">
        <v>830</v>
      </c>
      <c r="E753" s="5">
        <v>10</v>
      </c>
      <c r="F753" t="s">
        <v>20</v>
      </c>
    </row>
    <row r="754" spans="2:6" x14ac:dyDescent="0.25">
      <c r="B754" t="s">
        <v>510</v>
      </c>
      <c r="C754" s="3">
        <v>43535</v>
      </c>
      <c r="D754" t="s">
        <v>831</v>
      </c>
      <c r="E754" s="5">
        <v>8.3699999999999992</v>
      </c>
      <c r="F754" t="s">
        <v>15</v>
      </c>
    </row>
    <row r="755" spans="2:6" x14ac:dyDescent="0.25">
      <c r="B755" t="s">
        <v>510</v>
      </c>
      <c r="C755" s="3">
        <v>43535</v>
      </c>
      <c r="D755" t="s">
        <v>832</v>
      </c>
      <c r="E755" s="5">
        <v>14.57</v>
      </c>
      <c r="F755" t="s">
        <v>21</v>
      </c>
    </row>
    <row r="756" spans="2:6" x14ac:dyDescent="0.25">
      <c r="B756" t="s">
        <v>510</v>
      </c>
      <c r="C756" s="3">
        <v>43535</v>
      </c>
      <c r="D756" t="s">
        <v>833</v>
      </c>
      <c r="E756" s="5">
        <v>30.22</v>
      </c>
      <c r="F756" t="s">
        <v>16</v>
      </c>
    </row>
    <row r="757" spans="2:6" x14ac:dyDescent="0.25">
      <c r="B757" t="s">
        <v>510</v>
      </c>
      <c r="C757" s="3">
        <v>43535</v>
      </c>
      <c r="D757" t="s">
        <v>834</v>
      </c>
      <c r="E757" s="5">
        <v>60</v>
      </c>
      <c r="F757" t="s">
        <v>202</v>
      </c>
    </row>
    <row r="758" spans="2:6" x14ac:dyDescent="0.25">
      <c r="B758" t="s">
        <v>510</v>
      </c>
      <c r="C758" s="3">
        <v>43535</v>
      </c>
      <c r="D758" t="s">
        <v>835</v>
      </c>
      <c r="E758" s="5">
        <v>16.46</v>
      </c>
      <c r="F758" t="s">
        <v>21</v>
      </c>
    </row>
    <row r="759" spans="2:6" x14ac:dyDescent="0.25">
      <c r="B759" t="s">
        <v>510</v>
      </c>
      <c r="C759" s="3">
        <v>43535</v>
      </c>
      <c r="D759" t="s">
        <v>836</v>
      </c>
      <c r="E759" s="5">
        <v>15.7</v>
      </c>
      <c r="F759" t="s">
        <v>17</v>
      </c>
    </row>
    <row r="760" spans="2:6" x14ac:dyDescent="0.25">
      <c r="B760" t="s">
        <v>510</v>
      </c>
      <c r="C760" s="3">
        <v>43532</v>
      </c>
      <c r="D760" t="s">
        <v>806</v>
      </c>
      <c r="E760" s="5">
        <v>23</v>
      </c>
      <c r="F760" t="s">
        <v>198</v>
      </c>
    </row>
    <row r="761" spans="2:6" x14ac:dyDescent="0.25">
      <c r="B761" t="s">
        <v>510</v>
      </c>
      <c r="C761" s="3">
        <v>43532</v>
      </c>
      <c r="D761" t="s">
        <v>275</v>
      </c>
      <c r="E761" s="5">
        <v>5.99</v>
      </c>
      <c r="F761" t="s">
        <v>17</v>
      </c>
    </row>
    <row r="762" spans="2:6" x14ac:dyDescent="0.25">
      <c r="B762" t="s">
        <v>510</v>
      </c>
      <c r="C762" s="3">
        <v>43532</v>
      </c>
      <c r="D762" t="s">
        <v>717</v>
      </c>
      <c r="E762" s="5">
        <f>5+5.35</f>
        <v>10.35</v>
      </c>
      <c r="F762" t="s">
        <v>17</v>
      </c>
    </row>
    <row r="763" spans="2:6" x14ac:dyDescent="0.25">
      <c r="B763" t="s">
        <v>510</v>
      </c>
      <c r="C763" s="3">
        <v>43532</v>
      </c>
      <c r="D763" t="s">
        <v>705</v>
      </c>
      <c r="E763" s="5">
        <v>10.7</v>
      </c>
      <c r="F763" t="s">
        <v>17</v>
      </c>
    </row>
    <row r="764" spans="2:6" x14ac:dyDescent="0.25">
      <c r="B764" t="s">
        <v>510</v>
      </c>
      <c r="C764" s="3">
        <v>43531</v>
      </c>
      <c r="D764" t="s">
        <v>807</v>
      </c>
      <c r="E764" s="5">
        <v>15.85</v>
      </c>
      <c r="F764" t="s">
        <v>15</v>
      </c>
    </row>
    <row r="765" spans="2:6" x14ac:dyDescent="0.25">
      <c r="B765" t="s">
        <v>510</v>
      </c>
      <c r="C765" s="3">
        <v>43531</v>
      </c>
      <c r="D765" t="s">
        <v>808</v>
      </c>
      <c r="E765" s="5">
        <v>6.42</v>
      </c>
      <c r="F765" t="s">
        <v>17</v>
      </c>
    </row>
    <row r="766" spans="2:6" x14ac:dyDescent="0.25">
      <c r="B766" t="s">
        <v>510</v>
      </c>
      <c r="C766" s="3">
        <v>43531</v>
      </c>
      <c r="D766" t="s">
        <v>802</v>
      </c>
      <c r="E766" s="5">
        <v>59.99</v>
      </c>
      <c r="F766" t="s">
        <v>20</v>
      </c>
    </row>
    <row r="767" spans="2:6" x14ac:dyDescent="0.25">
      <c r="B767" t="s">
        <v>510</v>
      </c>
      <c r="C767" s="3">
        <v>43531</v>
      </c>
      <c r="D767" t="s">
        <v>803</v>
      </c>
      <c r="E767" s="5">
        <v>21.39</v>
      </c>
      <c r="F767" t="s">
        <v>754</v>
      </c>
    </row>
    <row r="768" spans="2:6" x14ac:dyDescent="0.25">
      <c r="B768" t="s">
        <v>510</v>
      </c>
      <c r="C768" s="3">
        <v>43531</v>
      </c>
      <c r="D768" t="s">
        <v>632</v>
      </c>
      <c r="E768" s="5">
        <v>16.46</v>
      </c>
      <c r="F768" t="s">
        <v>21</v>
      </c>
    </row>
    <row r="769" spans="2:6" x14ac:dyDescent="0.25">
      <c r="B769" t="s">
        <v>510</v>
      </c>
      <c r="C769" s="3">
        <v>43531</v>
      </c>
      <c r="D769" t="s">
        <v>717</v>
      </c>
      <c r="E769" s="5">
        <f>5.35+5</f>
        <v>10.35</v>
      </c>
      <c r="F769" t="s">
        <v>17</v>
      </c>
    </row>
    <row r="770" spans="2:6" x14ac:dyDescent="0.25">
      <c r="B770" t="s">
        <v>510</v>
      </c>
      <c r="C770" s="3">
        <v>43531</v>
      </c>
      <c r="D770" t="s">
        <v>669</v>
      </c>
      <c r="E770" s="5">
        <v>5.09</v>
      </c>
      <c r="F770" t="s">
        <v>19</v>
      </c>
    </row>
    <row r="771" spans="2:6" x14ac:dyDescent="0.25">
      <c r="B771" t="s">
        <v>510</v>
      </c>
      <c r="C771" s="3">
        <v>43530</v>
      </c>
      <c r="D771" t="s">
        <v>804</v>
      </c>
      <c r="E771" s="5">
        <v>33.15</v>
      </c>
      <c r="F771" t="s">
        <v>15</v>
      </c>
    </row>
    <row r="772" spans="2:6" x14ac:dyDescent="0.25">
      <c r="B772" t="s">
        <v>510</v>
      </c>
      <c r="C772" s="3">
        <v>43530</v>
      </c>
      <c r="D772" t="s">
        <v>805</v>
      </c>
      <c r="E772" s="5">
        <v>20.05</v>
      </c>
      <c r="F772" t="s">
        <v>16</v>
      </c>
    </row>
    <row r="773" spans="2:6" x14ac:dyDescent="0.25">
      <c r="B773" t="s">
        <v>510</v>
      </c>
      <c r="C773" s="3">
        <v>43530</v>
      </c>
      <c r="D773" t="s">
        <v>629</v>
      </c>
      <c r="E773" s="5">
        <v>41.6</v>
      </c>
      <c r="F773" t="s">
        <v>329</v>
      </c>
    </row>
    <row r="774" spans="2:6" x14ac:dyDescent="0.25">
      <c r="B774" t="s">
        <v>510</v>
      </c>
      <c r="C774" s="3">
        <v>43529</v>
      </c>
      <c r="D774" t="s">
        <v>364</v>
      </c>
      <c r="E774" s="5">
        <v>299</v>
      </c>
      <c r="F774" t="s">
        <v>8</v>
      </c>
    </row>
    <row r="775" spans="2:6" x14ac:dyDescent="0.25">
      <c r="B775" t="s">
        <v>510</v>
      </c>
      <c r="C775" s="3">
        <v>43528</v>
      </c>
      <c r="D775" t="s">
        <v>377</v>
      </c>
      <c r="E775" s="5">
        <v>832.24</v>
      </c>
      <c r="F775" t="s">
        <v>11</v>
      </c>
    </row>
    <row r="776" spans="2:6" x14ac:dyDescent="0.25">
      <c r="B776" t="s">
        <v>510</v>
      </c>
      <c r="C776" s="3">
        <v>43528</v>
      </c>
      <c r="D776" t="s">
        <v>800</v>
      </c>
      <c r="E776" s="5">
        <f>38.73-20</f>
        <v>18.729999999999997</v>
      </c>
      <c r="F776" t="s">
        <v>15</v>
      </c>
    </row>
    <row r="777" spans="2:6" x14ac:dyDescent="0.25">
      <c r="B777" t="s">
        <v>510</v>
      </c>
      <c r="C777" s="3">
        <v>43528</v>
      </c>
      <c r="D777" t="s">
        <v>800</v>
      </c>
      <c r="E777" s="5">
        <f>38.73-18.73</f>
        <v>19.999999999999996</v>
      </c>
      <c r="F777" t="s">
        <v>202</v>
      </c>
    </row>
    <row r="778" spans="2:6" x14ac:dyDescent="0.25">
      <c r="B778" t="s">
        <v>510</v>
      </c>
      <c r="C778" s="3">
        <v>43528</v>
      </c>
      <c r="D778" t="s">
        <v>801</v>
      </c>
      <c r="E778" s="5">
        <v>8.85</v>
      </c>
      <c r="F778" t="s">
        <v>15</v>
      </c>
    </row>
    <row r="779" spans="2:6" x14ac:dyDescent="0.25">
      <c r="B779" t="s">
        <v>510</v>
      </c>
      <c r="C779" s="3">
        <v>43528</v>
      </c>
      <c r="D779" t="s">
        <v>776</v>
      </c>
      <c r="E779" s="5">
        <v>77.97</v>
      </c>
      <c r="F779" t="s">
        <v>20</v>
      </c>
    </row>
    <row r="780" spans="2:6" x14ac:dyDescent="0.25">
      <c r="B780" t="s">
        <v>510</v>
      </c>
      <c r="C780" s="3">
        <v>43528</v>
      </c>
      <c r="D780" t="s">
        <v>705</v>
      </c>
      <c r="E780" s="5">
        <v>10.42</v>
      </c>
      <c r="F780" t="s">
        <v>17</v>
      </c>
    </row>
    <row r="781" spans="2:6" x14ac:dyDescent="0.25">
      <c r="B781" t="s">
        <v>510</v>
      </c>
      <c r="C781" s="3">
        <v>43528</v>
      </c>
      <c r="D781" t="s">
        <v>43</v>
      </c>
      <c r="E781" s="5">
        <v>4.2300000000000004</v>
      </c>
      <c r="F781" t="s">
        <v>19</v>
      </c>
    </row>
    <row r="782" spans="2:6" x14ac:dyDescent="0.25">
      <c r="B782" t="s">
        <v>510</v>
      </c>
      <c r="C782" s="3">
        <v>43528</v>
      </c>
      <c r="D782" t="s">
        <v>777</v>
      </c>
      <c r="E782" s="5">
        <v>869.88</v>
      </c>
      <c r="F782" t="s">
        <v>754</v>
      </c>
    </row>
    <row r="783" spans="2:6" x14ac:dyDescent="0.25">
      <c r="B783" t="s">
        <v>510</v>
      </c>
      <c r="C783" s="3">
        <v>43528</v>
      </c>
      <c r="D783" t="s">
        <v>43</v>
      </c>
      <c r="E783" s="5">
        <v>17.11</v>
      </c>
      <c r="F783" t="s">
        <v>754</v>
      </c>
    </row>
    <row r="784" spans="2:6" x14ac:dyDescent="0.25">
      <c r="B784" t="s">
        <v>510</v>
      </c>
      <c r="C784" s="3">
        <v>43528</v>
      </c>
      <c r="D784" t="s">
        <v>43</v>
      </c>
      <c r="E784" s="5">
        <v>2.41</v>
      </c>
      <c r="F784" t="s">
        <v>19</v>
      </c>
    </row>
    <row r="785" spans="2:6" x14ac:dyDescent="0.25">
      <c r="B785" t="s">
        <v>510</v>
      </c>
      <c r="C785" s="3">
        <v>43528</v>
      </c>
      <c r="D785" t="s">
        <v>621</v>
      </c>
      <c r="E785" s="5">
        <v>23.02</v>
      </c>
      <c r="F785" t="s">
        <v>15</v>
      </c>
    </row>
    <row r="786" spans="2:6" x14ac:dyDescent="0.25">
      <c r="B786" t="s">
        <v>510</v>
      </c>
      <c r="C786" s="3">
        <v>43528</v>
      </c>
      <c r="D786" t="s">
        <v>43</v>
      </c>
      <c r="E786" s="5">
        <v>5.94</v>
      </c>
      <c r="F786" t="s">
        <v>19</v>
      </c>
    </row>
    <row r="787" spans="2:6" x14ac:dyDescent="0.25">
      <c r="B787" t="s">
        <v>510</v>
      </c>
      <c r="C787" s="3">
        <v>43528</v>
      </c>
      <c r="D787" t="s">
        <v>707</v>
      </c>
      <c r="E787" s="5">
        <v>87.82</v>
      </c>
      <c r="F787" t="s">
        <v>507</v>
      </c>
    </row>
    <row r="788" spans="2:6" x14ac:dyDescent="0.25">
      <c r="B788" t="s">
        <v>510</v>
      </c>
      <c r="C788" s="3">
        <v>43528</v>
      </c>
      <c r="D788" t="s">
        <v>257</v>
      </c>
      <c r="E788" s="5">
        <v>6.06</v>
      </c>
      <c r="F788" t="s">
        <v>15</v>
      </c>
    </row>
    <row r="789" spans="2:6" x14ac:dyDescent="0.25">
      <c r="B789" t="s">
        <v>510</v>
      </c>
      <c r="C789" s="3">
        <v>43528</v>
      </c>
      <c r="D789" t="s">
        <v>608</v>
      </c>
      <c r="E789" s="5">
        <v>65</v>
      </c>
      <c r="F789" t="s">
        <v>506</v>
      </c>
    </row>
    <row r="790" spans="2:6" x14ac:dyDescent="0.25">
      <c r="B790" t="s">
        <v>510</v>
      </c>
      <c r="C790" s="3">
        <v>43528</v>
      </c>
      <c r="D790" t="s">
        <v>626</v>
      </c>
      <c r="E790" s="5">
        <v>13.9</v>
      </c>
      <c r="F790" t="s">
        <v>20</v>
      </c>
    </row>
    <row r="791" spans="2:6" x14ac:dyDescent="0.25">
      <c r="B791" t="s">
        <v>510</v>
      </c>
      <c r="C791" s="3">
        <v>43528</v>
      </c>
      <c r="D791" t="s">
        <v>708</v>
      </c>
      <c r="E791" s="5">
        <v>14.12</v>
      </c>
      <c r="F791" t="s">
        <v>334</v>
      </c>
    </row>
    <row r="792" spans="2:6" x14ac:dyDescent="0.25">
      <c r="B792" t="s">
        <v>510</v>
      </c>
      <c r="C792" s="3">
        <v>43526</v>
      </c>
      <c r="D792" t="s">
        <v>778</v>
      </c>
      <c r="E792" s="5">
        <v>29.17</v>
      </c>
      <c r="F792" t="s">
        <v>17</v>
      </c>
    </row>
    <row r="793" spans="2:6" x14ac:dyDescent="0.25">
      <c r="B793" t="s">
        <v>510</v>
      </c>
      <c r="C793" s="3">
        <v>43526</v>
      </c>
      <c r="D793" t="s">
        <v>717</v>
      </c>
      <c r="E793" s="5">
        <v>19.52</v>
      </c>
      <c r="F793" t="s">
        <v>17</v>
      </c>
    </row>
    <row r="794" spans="2:6" x14ac:dyDescent="0.25">
      <c r="B794" t="s">
        <v>510</v>
      </c>
      <c r="C794" s="3">
        <v>43526</v>
      </c>
      <c r="D794" t="s">
        <v>779</v>
      </c>
      <c r="E794" s="5">
        <v>5.3</v>
      </c>
      <c r="F794" t="s">
        <v>21</v>
      </c>
    </row>
    <row r="795" spans="2:6" x14ac:dyDescent="0.25">
      <c r="B795" t="s">
        <v>510</v>
      </c>
      <c r="C795" s="3">
        <v>43526</v>
      </c>
      <c r="D795" t="s">
        <v>669</v>
      </c>
      <c r="E795" s="5">
        <v>5.09</v>
      </c>
      <c r="F795" t="s">
        <v>19</v>
      </c>
    </row>
    <row r="796" spans="2:6" x14ac:dyDescent="0.25">
      <c r="B796" t="s">
        <v>510</v>
      </c>
      <c r="C796" s="3">
        <v>43525</v>
      </c>
      <c r="D796" t="s">
        <v>780</v>
      </c>
      <c r="E796" s="5">
        <v>21.39</v>
      </c>
      <c r="F796" t="s">
        <v>138</v>
      </c>
    </row>
    <row r="797" spans="2:6" x14ac:dyDescent="0.25">
      <c r="B797" t="s">
        <v>509</v>
      </c>
      <c r="C797" s="3">
        <v>43525</v>
      </c>
      <c r="D797" t="s">
        <v>106</v>
      </c>
      <c r="E797" s="5">
        <v>437.54</v>
      </c>
      <c r="F797" t="s">
        <v>192</v>
      </c>
    </row>
    <row r="798" spans="2:6" x14ac:dyDescent="0.25">
      <c r="B798" t="s">
        <v>510</v>
      </c>
      <c r="C798" s="3">
        <v>43525</v>
      </c>
      <c r="D798" t="s">
        <v>781</v>
      </c>
      <c r="E798" s="5">
        <v>50</v>
      </c>
      <c r="F798" t="s">
        <v>21</v>
      </c>
    </row>
    <row r="799" spans="2:6" x14ac:dyDescent="0.25">
      <c r="B799" t="s">
        <v>510</v>
      </c>
      <c r="C799" s="3">
        <v>43525</v>
      </c>
      <c r="D799" t="s">
        <v>782</v>
      </c>
      <c r="E799" s="5">
        <v>2.25</v>
      </c>
      <c r="F799" t="s">
        <v>20</v>
      </c>
    </row>
    <row r="800" spans="2:6" x14ac:dyDescent="0.25">
      <c r="B800" t="s">
        <v>510</v>
      </c>
      <c r="C800" s="3">
        <v>43525</v>
      </c>
      <c r="D800" t="s">
        <v>783</v>
      </c>
      <c r="E800" s="5">
        <v>5.73</v>
      </c>
      <c r="F800" t="s">
        <v>19</v>
      </c>
    </row>
    <row r="801" spans="2:6" x14ac:dyDescent="0.25">
      <c r="B801" t="s">
        <v>510</v>
      </c>
      <c r="C801" s="3">
        <v>43525</v>
      </c>
      <c r="D801" t="s">
        <v>784</v>
      </c>
      <c r="E801" s="5">
        <v>40.520000000000003</v>
      </c>
      <c r="F801" t="s">
        <v>17</v>
      </c>
    </row>
    <row r="802" spans="2:6" x14ac:dyDescent="0.25">
      <c r="B802" t="s">
        <v>509</v>
      </c>
      <c r="C802" s="3">
        <v>43524</v>
      </c>
      <c r="D802" t="s">
        <v>104</v>
      </c>
      <c r="E802" s="5">
        <v>-0.02</v>
      </c>
      <c r="F802" t="s">
        <v>20</v>
      </c>
    </row>
    <row r="803" spans="2:6" x14ac:dyDescent="0.25">
      <c r="B803" t="s">
        <v>509</v>
      </c>
      <c r="C803" s="3">
        <v>43524</v>
      </c>
      <c r="D803" t="s">
        <v>785</v>
      </c>
      <c r="E803" s="5">
        <v>30.01</v>
      </c>
      <c r="F803" t="s">
        <v>16</v>
      </c>
    </row>
    <row r="804" spans="2:6" x14ac:dyDescent="0.25">
      <c r="B804" t="s">
        <v>509</v>
      </c>
      <c r="C804" s="3">
        <v>43524</v>
      </c>
      <c r="D804" t="s">
        <v>786</v>
      </c>
      <c r="E804" s="5">
        <v>10.88</v>
      </c>
      <c r="F804" t="s">
        <v>20</v>
      </c>
    </row>
    <row r="805" spans="2:6" x14ac:dyDescent="0.25">
      <c r="B805" t="s">
        <v>509</v>
      </c>
      <c r="C805" s="3">
        <v>43524</v>
      </c>
      <c r="D805" t="s">
        <v>787</v>
      </c>
      <c r="E805" s="5">
        <v>8.56</v>
      </c>
      <c r="F805" t="s">
        <v>17</v>
      </c>
    </row>
    <row r="806" spans="2:6" x14ac:dyDescent="0.25">
      <c r="B806" t="s">
        <v>509</v>
      </c>
      <c r="C806" s="3">
        <v>43524</v>
      </c>
      <c r="D806" t="s">
        <v>788</v>
      </c>
      <c r="E806" s="5">
        <v>29.95</v>
      </c>
      <c r="F806" t="s">
        <v>20</v>
      </c>
    </row>
    <row r="807" spans="2:6" x14ac:dyDescent="0.25">
      <c r="B807" t="s">
        <v>509</v>
      </c>
      <c r="C807" s="3">
        <v>43524</v>
      </c>
      <c r="D807" t="s">
        <v>789</v>
      </c>
      <c r="E807" s="5">
        <v>5.55</v>
      </c>
      <c r="F807" t="s">
        <v>21</v>
      </c>
    </row>
    <row r="808" spans="2:6" x14ac:dyDescent="0.25">
      <c r="B808" t="s">
        <v>509</v>
      </c>
      <c r="C808" s="3">
        <v>43524</v>
      </c>
      <c r="D808" t="s">
        <v>789</v>
      </c>
      <c r="E808" s="5">
        <v>8.01</v>
      </c>
      <c r="F808" t="s">
        <v>21</v>
      </c>
    </row>
    <row r="809" spans="2:6" x14ac:dyDescent="0.25">
      <c r="B809" t="s">
        <v>509</v>
      </c>
      <c r="C809" s="3">
        <v>43524</v>
      </c>
      <c r="D809" t="s">
        <v>790</v>
      </c>
      <c r="E809" s="5">
        <v>31.17</v>
      </c>
      <c r="F809" t="s">
        <v>195</v>
      </c>
    </row>
    <row r="810" spans="2:6" x14ac:dyDescent="0.25">
      <c r="B810" t="s">
        <v>509</v>
      </c>
      <c r="C810" s="3">
        <v>43524</v>
      </c>
      <c r="D810" t="s">
        <v>791</v>
      </c>
      <c r="E810" s="5">
        <v>5.73</v>
      </c>
      <c r="F810" t="s">
        <v>19</v>
      </c>
    </row>
    <row r="811" spans="2:6" x14ac:dyDescent="0.25">
      <c r="B811" t="s">
        <v>509</v>
      </c>
      <c r="C811" s="3">
        <v>43524</v>
      </c>
      <c r="D811" t="s">
        <v>792</v>
      </c>
      <c r="E811" s="5">
        <v>31.82</v>
      </c>
      <c r="F811" t="s">
        <v>736</v>
      </c>
    </row>
    <row r="812" spans="2:6" x14ac:dyDescent="0.25">
      <c r="B812" t="s">
        <v>509</v>
      </c>
      <c r="C812" s="3">
        <v>43523</v>
      </c>
      <c r="D812" t="s">
        <v>793</v>
      </c>
      <c r="E812" s="5">
        <v>22.26</v>
      </c>
      <c r="F812" t="s">
        <v>17</v>
      </c>
    </row>
    <row r="813" spans="2:6" x14ac:dyDescent="0.25">
      <c r="B813" t="s">
        <v>509</v>
      </c>
      <c r="C813" s="3">
        <v>43522</v>
      </c>
      <c r="D813" t="s">
        <v>794</v>
      </c>
      <c r="E813" s="5">
        <v>42.79</v>
      </c>
      <c r="F813" t="s">
        <v>138</v>
      </c>
    </row>
    <row r="814" spans="2:6" x14ac:dyDescent="0.25">
      <c r="B814" t="s">
        <v>509</v>
      </c>
      <c r="C814" s="3">
        <v>43522</v>
      </c>
      <c r="D814" t="s">
        <v>795</v>
      </c>
      <c r="E814" s="5">
        <v>15.78</v>
      </c>
      <c r="F814" t="s">
        <v>15</v>
      </c>
    </row>
    <row r="815" spans="2:6" x14ac:dyDescent="0.25">
      <c r="B815" t="s">
        <v>509</v>
      </c>
      <c r="C815" s="3">
        <v>43522</v>
      </c>
      <c r="D815" t="s">
        <v>796</v>
      </c>
      <c r="E815" s="5">
        <v>9.9499999999999993</v>
      </c>
      <c r="F815" t="s">
        <v>20</v>
      </c>
    </row>
    <row r="816" spans="2:6" x14ac:dyDescent="0.25">
      <c r="B816" t="s">
        <v>509</v>
      </c>
      <c r="C816" s="3">
        <v>43522</v>
      </c>
      <c r="D816" t="s">
        <v>797</v>
      </c>
      <c r="E816" s="5">
        <v>22.66</v>
      </c>
      <c r="F816" t="s">
        <v>17</v>
      </c>
    </row>
    <row r="817" spans="2:7" x14ac:dyDescent="0.25">
      <c r="B817" t="s">
        <v>509</v>
      </c>
      <c r="C817" s="3">
        <v>43521</v>
      </c>
      <c r="D817" t="s">
        <v>798</v>
      </c>
      <c r="E817" s="5">
        <v>0.99</v>
      </c>
      <c r="F817" t="s">
        <v>754</v>
      </c>
    </row>
    <row r="818" spans="2:7" x14ac:dyDescent="0.25">
      <c r="B818" t="s">
        <v>509</v>
      </c>
      <c r="C818" s="3">
        <v>43521</v>
      </c>
      <c r="D818" t="s">
        <v>798</v>
      </c>
      <c r="E818" s="5">
        <v>2.99</v>
      </c>
      <c r="F818" t="s">
        <v>754</v>
      </c>
    </row>
    <row r="819" spans="2:7" x14ac:dyDescent="0.25">
      <c r="B819" t="s">
        <v>509</v>
      </c>
      <c r="C819" s="3">
        <v>43521</v>
      </c>
      <c r="D819" t="s">
        <v>799</v>
      </c>
      <c r="E819" s="5">
        <v>6.25</v>
      </c>
      <c r="F819" t="s">
        <v>15</v>
      </c>
    </row>
    <row r="820" spans="2:7" x14ac:dyDescent="0.25">
      <c r="B820" t="s">
        <v>509</v>
      </c>
      <c r="C820" s="3">
        <v>43521</v>
      </c>
      <c r="D820" t="s">
        <v>764</v>
      </c>
      <c r="E820" s="5">
        <v>80</v>
      </c>
      <c r="F820" t="s">
        <v>676</v>
      </c>
    </row>
    <row r="821" spans="2:7" x14ac:dyDescent="0.25">
      <c r="B821" t="s">
        <v>509</v>
      </c>
      <c r="C821" s="3">
        <v>43521</v>
      </c>
      <c r="D821" t="s">
        <v>765</v>
      </c>
      <c r="E821" s="5">
        <v>42.79</v>
      </c>
      <c r="F821" t="s">
        <v>138</v>
      </c>
    </row>
    <row r="822" spans="2:7" x14ac:dyDescent="0.25">
      <c r="B822" t="s">
        <v>509</v>
      </c>
      <c r="C822" s="3">
        <v>43521</v>
      </c>
      <c r="D822" t="s">
        <v>705</v>
      </c>
      <c r="E822" s="5">
        <v>17.66</v>
      </c>
      <c r="F822" t="s">
        <v>17</v>
      </c>
    </row>
    <row r="823" spans="2:7" x14ac:dyDescent="0.25">
      <c r="B823" t="s">
        <v>509</v>
      </c>
      <c r="C823" s="3">
        <v>43521</v>
      </c>
      <c r="D823" t="s">
        <v>621</v>
      </c>
      <c r="E823" s="5">
        <v>9.2899999999999991</v>
      </c>
      <c r="F823" t="s">
        <v>15</v>
      </c>
    </row>
    <row r="824" spans="2:7" x14ac:dyDescent="0.25">
      <c r="B824" t="s">
        <v>509</v>
      </c>
      <c r="C824" s="3">
        <v>43521</v>
      </c>
      <c r="D824" t="s">
        <v>766</v>
      </c>
      <c r="E824" s="5">
        <v>8.23</v>
      </c>
      <c r="F824" t="s">
        <v>19</v>
      </c>
    </row>
    <row r="825" spans="2:7" x14ac:dyDescent="0.25">
      <c r="B825" t="s">
        <v>509</v>
      </c>
      <c r="C825" s="3">
        <v>43521</v>
      </c>
      <c r="D825" t="s">
        <v>257</v>
      </c>
      <c r="E825" s="5">
        <v>32.33</v>
      </c>
      <c r="F825" t="s">
        <v>15</v>
      </c>
    </row>
    <row r="826" spans="2:7" x14ac:dyDescent="0.25">
      <c r="B826" t="s">
        <v>509</v>
      </c>
      <c r="C826" s="3">
        <v>43521</v>
      </c>
      <c r="D826" t="s">
        <v>767</v>
      </c>
      <c r="E826" s="5">
        <v>-18.75</v>
      </c>
      <c r="F826" t="s">
        <v>736</v>
      </c>
      <c r="G826" t="s">
        <v>736</v>
      </c>
    </row>
    <row r="827" spans="2:7" x14ac:dyDescent="0.25">
      <c r="B827" t="s">
        <v>509</v>
      </c>
      <c r="C827" s="3">
        <v>43521</v>
      </c>
      <c r="D827" t="s">
        <v>768</v>
      </c>
      <c r="E827" s="5">
        <v>160.37</v>
      </c>
      <c r="F827" t="s">
        <v>20</v>
      </c>
      <c r="G827" t="s">
        <v>775</v>
      </c>
    </row>
    <row r="828" spans="2:7" x14ac:dyDescent="0.25">
      <c r="B828" t="s">
        <v>509</v>
      </c>
      <c r="C828" s="3">
        <v>43521</v>
      </c>
      <c r="D828" t="s">
        <v>257</v>
      </c>
      <c r="E828" s="5">
        <v>7.22</v>
      </c>
      <c r="F828" t="s">
        <v>17</v>
      </c>
    </row>
    <row r="829" spans="2:7" x14ac:dyDescent="0.25">
      <c r="B829" t="s">
        <v>509</v>
      </c>
      <c r="C829" s="3">
        <v>43521</v>
      </c>
      <c r="D829" t="s">
        <v>738</v>
      </c>
      <c r="E829" s="5">
        <v>90</v>
      </c>
      <c r="F829" t="s">
        <v>676</v>
      </c>
    </row>
    <row r="830" spans="2:7" x14ac:dyDescent="0.25">
      <c r="B830" t="s">
        <v>509</v>
      </c>
      <c r="C830" s="3">
        <v>43521</v>
      </c>
      <c r="D830" t="s">
        <v>769</v>
      </c>
      <c r="E830" s="5">
        <v>39.06</v>
      </c>
      <c r="F830" t="s">
        <v>333</v>
      </c>
    </row>
    <row r="831" spans="2:7" x14ac:dyDescent="0.25">
      <c r="B831" t="s">
        <v>509</v>
      </c>
      <c r="C831" s="3">
        <v>43521</v>
      </c>
      <c r="D831" t="s">
        <v>705</v>
      </c>
      <c r="E831" s="5">
        <v>16.05</v>
      </c>
      <c r="F831" t="s">
        <v>17</v>
      </c>
    </row>
    <row r="832" spans="2:7" x14ac:dyDescent="0.25">
      <c r="B832" t="s">
        <v>509</v>
      </c>
      <c r="C832" s="3">
        <v>43521</v>
      </c>
      <c r="D832" t="s">
        <v>43</v>
      </c>
      <c r="E832" s="5">
        <v>2.2999999999999998</v>
      </c>
      <c r="F832" t="s">
        <v>19</v>
      </c>
    </row>
    <row r="833" spans="2:7" x14ac:dyDescent="0.25">
      <c r="B833" t="s">
        <v>509</v>
      </c>
      <c r="C833" s="3">
        <v>43521</v>
      </c>
      <c r="D833" t="s">
        <v>257</v>
      </c>
      <c r="E833" s="5">
        <v>11.26</v>
      </c>
      <c r="F833" t="s">
        <v>15</v>
      </c>
    </row>
    <row r="834" spans="2:7" x14ac:dyDescent="0.25">
      <c r="B834" t="s">
        <v>509</v>
      </c>
      <c r="C834" s="3">
        <v>43521</v>
      </c>
      <c r="D834" t="s">
        <v>770</v>
      </c>
      <c r="E834" s="5">
        <v>31.82</v>
      </c>
      <c r="F834" t="s">
        <v>736</v>
      </c>
      <c r="G834" t="s">
        <v>736</v>
      </c>
    </row>
    <row r="835" spans="2:7" x14ac:dyDescent="0.25">
      <c r="B835" t="s">
        <v>509</v>
      </c>
      <c r="C835" s="3">
        <v>43521</v>
      </c>
      <c r="D835" t="s">
        <v>771</v>
      </c>
      <c r="E835" s="5">
        <v>3.51</v>
      </c>
      <c r="F835" t="s">
        <v>20</v>
      </c>
    </row>
    <row r="836" spans="2:7" x14ac:dyDescent="0.25">
      <c r="B836" t="s">
        <v>509</v>
      </c>
      <c r="C836" s="3">
        <v>43521</v>
      </c>
      <c r="D836" t="s">
        <v>771</v>
      </c>
      <c r="E836" s="5">
        <v>15.33</v>
      </c>
      <c r="F836" t="s">
        <v>16</v>
      </c>
    </row>
    <row r="837" spans="2:7" x14ac:dyDescent="0.25">
      <c r="B837" t="s">
        <v>509</v>
      </c>
      <c r="C837" s="3">
        <v>43521</v>
      </c>
      <c r="D837" t="s">
        <v>772</v>
      </c>
      <c r="E837" s="5">
        <v>81.64</v>
      </c>
      <c r="F837" t="s">
        <v>736</v>
      </c>
      <c r="G837" t="s">
        <v>736</v>
      </c>
    </row>
    <row r="838" spans="2:7" x14ac:dyDescent="0.25">
      <c r="B838" t="s">
        <v>509</v>
      </c>
      <c r="C838" s="3">
        <v>43521</v>
      </c>
      <c r="D838" t="s">
        <v>714</v>
      </c>
      <c r="E838" s="5">
        <v>24</v>
      </c>
      <c r="F838" t="s">
        <v>198</v>
      </c>
    </row>
    <row r="839" spans="2:7" x14ac:dyDescent="0.25">
      <c r="B839" t="s">
        <v>509</v>
      </c>
      <c r="C839" s="3">
        <v>43521</v>
      </c>
      <c r="D839" t="s">
        <v>43</v>
      </c>
      <c r="E839" s="5">
        <v>17.11</v>
      </c>
      <c r="F839" t="s">
        <v>20</v>
      </c>
    </row>
    <row r="840" spans="2:7" x14ac:dyDescent="0.25">
      <c r="B840" t="s">
        <v>509</v>
      </c>
      <c r="C840" s="3">
        <v>43521</v>
      </c>
      <c r="D840" t="s">
        <v>43</v>
      </c>
      <c r="E840" s="5">
        <v>4.2300000000000004</v>
      </c>
      <c r="F840" t="s">
        <v>19</v>
      </c>
    </row>
    <row r="841" spans="2:7" x14ac:dyDescent="0.25">
      <c r="B841" t="s">
        <v>509</v>
      </c>
      <c r="C841" s="3">
        <v>43521</v>
      </c>
      <c r="D841" t="s">
        <v>773</v>
      </c>
      <c r="E841" s="5">
        <v>0.99</v>
      </c>
      <c r="F841" t="s">
        <v>754</v>
      </c>
    </row>
    <row r="842" spans="2:7" x14ac:dyDescent="0.25">
      <c r="B842" t="s">
        <v>509</v>
      </c>
      <c r="C842" s="3">
        <v>43521</v>
      </c>
      <c r="D842" t="s">
        <v>773</v>
      </c>
      <c r="E842" s="5">
        <v>2.99</v>
      </c>
      <c r="F842" t="s">
        <v>754</v>
      </c>
    </row>
    <row r="843" spans="2:7" x14ac:dyDescent="0.25">
      <c r="B843" t="s">
        <v>509</v>
      </c>
      <c r="C843" s="3">
        <v>43519</v>
      </c>
      <c r="D843" t="s">
        <v>669</v>
      </c>
      <c r="E843" s="5">
        <v>5.73</v>
      </c>
      <c r="F843" t="s">
        <v>19</v>
      </c>
    </row>
    <row r="844" spans="2:7" x14ac:dyDescent="0.25">
      <c r="B844" t="s">
        <v>509</v>
      </c>
      <c r="C844" s="3">
        <v>43518</v>
      </c>
      <c r="D844" t="s">
        <v>662</v>
      </c>
      <c r="E844" s="5">
        <v>150</v>
      </c>
      <c r="F844" t="s">
        <v>20</v>
      </c>
      <c r="G844" t="s">
        <v>631</v>
      </c>
    </row>
    <row r="845" spans="2:7" x14ac:dyDescent="0.25">
      <c r="B845" t="s">
        <v>509</v>
      </c>
      <c r="C845" s="3">
        <v>43518</v>
      </c>
      <c r="D845" t="s">
        <v>774</v>
      </c>
      <c r="E845" s="5">
        <v>39.549999999999997</v>
      </c>
      <c r="F845" t="s">
        <v>15</v>
      </c>
    </row>
    <row r="846" spans="2:7" x14ac:dyDescent="0.25">
      <c r="B846" t="s">
        <v>509</v>
      </c>
      <c r="C846" s="3">
        <v>43517</v>
      </c>
      <c r="D846" t="s">
        <v>755</v>
      </c>
      <c r="E846" s="5">
        <v>8.56</v>
      </c>
      <c r="F846" t="s">
        <v>15</v>
      </c>
    </row>
    <row r="847" spans="2:7" x14ac:dyDescent="0.25">
      <c r="B847" t="s">
        <v>509</v>
      </c>
      <c r="C847" s="3">
        <v>43517</v>
      </c>
      <c r="D847" t="s">
        <v>756</v>
      </c>
      <c r="E847" s="5">
        <v>33</v>
      </c>
      <c r="F847" t="s">
        <v>16</v>
      </c>
    </row>
    <row r="848" spans="2:7" x14ac:dyDescent="0.25">
      <c r="B848" t="s">
        <v>509</v>
      </c>
      <c r="C848" s="3">
        <v>43517</v>
      </c>
      <c r="D848" t="s">
        <v>757</v>
      </c>
      <c r="E848" s="5">
        <v>6.61</v>
      </c>
      <c r="F848" t="s">
        <v>15</v>
      </c>
    </row>
    <row r="849" spans="2:8" x14ac:dyDescent="0.25">
      <c r="B849" t="s">
        <v>509</v>
      </c>
      <c r="C849" s="3">
        <v>43517</v>
      </c>
      <c r="D849" t="s">
        <v>758</v>
      </c>
      <c r="E849" s="5">
        <v>10.95</v>
      </c>
      <c r="F849" t="s">
        <v>21</v>
      </c>
    </row>
    <row r="850" spans="2:8" x14ac:dyDescent="0.25">
      <c r="B850" t="s">
        <v>509</v>
      </c>
      <c r="C850" s="3">
        <v>43517</v>
      </c>
      <c r="D850" t="s">
        <v>758</v>
      </c>
      <c r="E850" s="5">
        <v>16.03</v>
      </c>
      <c r="F850" t="s">
        <v>21</v>
      </c>
    </row>
    <row r="851" spans="2:8" x14ac:dyDescent="0.25">
      <c r="B851" t="s">
        <v>509</v>
      </c>
      <c r="C851" s="3">
        <v>43517</v>
      </c>
      <c r="D851" t="s">
        <v>759</v>
      </c>
      <c r="E851" s="5">
        <v>5.09</v>
      </c>
      <c r="F851" t="s">
        <v>19</v>
      </c>
    </row>
    <row r="852" spans="2:8" x14ac:dyDescent="0.25">
      <c r="B852" t="s">
        <v>509</v>
      </c>
      <c r="C852" s="3">
        <v>43516</v>
      </c>
      <c r="D852" t="s">
        <v>760</v>
      </c>
      <c r="E852" s="5">
        <v>23</v>
      </c>
      <c r="F852" t="s">
        <v>198</v>
      </c>
    </row>
    <row r="853" spans="2:8" x14ac:dyDescent="0.25">
      <c r="B853" t="s">
        <v>509</v>
      </c>
      <c r="C853" s="3">
        <v>43516</v>
      </c>
      <c r="D853" t="s">
        <v>761</v>
      </c>
      <c r="E853" s="5">
        <v>15.51</v>
      </c>
      <c r="F853" t="s">
        <v>15</v>
      </c>
    </row>
    <row r="854" spans="2:8" x14ac:dyDescent="0.25">
      <c r="B854" t="s">
        <v>509</v>
      </c>
      <c r="C854" s="3">
        <v>43516</v>
      </c>
      <c r="D854" t="s">
        <v>762</v>
      </c>
      <c r="E854" s="5">
        <v>5.09</v>
      </c>
      <c r="F854" t="s">
        <v>19</v>
      </c>
    </row>
    <row r="855" spans="2:8" x14ac:dyDescent="0.25">
      <c r="B855" t="s">
        <v>509</v>
      </c>
      <c r="C855" s="3">
        <v>43515</v>
      </c>
      <c r="D855" t="s">
        <v>763</v>
      </c>
      <c r="E855" s="5">
        <v>151</v>
      </c>
      <c r="F855" t="s">
        <v>14</v>
      </c>
    </row>
    <row r="856" spans="2:8" x14ac:dyDescent="0.25">
      <c r="B856" t="s">
        <v>509</v>
      </c>
      <c r="C856" s="3">
        <v>43515</v>
      </c>
      <c r="D856" t="s">
        <v>655</v>
      </c>
      <c r="E856" s="5">
        <v>25.66</v>
      </c>
      <c r="F856" t="s">
        <v>754</v>
      </c>
    </row>
    <row r="857" spans="2:8" x14ac:dyDescent="0.25">
      <c r="B857" t="s">
        <v>509</v>
      </c>
      <c r="C857" s="3">
        <v>43515</v>
      </c>
      <c r="D857" t="s">
        <v>664</v>
      </c>
      <c r="E857" s="5">
        <v>19.649999999999999</v>
      </c>
      <c r="F857" t="s">
        <v>736</v>
      </c>
      <c r="G857" t="s">
        <v>736</v>
      </c>
    </row>
    <row r="858" spans="2:8" x14ac:dyDescent="0.25">
      <c r="B858" t="s">
        <v>509</v>
      </c>
      <c r="C858" s="3">
        <v>43515</v>
      </c>
      <c r="D858" t="s">
        <v>745</v>
      </c>
      <c r="E858" s="5">
        <v>5.09</v>
      </c>
      <c r="F858" t="s">
        <v>19</v>
      </c>
    </row>
    <row r="859" spans="2:8" x14ac:dyDescent="0.25">
      <c r="B859" t="s">
        <v>509</v>
      </c>
      <c r="C859" s="3">
        <v>43515</v>
      </c>
      <c r="D859" t="s">
        <v>746</v>
      </c>
      <c r="E859" s="5">
        <v>31.84</v>
      </c>
      <c r="F859" t="s">
        <v>15</v>
      </c>
    </row>
    <row r="860" spans="2:8" x14ac:dyDescent="0.25">
      <c r="B860" t="s">
        <v>509</v>
      </c>
      <c r="C860" s="3">
        <v>43515</v>
      </c>
      <c r="D860" t="s">
        <v>621</v>
      </c>
      <c r="E860" s="5">
        <v>2.99</v>
      </c>
      <c r="F860" t="s">
        <v>15</v>
      </c>
    </row>
    <row r="861" spans="2:8" x14ac:dyDescent="0.25">
      <c r="B861" t="s">
        <v>509</v>
      </c>
      <c r="C861" s="3">
        <v>43515</v>
      </c>
      <c r="D861" t="s">
        <v>622</v>
      </c>
      <c r="E861" s="5">
        <v>2.58</v>
      </c>
      <c r="F861" t="s">
        <v>754</v>
      </c>
    </row>
    <row r="862" spans="2:8" x14ac:dyDescent="0.25">
      <c r="B862" t="s">
        <v>509</v>
      </c>
      <c r="C862" s="3">
        <v>43515</v>
      </c>
      <c r="D862" t="s">
        <v>609</v>
      </c>
      <c r="E862" s="5">
        <v>45.27</v>
      </c>
      <c r="F862" t="s">
        <v>15</v>
      </c>
    </row>
    <row r="863" spans="2:8" x14ac:dyDescent="0.25">
      <c r="B863" t="s">
        <v>509</v>
      </c>
      <c r="C863" s="3">
        <v>43515</v>
      </c>
      <c r="D863" t="s">
        <v>43</v>
      </c>
      <c r="E863" s="5">
        <v>5.94</v>
      </c>
      <c r="F863" t="s">
        <v>19</v>
      </c>
    </row>
    <row r="864" spans="2:8" x14ac:dyDescent="0.25">
      <c r="B864" t="s">
        <v>509</v>
      </c>
      <c r="C864" s="3">
        <v>43515</v>
      </c>
      <c r="D864" t="s">
        <v>747</v>
      </c>
      <c r="E864" s="5">
        <v>25.02</v>
      </c>
      <c r="F864" t="s">
        <v>16</v>
      </c>
      <c r="H864" s="18">
        <f>E928-G928</f>
        <v>16</v>
      </c>
    </row>
    <row r="865" spans="2:7" x14ac:dyDescent="0.25">
      <c r="B865" t="s">
        <v>509</v>
      </c>
      <c r="C865" s="3">
        <v>43515</v>
      </c>
      <c r="D865" t="s">
        <v>664</v>
      </c>
      <c r="E865" s="5">
        <v>22.81</v>
      </c>
      <c r="F865" t="s">
        <v>736</v>
      </c>
      <c r="G865" t="s">
        <v>736</v>
      </c>
    </row>
    <row r="866" spans="2:7" x14ac:dyDescent="0.25">
      <c r="B866" t="s">
        <v>509</v>
      </c>
      <c r="C866" s="3">
        <v>43515</v>
      </c>
      <c r="D866" t="s">
        <v>664</v>
      </c>
      <c r="E866" s="5">
        <v>52.8</v>
      </c>
      <c r="F866" t="s">
        <v>736</v>
      </c>
      <c r="G866" t="s">
        <v>736</v>
      </c>
    </row>
    <row r="867" spans="2:7" x14ac:dyDescent="0.25">
      <c r="B867" t="s">
        <v>509</v>
      </c>
      <c r="C867" s="3">
        <v>43515</v>
      </c>
      <c r="D867" t="s">
        <v>705</v>
      </c>
      <c r="E867" s="5">
        <v>40.659999999999997</v>
      </c>
      <c r="F867" t="s">
        <v>17</v>
      </c>
    </row>
    <row r="868" spans="2:7" x14ac:dyDescent="0.25">
      <c r="B868" t="s">
        <v>509</v>
      </c>
      <c r="C868" s="3">
        <v>43515</v>
      </c>
      <c r="D868" t="s">
        <v>43</v>
      </c>
      <c r="E868" s="5">
        <v>42.8</v>
      </c>
      <c r="F868" t="s">
        <v>20</v>
      </c>
      <c r="G868" t="s">
        <v>753</v>
      </c>
    </row>
    <row r="869" spans="2:7" x14ac:dyDescent="0.25">
      <c r="B869" t="s">
        <v>509</v>
      </c>
      <c r="C869" s="3">
        <v>43515</v>
      </c>
      <c r="D869" t="s">
        <v>43</v>
      </c>
      <c r="E869" s="5">
        <v>4.2300000000000004</v>
      </c>
      <c r="F869" t="s">
        <v>19</v>
      </c>
    </row>
    <row r="870" spans="2:7" x14ac:dyDescent="0.25">
      <c r="B870" t="s">
        <v>509</v>
      </c>
      <c r="C870" s="3">
        <v>43515</v>
      </c>
      <c r="D870" t="s">
        <v>257</v>
      </c>
      <c r="E870" s="5">
        <v>12.84</v>
      </c>
      <c r="F870" t="s">
        <v>15</v>
      </c>
    </row>
    <row r="871" spans="2:7" x14ac:dyDescent="0.25">
      <c r="B871" t="s">
        <v>509</v>
      </c>
      <c r="C871" s="3">
        <v>43512</v>
      </c>
      <c r="D871" t="s">
        <v>717</v>
      </c>
      <c r="E871" s="5">
        <v>24.08</v>
      </c>
      <c r="F871" t="s">
        <v>17</v>
      </c>
    </row>
    <row r="872" spans="2:7" x14ac:dyDescent="0.25">
      <c r="B872" t="s">
        <v>509</v>
      </c>
      <c r="C872" s="3">
        <v>43511</v>
      </c>
      <c r="D872" t="s">
        <v>748</v>
      </c>
      <c r="E872" s="5">
        <v>16.38</v>
      </c>
      <c r="F872" t="s">
        <v>17</v>
      </c>
    </row>
    <row r="873" spans="2:7" x14ac:dyDescent="0.25">
      <c r="B873" t="s">
        <v>509</v>
      </c>
      <c r="C873" s="3">
        <v>43510</v>
      </c>
      <c r="D873" t="s">
        <v>749</v>
      </c>
      <c r="E873" s="5">
        <v>5.55</v>
      </c>
      <c r="F873" t="s">
        <v>21</v>
      </c>
    </row>
    <row r="874" spans="2:7" x14ac:dyDescent="0.25">
      <c r="B874" t="s">
        <v>509</v>
      </c>
      <c r="C874" s="3">
        <v>43510</v>
      </c>
      <c r="D874" t="s">
        <v>750</v>
      </c>
      <c r="E874" s="5">
        <v>17.11</v>
      </c>
      <c r="F874" t="s">
        <v>754</v>
      </c>
    </row>
    <row r="875" spans="2:7" x14ac:dyDescent="0.25">
      <c r="B875" t="s">
        <v>509</v>
      </c>
      <c r="C875" s="3">
        <v>43510</v>
      </c>
      <c r="D875" t="s">
        <v>751</v>
      </c>
      <c r="E875" s="5">
        <v>25.67</v>
      </c>
      <c r="F875" t="s">
        <v>21</v>
      </c>
    </row>
    <row r="876" spans="2:7" x14ac:dyDescent="0.25">
      <c r="B876" t="s">
        <v>509</v>
      </c>
      <c r="C876" s="3">
        <v>43509</v>
      </c>
      <c r="D876" t="s">
        <v>752</v>
      </c>
      <c r="E876" s="5">
        <v>12.79</v>
      </c>
      <c r="F876" t="s">
        <v>736</v>
      </c>
      <c r="G876" t="s">
        <v>736</v>
      </c>
    </row>
    <row r="877" spans="2:7" x14ac:dyDescent="0.25">
      <c r="B877" t="s">
        <v>509</v>
      </c>
      <c r="C877" s="3">
        <v>43509</v>
      </c>
      <c r="D877" t="s">
        <v>621</v>
      </c>
      <c r="E877" s="5">
        <v>12.22</v>
      </c>
      <c r="F877" t="s">
        <v>15</v>
      </c>
    </row>
    <row r="878" spans="2:7" x14ac:dyDescent="0.25">
      <c r="B878" t="s">
        <v>509</v>
      </c>
      <c r="C878" s="3">
        <v>43509</v>
      </c>
      <c r="D878" t="s">
        <v>738</v>
      </c>
      <c r="E878" s="5">
        <v>90</v>
      </c>
      <c r="F878" t="s">
        <v>676</v>
      </c>
    </row>
    <row r="879" spans="2:7" x14ac:dyDescent="0.25">
      <c r="B879" t="s">
        <v>509</v>
      </c>
      <c r="C879" s="3">
        <v>43509</v>
      </c>
      <c r="D879" t="s">
        <v>739</v>
      </c>
      <c r="E879" s="5">
        <v>16.920000000000002</v>
      </c>
      <c r="F879" t="s">
        <v>18</v>
      </c>
    </row>
    <row r="880" spans="2:7" x14ac:dyDescent="0.25">
      <c r="B880" t="s">
        <v>509</v>
      </c>
      <c r="C880" s="3">
        <v>43509</v>
      </c>
      <c r="D880" t="s">
        <v>669</v>
      </c>
      <c r="E880" s="5">
        <v>5.09</v>
      </c>
      <c r="F880" t="s">
        <v>19</v>
      </c>
    </row>
    <row r="881" spans="2:7" x14ac:dyDescent="0.25">
      <c r="B881" t="s">
        <v>509</v>
      </c>
      <c r="C881" s="3">
        <v>43508</v>
      </c>
      <c r="D881" t="s">
        <v>740</v>
      </c>
      <c r="E881" s="5">
        <v>60</v>
      </c>
      <c r="F881" t="s">
        <v>202</v>
      </c>
    </row>
    <row r="882" spans="2:7" x14ac:dyDescent="0.25">
      <c r="B882" t="s">
        <v>509</v>
      </c>
      <c r="C882" s="3">
        <v>43508</v>
      </c>
      <c r="D882" t="s">
        <v>741</v>
      </c>
      <c r="E882" s="5">
        <v>18.52</v>
      </c>
      <c r="F882" t="s">
        <v>17</v>
      </c>
    </row>
    <row r="883" spans="2:7" x14ac:dyDescent="0.25">
      <c r="B883" t="s">
        <v>509</v>
      </c>
      <c r="C883" s="3">
        <v>43507</v>
      </c>
      <c r="D883" t="s">
        <v>742</v>
      </c>
      <c r="E883" s="5">
        <v>9</v>
      </c>
      <c r="F883" t="s">
        <v>15</v>
      </c>
    </row>
    <row r="884" spans="2:7" x14ac:dyDescent="0.25">
      <c r="B884" t="s">
        <v>509</v>
      </c>
      <c r="C884" s="3">
        <v>43507</v>
      </c>
      <c r="D884" t="s">
        <v>743</v>
      </c>
      <c r="E884" s="5">
        <v>80.7</v>
      </c>
      <c r="F884" t="s">
        <v>736</v>
      </c>
      <c r="G884" t="s">
        <v>736</v>
      </c>
    </row>
    <row r="885" spans="2:7" x14ac:dyDescent="0.25">
      <c r="B885" t="s">
        <v>509</v>
      </c>
      <c r="C885" s="3">
        <v>43507</v>
      </c>
      <c r="D885" t="s">
        <v>744</v>
      </c>
      <c r="E885" s="5">
        <v>9.94</v>
      </c>
      <c r="F885" t="s">
        <v>15</v>
      </c>
    </row>
    <row r="886" spans="2:7" x14ac:dyDescent="0.25">
      <c r="B886" t="s">
        <v>509</v>
      </c>
      <c r="C886" s="3">
        <v>43507</v>
      </c>
      <c r="D886" t="s">
        <v>711</v>
      </c>
      <c r="E886" s="5">
        <v>250</v>
      </c>
      <c r="F886" t="s">
        <v>676</v>
      </c>
    </row>
    <row r="887" spans="2:7" x14ac:dyDescent="0.25">
      <c r="B887" t="s">
        <v>509</v>
      </c>
      <c r="C887" s="3">
        <v>43507</v>
      </c>
      <c r="D887" t="s">
        <v>621</v>
      </c>
      <c r="E887" s="5">
        <v>10</v>
      </c>
      <c r="F887" t="s">
        <v>15</v>
      </c>
    </row>
    <row r="888" spans="2:7" x14ac:dyDescent="0.25">
      <c r="B888" t="s">
        <v>509</v>
      </c>
      <c r="C888" s="3">
        <v>43507</v>
      </c>
      <c r="D888" t="s">
        <v>705</v>
      </c>
      <c r="E888" s="5">
        <v>15.52</v>
      </c>
      <c r="F888" t="s">
        <v>17</v>
      </c>
    </row>
    <row r="889" spans="2:7" x14ac:dyDescent="0.25">
      <c r="B889" t="s">
        <v>509</v>
      </c>
      <c r="C889" s="3">
        <v>43507</v>
      </c>
      <c r="D889" t="s">
        <v>621</v>
      </c>
      <c r="E889" s="5">
        <v>11.41</v>
      </c>
      <c r="F889" t="s">
        <v>15</v>
      </c>
    </row>
    <row r="890" spans="2:7" x14ac:dyDescent="0.25">
      <c r="B890" t="s">
        <v>509</v>
      </c>
      <c r="C890" s="3">
        <v>43507</v>
      </c>
      <c r="D890" t="s">
        <v>712</v>
      </c>
      <c r="E890" s="5">
        <v>15.51</v>
      </c>
      <c r="F890" t="s">
        <v>15</v>
      </c>
    </row>
    <row r="891" spans="2:7" x14ac:dyDescent="0.25">
      <c r="B891" t="s">
        <v>509</v>
      </c>
      <c r="C891" s="3">
        <v>43507</v>
      </c>
      <c r="D891" t="s">
        <v>257</v>
      </c>
      <c r="E891" s="5">
        <v>6.42</v>
      </c>
      <c r="F891" t="s">
        <v>15</v>
      </c>
    </row>
    <row r="892" spans="2:7" x14ac:dyDescent="0.25">
      <c r="B892" t="s">
        <v>509</v>
      </c>
      <c r="C892" s="3">
        <v>43507</v>
      </c>
      <c r="D892" t="s">
        <v>43</v>
      </c>
      <c r="E892" s="5">
        <v>4.2300000000000004</v>
      </c>
      <c r="F892" t="s">
        <v>19</v>
      </c>
    </row>
    <row r="893" spans="2:7" x14ac:dyDescent="0.25">
      <c r="B893" t="s">
        <v>509</v>
      </c>
      <c r="C893" s="3">
        <v>43507</v>
      </c>
      <c r="D893" t="s">
        <v>713</v>
      </c>
      <c r="E893" s="5">
        <v>199.71</v>
      </c>
      <c r="F893" t="s">
        <v>736</v>
      </c>
      <c r="G893" t="s">
        <v>736</v>
      </c>
    </row>
    <row r="894" spans="2:7" x14ac:dyDescent="0.25">
      <c r="B894" t="s">
        <v>509</v>
      </c>
      <c r="C894" s="3">
        <v>43507</v>
      </c>
      <c r="D894" t="s">
        <v>355</v>
      </c>
      <c r="E894" s="5">
        <v>557.80999999999995</v>
      </c>
      <c r="F894" t="s">
        <v>736</v>
      </c>
      <c r="G894" t="s">
        <v>736</v>
      </c>
    </row>
    <row r="895" spans="2:7" x14ac:dyDescent="0.25">
      <c r="B895" t="s">
        <v>509</v>
      </c>
      <c r="C895" s="3">
        <v>43507</v>
      </c>
      <c r="D895" t="s">
        <v>95</v>
      </c>
      <c r="E895" s="5">
        <v>-1250</v>
      </c>
      <c r="F895" t="s">
        <v>737</v>
      </c>
      <c r="G895" t="s">
        <v>737</v>
      </c>
    </row>
    <row r="896" spans="2:7" x14ac:dyDescent="0.25">
      <c r="B896" t="s">
        <v>509</v>
      </c>
      <c r="C896" s="3">
        <v>43507</v>
      </c>
      <c r="D896" t="s">
        <v>714</v>
      </c>
      <c r="E896" s="5">
        <v>24</v>
      </c>
      <c r="F896" t="s">
        <v>198</v>
      </c>
    </row>
    <row r="897" spans="2:6" x14ac:dyDescent="0.25">
      <c r="B897" t="s">
        <v>509</v>
      </c>
      <c r="C897" s="3">
        <v>43505</v>
      </c>
      <c r="D897" t="s">
        <v>715</v>
      </c>
      <c r="E897" s="5">
        <v>71.06</v>
      </c>
      <c r="F897" t="s">
        <v>17</v>
      </c>
    </row>
    <row r="898" spans="2:6" x14ac:dyDescent="0.25">
      <c r="B898" t="s">
        <v>509</v>
      </c>
      <c r="C898" s="3">
        <v>43505</v>
      </c>
      <c r="D898" t="s">
        <v>716</v>
      </c>
      <c r="E898" s="5">
        <v>19.54</v>
      </c>
      <c r="F898" t="s">
        <v>17</v>
      </c>
    </row>
    <row r="899" spans="2:6" x14ac:dyDescent="0.25">
      <c r="B899" t="s">
        <v>509</v>
      </c>
      <c r="C899" s="3">
        <v>43505</v>
      </c>
      <c r="D899" t="s">
        <v>717</v>
      </c>
      <c r="E899" s="5">
        <v>17.98</v>
      </c>
      <c r="F899" t="s">
        <v>17</v>
      </c>
    </row>
    <row r="900" spans="2:6" x14ac:dyDescent="0.25">
      <c r="B900" t="s">
        <v>509</v>
      </c>
      <c r="C900" s="3">
        <v>43507</v>
      </c>
      <c r="D900" t="s">
        <v>718</v>
      </c>
      <c r="E900" s="5">
        <v>45.08</v>
      </c>
      <c r="F900" t="s">
        <v>20</v>
      </c>
    </row>
    <row r="901" spans="2:6" x14ac:dyDescent="0.25">
      <c r="B901" t="s">
        <v>509</v>
      </c>
      <c r="C901" s="3">
        <v>43504</v>
      </c>
      <c r="D901" t="s">
        <v>719</v>
      </c>
      <c r="E901" s="5">
        <v>29.61</v>
      </c>
      <c r="F901" t="s">
        <v>17</v>
      </c>
    </row>
    <row r="902" spans="2:6" x14ac:dyDescent="0.25">
      <c r="B902" t="s">
        <v>509</v>
      </c>
      <c r="C902" s="3">
        <v>43504</v>
      </c>
      <c r="D902" t="s">
        <v>50</v>
      </c>
      <c r="E902" s="5">
        <v>-3485.05</v>
      </c>
      <c r="F902" t="s">
        <v>196</v>
      </c>
    </row>
    <row r="903" spans="2:6" x14ac:dyDescent="0.25">
      <c r="B903" t="s">
        <v>509</v>
      </c>
      <c r="C903" s="3">
        <v>43503</v>
      </c>
      <c r="D903" t="s">
        <v>720</v>
      </c>
      <c r="E903" s="5">
        <v>12.49</v>
      </c>
      <c r="F903" t="s">
        <v>676</v>
      </c>
    </row>
    <row r="904" spans="2:6" x14ac:dyDescent="0.25">
      <c r="B904" t="s">
        <v>509</v>
      </c>
      <c r="C904" s="3">
        <v>43503</v>
      </c>
      <c r="D904" t="s">
        <v>721</v>
      </c>
      <c r="E904" s="5">
        <v>27.81</v>
      </c>
      <c r="F904" t="s">
        <v>15</v>
      </c>
    </row>
    <row r="905" spans="2:6" x14ac:dyDescent="0.25">
      <c r="B905" t="s">
        <v>509</v>
      </c>
      <c r="C905" s="3">
        <v>43503</v>
      </c>
      <c r="D905" t="s">
        <v>722</v>
      </c>
      <c r="E905" s="5">
        <v>8.01</v>
      </c>
      <c r="F905" t="s">
        <v>21</v>
      </c>
    </row>
    <row r="906" spans="2:6" x14ac:dyDescent="0.25">
      <c r="B906" t="s">
        <v>509</v>
      </c>
      <c r="C906" s="3">
        <v>43503</v>
      </c>
      <c r="D906" t="s">
        <v>723</v>
      </c>
      <c r="E906" s="5">
        <v>-115</v>
      </c>
    </row>
    <row r="907" spans="2:6" x14ac:dyDescent="0.25">
      <c r="B907" t="s">
        <v>509</v>
      </c>
      <c r="C907" s="3">
        <v>43502</v>
      </c>
      <c r="D907" t="s">
        <v>724</v>
      </c>
      <c r="E907" s="5">
        <v>40.950000000000003</v>
      </c>
      <c r="F907" t="s">
        <v>329</v>
      </c>
    </row>
    <row r="908" spans="2:6" x14ac:dyDescent="0.25">
      <c r="B908" t="s">
        <v>509</v>
      </c>
      <c r="C908" s="3">
        <v>43502</v>
      </c>
      <c r="D908" t="s">
        <v>725</v>
      </c>
      <c r="E908" s="5">
        <v>7.18</v>
      </c>
      <c r="F908" t="s">
        <v>15</v>
      </c>
    </row>
    <row r="909" spans="2:6" x14ac:dyDescent="0.25">
      <c r="B909" t="s">
        <v>509</v>
      </c>
      <c r="C909" s="3">
        <v>43502</v>
      </c>
      <c r="D909" t="s">
        <v>726</v>
      </c>
      <c r="E909" s="5">
        <v>13.9</v>
      </c>
      <c r="F909" t="s">
        <v>21</v>
      </c>
    </row>
    <row r="910" spans="2:6" x14ac:dyDescent="0.25">
      <c r="B910" t="s">
        <v>509</v>
      </c>
      <c r="C910" s="3">
        <v>43502</v>
      </c>
      <c r="D910" t="s">
        <v>727</v>
      </c>
      <c r="E910" s="5">
        <v>6.02</v>
      </c>
      <c r="F910" t="s">
        <v>15</v>
      </c>
    </row>
    <row r="911" spans="2:6" x14ac:dyDescent="0.25">
      <c r="B911" t="s">
        <v>509</v>
      </c>
      <c r="C911" s="3">
        <v>43502</v>
      </c>
      <c r="D911" t="s">
        <v>728</v>
      </c>
      <c r="E911" s="5">
        <v>17.170000000000002</v>
      </c>
      <c r="F911" t="s">
        <v>21</v>
      </c>
    </row>
    <row r="912" spans="2:6" x14ac:dyDescent="0.25">
      <c r="B912" t="s">
        <v>509</v>
      </c>
      <c r="C912" s="3">
        <v>43502</v>
      </c>
      <c r="D912" t="s">
        <v>729</v>
      </c>
      <c r="E912" s="5">
        <v>5.55</v>
      </c>
      <c r="F912" t="s">
        <v>21</v>
      </c>
    </row>
    <row r="913" spans="2:7" x14ac:dyDescent="0.25">
      <c r="B913" t="s">
        <v>509</v>
      </c>
      <c r="C913" s="3">
        <v>43502</v>
      </c>
      <c r="D913" t="s">
        <v>730</v>
      </c>
      <c r="E913" s="5">
        <v>90</v>
      </c>
      <c r="F913" t="s">
        <v>676</v>
      </c>
    </row>
    <row r="914" spans="2:7" x14ac:dyDescent="0.25">
      <c r="B914" t="s">
        <v>509</v>
      </c>
      <c r="C914" s="3">
        <v>43502</v>
      </c>
      <c r="D914" t="s">
        <v>731</v>
      </c>
      <c r="E914" s="5">
        <v>20.12</v>
      </c>
      <c r="F914" t="s">
        <v>17</v>
      </c>
    </row>
    <row r="915" spans="2:7" x14ac:dyDescent="0.25">
      <c r="B915" t="s">
        <v>509</v>
      </c>
      <c r="C915" s="3">
        <v>43501</v>
      </c>
      <c r="D915" t="s">
        <v>364</v>
      </c>
      <c r="E915" s="5">
        <v>299</v>
      </c>
      <c r="F915" t="s">
        <v>8</v>
      </c>
    </row>
    <row r="916" spans="2:7" x14ac:dyDescent="0.25">
      <c r="B916" t="s">
        <v>509</v>
      </c>
      <c r="C916" s="3">
        <v>43501</v>
      </c>
      <c r="D916" t="s">
        <v>732</v>
      </c>
      <c r="E916" s="5">
        <v>20</v>
      </c>
      <c r="F916" t="s">
        <v>16</v>
      </c>
    </row>
    <row r="917" spans="2:7" x14ac:dyDescent="0.25">
      <c r="B917" t="s">
        <v>509</v>
      </c>
      <c r="C917" s="3">
        <v>43501</v>
      </c>
      <c r="D917" t="s">
        <v>733</v>
      </c>
      <c r="E917" s="5">
        <v>1225</v>
      </c>
      <c r="F917" t="s">
        <v>12</v>
      </c>
    </row>
    <row r="918" spans="2:7" x14ac:dyDescent="0.25">
      <c r="B918" t="s">
        <v>509</v>
      </c>
      <c r="C918" s="3">
        <v>43501</v>
      </c>
      <c r="D918" t="s">
        <v>734</v>
      </c>
      <c r="E918" s="5">
        <v>2.54</v>
      </c>
      <c r="F918" t="s">
        <v>15</v>
      </c>
    </row>
    <row r="919" spans="2:7" x14ac:dyDescent="0.25">
      <c r="B919" t="s">
        <v>509</v>
      </c>
      <c r="C919" s="3">
        <v>43501</v>
      </c>
      <c r="D919" t="s">
        <v>735</v>
      </c>
      <c r="E919" s="5">
        <v>1145.3800000000001</v>
      </c>
      <c r="F919" t="s">
        <v>736</v>
      </c>
      <c r="G919" t="s">
        <v>736</v>
      </c>
    </row>
    <row r="920" spans="2:7" x14ac:dyDescent="0.25">
      <c r="B920" t="s">
        <v>509</v>
      </c>
      <c r="C920" s="3">
        <v>43500</v>
      </c>
      <c r="D920" t="s">
        <v>621</v>
      </c>
      <c r="E920" s="5">
        <v>34.97</v>
      </c>
      <c r="F920" t="s">
        <v>15</v>
      </c>
    </row>
    <row r="921" spans="2:7" x14ac:dyDescent="0.25">
      <c r="B921" t="s">
        <v>509</v>
      </c>
      <c r="C921" s="3">
        <v>43500</v>
      </c>
      <c r="D921" t="s">
        <v>702</v>
      </c>
      <c r="E921" s="5">
        <v>124.33</v>
      </c>
      <c r="F921" t="s">
        <v>17</v>
      </c>
    </row>
    <row r="922" spans="2:7" x14ac:dyDescent="0.25">
      <c r="B922" t="s">
        <v>509</v>
      </c>
      <c r="C922" s="3">
        <v>43500</v>
      </c>
      <c r="D922" t="s">
        <v>703</v>
      </c>
      <c r="E922" s="5">
        <v>20</v>
      </c>
      <c r="F922" t="s">
        <v>18</v>
      </c>
    </row>
    <row r="923" spans="2:7" x14ac:dyDescent="0.25">
      <c r="B923" t="s">
        <v>509</v>
      </c>
      <c r="C923" s="3">
        <v>43500</v>
      </c>
      <c r="D923" t="s">
        <v>704</v>
      </c>
      <c r="E923" s="5">
        <v>32</v>
      </c>
      <c r="F923" t="s">
        <v>18</v>
      </c>
    </row>
    <row r="924" spans="2:7" x14ac:dyDescent="0.25">
      <c r="B924" t="s">
        <v>509</v>
      </c>
      <c r="C924" s="3">
        <v>43500</v>
      </c>
      <c r="D924" t="s">
        <v>257</v>
      </c>
      <c r="E924" s="5">
        <v>8.56</v>
      </c>
      <c r="F924" t="s">
        <v>15</v>
      </c>
    </row>
    <row r="925" spans="2:7" x14ac:dyDescent="0.25">
      <c r="B925" t="s">
        <v>509</v>
      </c>
      <c r="C925" s="3">
        <v>43500</v>
      </c>
      <c r="D925" t="s">
        <v>705</v>
      </c>
      <c r="E925" s="5">
        <v>21.66</v>
      </c>
      <c r="F925" t="s">
        <v>17</v>
      </c>
    </row>
    <row r="926" spans="2:7" x14ac:dyDescent="0.25">
      <c r="B926" t="s">
        <v>509</v>
      </c>
      <c r="C926" s="3">
        <v>43500</v>
      </c>
      <c r="D926" t="s">
        <v>706</v>
      </c>
      <c r="E926" s="5">
        <v>25.7</v>
      </c>
      <c r="F926" t="s">
        <v>16</v>
      </c>
    </row>
    <row r="927" spans="2:7" x14ac:dyDescent="0.25">
      <c r="B927" t="s">
        <v>509</v>
      </c>
      <c r="C927" s="3">
        <v>43500</v>
      </c>
      <c r="D927" t="s">
        <v>144</v>
      </c>
      <c r="E927" s="5">
        <v>28.61</v>
      </c>
      <c r="F927" t="s">
        <v>17</v>
      </c>
    </row>
    <row r="928" spans="2:7" x14ac:dyDescent="0.25">
      <c r="B928" t="s">
        <v>509</v>
      </c>
      <c r="C928" s="3">
        <v>43500</v>
      </c>
      <c r="D928" t="s">
        <v>707</v>
      </c>
      <c r="E928" s="5">
        <v>87.82</v>
      </c>
      <c r="F928" t="s">
        <v>507</v>
      </c>
      <c r="G928">
        <v>71.819999999999993</v>
      </c>
    </row>
    <row r="929" spans="2:6" x14ac:dyDescent="0.25">
      <c r="B929" t="s">
        <v>509</v>
      </c>
      <c r="C929" s="3">
        <v>43500</v>
      </c>
      <c r="D929" t="s">
        <v>40</v>
      </c>
      <c r="E929" s="5">
        <v>2.25</v>
      </c>
      <c r="F929" t="s">
        <v>20</v>
      </c>
    </row>
    <row r="930" spans="2:6" x14ac:dyDescent="0.25">
      <c r="B930" t="s">
        <v>509</v>
      </c>
      <c r="C930" s="3">
        <v>43500</v>
      </c>
      <c r="D930" t="s">
        <v>43</v>
      </c>
      <c r="E930" s="5">
        <v>21.39</v>
      </c>
      <c r="F930" t="s">
        <v>20</v>
      </c>
    </row>
    <row r="931" spans="2:6" x14ac:dyDescent="0.25">
      <c r="B931" t="s">
        <v>509</v>
      </c>
      <c r="C931" s="3">
        <v>43500</v>
      </c>
      <c r="D931" t="s">
        <v>43</v>
      </c>
      <c r="E931" s="5">
        <v>5.56</v>
      </c>
      <c r="F931" t="s">
        <v>19</v>
      </c>
    </row>
    <row r="932" spans="2:6" x14ac:dyDescent="0.25">
      <c r="B932" t="s">
        <v>509</v>
      </c>
      <c r="C932" s="3">
        <v>43500</v>
      </c>
      <c r="D932" t="s">
        <v>708</v>
      </c>
      <c r="E932" s="5">
        <v>11.95</v>
      </c>
      <c r="F932" t="s">
        <v>334</v>
      </c>
    </row>
    <row r="933" spans="2:6" x14ac:dyDescent="0.25">
      <c r="B933" t="s">
        <v>509</v>
      </c>
      <c r="C933" s="3">
        <v>43498</v>
      </c>
      <c r="D933" t="s">
        <v>615</v>
      </c>
      <c r="E933" s="5">
        <v>17.98</v>
      </c>
      <c r="F933" t="s">
        <v>17</v>
      </c>
    </row>
    <row r="934" spans="2:6" x14ac:dyDescent="0.25">
      <c r="B934" t="s">
        <v>509</v>
      </c>
      <c r="C934" s="3">
        <v>43500</v>
      </c>
      <c r="D934" t="s">
        <v>608</v>
      </c>
      <c r="E934" s="5">
        <v>65</v>
      </c>
      <c r="F934" t="s">
        <v>506</v>
      </c>
    </row>
    <row r="935" spans="2:6" x14ac:dyDescent="0.25">
      <c r="B935" t="s">
        <v>509</v>
      </c>
      <c r="C935" s="3">
        <v>43500</v>
      </c>
      <c r="D935" t="s">
        <v>251</v>
      </c>
      <c r="E935" s="5">
        <v>828.15</v>
      </c>
      <c r="F935" t="s">
        <v>11</v>
      </c>
    </row>
    <row r="936" spans="2:6" x14ac:dyDescent="0.25">
      <c r="B936" t="s">
        <v>509</v>
      </c>
      <c r="C936" s="3">
        <v>43500</v>
      </c>
      <c r="D936" t="s">
        <v>705</v>
      </c>
      <c r="E936" s="5">
        <v>7.35</v>
      </c>
      <c r="F936" t="s">
        <v>17</v>
      </c>
    </row>
    <row r="937" spans="2:6" x14ac:dyDescent="0.25">
      <c r="B937" t="s">
        <v>509</v>
      </c>
      <c r="C937" s="3">
        <v>43497</v>
      </c>
      <c r="D937" t="s">
        <v>709</v>
      </c>
      <c r="E937" s="5">
        <v>60</v>
      </c>
      <c r="F937" t="s">
        <v>202</v>
      </c>
    </row>
    <row r="938" spans="2:6" x14ac:dyDescent="0.25">
      <c r="B938" t="s">
        <v>509</v>
      </c>
      <c r="C938" s="3">
        <v>43497</v>
      </c>
      <c r="D938" t="s">
        <v>710</v>
      </c>
      <c r="E938" s="5">
        <v>90</v>
      </c>
      <c r="F938" t="s">
        <v>676</v>
      </c>
    </row>
    <row r="939" spans="2:6" x14ac:dyDescent="0.25">
      <c r="B939" t="s">
        <v>607</v>
      </c>
      <c r="C939" s="3">
        <v>43496</v>
      </c>
      <c r="D939" t="s">
        <v>104</v>
      </c>
      <c r="E939" s="5">
        <v>-0.01</v>
      </c>
      <c r="F939" t="s">
        <v>20</v>
      </c>
    </row>
    <row r="940" spans="2:6" x14ac:dyDescent="0.25">
      <c r="B940" t="s">
        <v>607</v>
      </c>
      <c r="C940" s="3">
        <v>43496</v>
      </c>
      <c r="D940" t="s">
        <v>696</v>
      </c>
      <c r="E940" s="5">
        <v>17.64</v>
      </c>
      <c r="F940" t="s">
        <v>676</v>
      </c>
    </row>
    <row r="941" spans="2:6" x14ac:dyDescent="0.25">
      <c r="B941" t="s">
        <v>607</v>
      </c>
      <c r="C941" s="3">
        <v>43496</v>
      </c>
      <c r="D941" t="s">
        <v>697</v>
      </c>
      <c r="E941" s="5">
        <v>16.03</v>
      </c>
      <c r="F941" t="s">
        <v>21</v>
      </c>
    </row>
    <row r="942" spans="2:6" x14ac:dyDescent="0.25">
      <c r="B942" t="s">
        <v>607</v>
      </c>
      <c r="C942" s="3">
        <v>43496</v>
      </c>
      <c r="D942" t="s">
        <v>698</v>
      </c>
      <c r="E942" s="5">
        <v>17.72</v>
      </c>
      <c r="F942" t="s">
        <v>195</v>
      </c>
    </row>
    <row r="943" spans="2:6" x14ac:dyDescent="0.25">
      <c r="B943" t="s">
        <v>607</v>
      </c>
      <c r="C943" s="3">
        <v>43495</v>
      </c>
      <c r="D943" t="s">
        <v>699</v>
      </c>
      <c r="E943" s="5">
        <v>20.04</v>
      </c>
      <c r="F943" t="s">
        <v>16</v>
      </c>
    </row>
    <row r="944" spans="2:6" x14ac:dyDescent="0.25">
      <c r="B944" t="s">
        <v>607</v>
      </c>
      <c r="C944" s="3">
        <v>43495</v>
      </c>
      <c r="D944" t="s">
        <v>700</v>
      </c>
      <c r="E944" s="5">
        <v>5.67</v>
      </c>
      <c r="F944" t="s">
        <v>15</v>
      </c>
    </row>
    <row r="945" spans="2:6" x14ac:dyDescent="0.25">
      <c r="B945" t="s">
        <v>607</v>
      </c>
      <c r="C945" s="3">
        <v>43495</v>
      </c>
      <c r="D945" t="s">
        <v>701</v>
      </c>
      <c r="E945" s="5">
        <v>27.8</v>
      </c>
      <c r="F945" t="s">
        <v>754</v>
      </c>
    </row>
    <row r="946" spans="2:6" x14ac:dyDescent="0.25">
      <c r="B946" t="s">
        <v>607</v>
      </c>
      <c r="C946" s="3">
        <v>43494</v>
      </c>
      <c r="D946" t="s">
        <v>695</v>
      </c>
      <c r="E946" s="5">
        <v>6.5</v>
      </c>
      <c r="F946" t="s">
        <v>15</v>
      </c>
    </row>
    <row r="947" spans="2:6" x14ac:dyDescent="0.25">
      <c r="B947" t="s">
        <v>607</v>
      </c>
      <c r="C947" s="3">
        <v>43494</v>
      </c>
      <c r="D947" t="s">
        <v>678</v>
      </c>
      <c r="E947" s="5">
        <v>64.73</v>
      </c>
      <c r="F947" t="s">
        <v>676</v>
      </c>
    </row>
    <row r="948" spans="2:6" x14ac:dyDescent="0.25">
      <c r="B948" t="s">
        <v>607</v>
      </c>
      <c r="C948" s="3">
        <v>43494</v>
      </c>
      <c r="D948" t="s">
        <v>679</v>
      </c>
      <c r="E948" s="5">
        <v>21.39</v>
      </c>
      <c r="F948" t="s">
        <v>138</v>
      </c>
    </row>
    <row r="949" spans="2:6" x14ac:dyDescent="0.25">
      <c r="B949" t="s">
        <v>607</v>
      </c>
      <c r="C949" s="3">
        <v>43494</v>
      </c>
      <c r="D949" t="s">
        <v>44</v>
      </c>
      <c r="E949" s="5">
        <v>10</v>
      </c>
      <c r="F949" t="s">
        <v>20</v>
      </c>
    </row>
    <row r="950" spans="2:6" x14ac:dyDescent="0.25">
      <c r="B950" t="s">
        <v>607</v>
      </c>
      <c r="C950" s="3">
        <v>43494</v>
      </c>
      <c r="D950" t="s">
        <v>140</v>
      </c>
      <c r="E950" s="5">
        <v>437.54</v>
      </c>
      <c r="F950" t="s">
        <v>192</v>
      </c>
    </row>
    <row r="951" spans="2:6" x14ac:dyDescent="0.25">
      <c r="B951" t="s">
        <v>607</v>
      </c>
      <c r="C951" s="3">
        <v>43493</v>
      </c>
      <c r="D951" t="s">
        <v>680</v>
      </c>
      <c r="E951" s="5">
        <v>14.93</v>
      </c>
      <c r="F951" t="s">
        <v>15</v>
      </c>
    </row>
    <row r="952" spans="2:6" x14ac:dyDescent="0.25">
      <c r="B952" t="s">
        <v>607</v>
      </c>
      <c r="C952" s="3">
        <v>43493</v>
      </c>
      <c r="D952" t="s">
        <v>681</v>
      </c>
      <c r="E952" s="5">
        <v>13.73</v>
      </c>
      <c r="F952" t="s">
        <v>15</v>
      </c>
    </row>
    <row r="953" spans="2:6" x14ac:dyDescent="0.25">
      <c r="B953" t="s">
        <v>607</v>
      </c>
      <c r="C953" s="3">
        <v>43493</v>
      </c>
      <c r="D953" t="s">
        <v>682</v>
      </c>
      <c r="E953" s="5">
        <v>22.75</v>
      </c>
      <c r="F953" t="s">
        <v>15</v>
      </c>
    </row>
    <row r="954" spans="2:6" x14ac:dyDescent="0.25">
      <c r="B954" t="s">
        <v>607</v>
      </c>
      <c r="C954" s="3">
        <v>43493</v>
      </c>
      <c r="D954" t="s">
        <v>683</v>
      </c>
      <c r="E954" s="5">
        <v>9.24</v>
      </c>
      <c r="F954" t="s">
        <v>17</v>
      </c>
    </row>
    <row r="955" spans="2:6" x14ac:dyDescent="0.25">
      <c r="B955" t="s">
        <v>607</v>
      </c>
      <c r="C955" s="3">
        <v>43493</v>
      </c>
      <c r="D955" t="s">
        <v>684</v>
      </c>
      <c r="E955" s="5">
        <v>2.73</v>
      </c>
      <c r="F955" t="s">
        <v>19</v>
      </c>
    </row>
    <row r="956" spans="2:6" x14ac:dyDescent="0.25">
      <c r="B956" t="s">
        <v>607</v>
      </c>
      <c r="C956" s="3">
        <v>43493</v>
      </c>
      <c r="D956" t="s">
        <v>685</v>
      </c>
      <c r="E956" s="5">
        <v>9.24</v>
      </c>
      <c r="F956" t="s">
        <v>17</v>
      </c>
    </row>
    <row r="957" spans="2:6" x14ac:dyDescent="0.25">
      <c r="B957" t="s">
        <v>607</v>
      </c>
      <c r="C957" s="3">
        <v>43493</v>
      </c>
      <c r="D957" t="s">
        <v>686</v>
      </c>
      <c r="E957" s="5">
        <v>10</v>
      </c>
      <c r="F957" t="s">
        <v>20</v>
      </c>
    </row>
    <row r="958" spans="2:6" x14ac:dyDescent="0.25">
      <c r="B958" t="s">
        <v>607</v>
      </c>
      <c r="C958" s="3">
        <v>43493</v>
      </c>
      <c r="D958" t="s">
        <v>687</v>
      </c>
      <c r="E958" s="5">
        <v>25.13</v>
      </c>
      <c r="F958" t="s">
        <v>16</v>
      </c>
    </row>
    <row r="959" spans="2:6" x14ac:dyDescent="0.25">
      <c r="B959" t="s">
        <v>607</v>
      </c>
      <c r="C959" s="3">
        <v>43493</v>
      </c>
      <c r="D959" t="s">
        <v>688</v>
      </c>
      <c r="E959" s="5">
        <v>24.91</v>
      </c>
      <c r="F959" t="s">
        <v>17</v>
      </c>
    </row>
    <row r="960" spans="2:6" x14ac:dyDescent="0.25">
      <c r="B960" t="s">
        <v>607</v>
      </c>
      <c r="C960" s="3">
        <v>43493</v>
      </c>
      <c r="D960" t="s">
        <v>689</v>
      </c>
      <c r="E960" s="5">
        <v>8.56</v>
      </c>
      <c r="F960" t="s">
        <v>17</v>
      </c>
    </row>
    <row r="961" spans="2:6" x14ac:dyDescent="0.25">
      <c r="B961" t="s">
        <v>607</v>
      </c>
      <c r="C961" s="3">
        <v>43493</v>
      </c>
      <c r="D961" t="s">
        <v>690</v>
      </c>
      <c r="E961" s="5">
        <v>5.09</v>
      </c>
      <c r="F961" t="s">
        <v>19</v>
      </c>
    </row>
    <row r="962" spans="2:6" x14ac:dyDescent="0.25">
      <c r="B962" t="s">
        <v>607</v>
      </c>
      <c r="C962" s="3">
        <v>43493</v>
      </c>
      <c r="D962" t="s">
        <v>691</v>
      </c>
      <c r="E962" s="5">
        <v>80</v>
      </c>
      <c r="F962" t="s">
        <v>202</v>
      </c>
    </row>
    <row r="963" spans="2:6" x14ac:dyDescent="0.25">
      <c r="B963" t="s">
        <v>607</v>
      </c>
      <c r="C963" s="3">
        <v>43493</v>
      </c>
      <c r="D963" t="s">
        <v>692</v>
      </c>
      <c r="E963" s="5">
        <v>10</v>
      </c>
      <c r="F963" t="s">
        <v>20</v>
      </c>
    </row>
    <row r="964" spans="2:6" x14ac:dyDescent="0.25">
      <c r="B964" t="s">
        <v>607</v>
      </c>
      <c r="C964" s="3">
        <v>43493</v>
      </c>
      <c r="D964" t="s">
        <v>693</v>
      </c>
      <c r="E964" s="5">
        <v>46.59</v>
      </c>
      <c r="F964" t="s">
        <v>17</v>
      </c>
    </row>
    <row r="965" spans="2:6" x14ac:dyDescent="0.25">
      <c r="B965" t="s">
        <v>607</v>
      </c>
      <c r="C965" s="3">
        <v>43493</v>
      </c>
      <c r="D965" t="s">
        <v>694</v>
      </c>
      <c r="E965" s="5">
        <v>40</v>
      </c>
      <c r="F965" t="s">
        <v>676</v>
      </c>
    </row>
    <row r="966" spans="2:6" x14ac:dyDescent="0.25">
      <c r="B966" t="s">
        <v>607</v>
      </c>
      <c r="C966" s="3">
        <v>43490</v>
      </c>
      <c r="D966" t="s">
        <v>677</v>
      </c>
      <c r="E966" s="5">
        <v>24</v>
      </c>
      <c r="F966" t="s">
        <v>198</v>
      </c>
    </row>
    <row r="967" spans="2:6" x14ac:dyDescent="0.25">
      <c r="B967" t="s">
        <v>607</v>
      </c>
      <c r="C967" s="3">
        <v>43490</v>
      </c>
      <c r="D967" t="s">
        <v>670</v>
      </c>
      <c r="E967" s="5">
        <v>90</v>
      </c>
      <c r="F967" t="s">
        <v>676</v>
      </c>
    </row>
    <row r="968" spans="2:6" x14ac:dyDescent="0.25">
      <c r="B968" t="s">
        <v>607</v>
      </c>
      <c r="C968" s="3">
        <v>43490</v>
      </c>
      <c r="D968" t="s">
        <v>671</v>
      </c>
      <c r="E968" s="5">
        <v>39.06</v>
      </c>
      <c r="F968" t="s">
        <v>333</v>
      </c>
    </row>
    <row r="969" spans="2:6" x14ac:dyDescent="0.25">
      <c r="B969" t="s">
        <v>607</v>
      </c>
      <c r="C969" s="3">
        <v>43490</v>
      </c>
      <c r="D969" t="s">
        <v>615</v>
      </c>
      <c r="E969" s="5">
        <v>18.98</v>
      </c>
      <c r="F969" t="s">
        <v>17</v>
      </c>
    </row>
    <row r="970" spans="2:6" x14ac:dyDescent="0.25">
      <c r="B970" t="s">
        <v>607</v>
      </c>
      <c r="C970" s="3">
        <v>43490</v>
      </c>
      <c r="D970" t="s">
        <v>44</v>
      </c>
      <c r="E970" s="5">
        <v>12.63</v>
      </c>
      <c r="F970" t="s">
        <v>20</v>
      </c>
    </row>
    <row r="971" spans="2:6" x14ac:dyDescent="0.25">
      <c r="B971" t="s">
        <v>607</v>
      </c>
      <c r="C971" s="3">
        <v>43490</v>
      </c>
      <c r="D971" t="s">
        <v>672</v>
      </c>
      <c r="E971" s="5">
        <v>69.98</v>
      </c>
      <c r="F971" t="s">
        <v>20</v>
      </c>
    </row>
    <row r="972" spans="2:6" x14ac:dyDescent="0.25">
      <c r="B972" t="s">
        <v>607</v>
      </c>
      <c r="C972" s="134">
        <v>43489</v>
      </c>
      <c r="D972" s="135" t="s">
        <v>673</v>
      </c>
      <c r="E972" s="136">
        <f>32.75-E973</f>
        <v>12.75</v>
      </c>
      <c r="F972" s="135" t="s">
        <v>15</v>
      </c>
    </row>
    <row r="973" spans="2:6" x14ac:dyDescent="0.25">
      <c r="B973" t="s">
        <v>607</v>
      </c>
      <c r="C973" s="134">
        <v>43489</v>
      </c>
      <c r="D973" s="135" t="s">
        <v>673</v>
      </c>
      <c r="E973" s="136">
        <v>20</v>
      </c>
      <c r="F973" s="135" t="s">
        <v>676</v>
      </c>
    </row>
    <row r="974" spans="2:6" x14ac:dyDescent="0.25">
      <c r="B974" t="s">
        <v>607</v>
      </c>
      <c r="C974" s="3">
        <v>43489</v>
      </c>
      <c r="D974" t="s">
        <v>674</v>
      </c>
      <c r="E974" s="5">
        <v>15.6</v>
      </c>
      <c r="F974" t="s">
        <v>21</v>
      </c>
    </row>
    <row r="975" spans="2:6" x14ac:dyDescent="0.25">
      <c r="B975" t="s">
        <v>607</v>
      </c>
      <c r="C975" s="3">
        <v>43488</v>
      </c>
      <c r="D975" t="s">
        <v>675</v>
      </c>
      <c r="E975" s="5">
        <v>34.729999999999997</v>
      </c>
      <c r="F975" t="s">
        <v>21</v>
      </c>
    </row>
    <row r="976" spans="2:6" x14ac:dyDescent="0.25">
      <c r="B976" t="s">
        <v>607</v>
      </c>
      <c r="C976" s="3">
        <v>43488</v>
      </c>
      <c r="D976" t="s">
        <v>667</v>
      </c>
      <c r="E976" s="5">
        <v>25</v>
      </c>
      <c r="F976" t="s">
        <v>16</v>
      </c>
    </row>
    <row r="977" spans="2:6" x14ac:dyDescent="0.25">
      <c r="B977" t="s">
        <v>607</v>
      </c>
      <c r="C977" s="3">
        <v>43488</v>
      </c>
      <c r="D977" t="s">
        <v>668</v>
      </c>
      <c r="E977" s="5">
        <v>6.86</v>
      </c>
      <c r="F977" t="s">
        <v>754</v>
      </c>
    </row>
    <row r="978" spans="2:6" x14ac:dyDescent="0.25">
      <c r="B978" t="s">
        <v>607</v>
      </c>
      <c r="C978" s="3">
        <v>43488</v>
      </c>
      <c r="D978" t="s">
        <v>653</v>
      </c>
      <c r="E978" s="5">
        <v>13.57</v>
      </c>
      <c r="F978" t="s">
        <v>21</v>
      </c>
    </row>
    <row r="979" spans="2:6" x14ac:dyDescent="0.25">
      <c r="B979" t="s">
        <v>607</v>
      </c>
      <c r="C979" s="3">
        <v>43488</v>
      </c>
      <c r="D979" t="s">
        <v>669</v>
      </c>
      <c r="E979" s="5">
        <v>5.09</v>
      </c>
      <c r="F979" t="s">
        <v>19</v>
      </c>
    </row>
    <row r="980" spans="2:6" x14ac:dyDescent="0.25">
      <c r="B980" t="s">
        <v>607</v>
      </c>
      <c r="C980" s="3">
        <v>43487</v>
      </c>
      <c r="D980" t="s">
        <v>665</v>
      </c>
      <c r="E980" s="5">
        <v>151</v>
      </c>
      <c r="F980" t="s">
        <v>14</v>
      </c>
    </row>
    <row r="981" spans="2:6" x14ac:dyDescent="0.25">
      <c r="B981" t="s">
        <v>607</v>
      </c>
      <c r="C981" s="3">
        <v>43487</v>
      </c>
      <c r="D981" t="s">
        <v>257</v>
      </c>
      <c r="E981" s="5">
        <v>8.56</v>
      </c>
      <c r="F981" t="s">
        <v>17</v>
      </c>
    </row>
    <row r="982" spans="2:6" x14ac:dyDescent="0.25">
      <c r="B982" t="s">
        <v>607</v>
      </c>
      <c r="C982" s="3">
        <v>43487</v>
      </c>
      <c r="D982" t="s">
        <v>666</v>
      </c>
      <c r="E982" s="5">
        <v>15</v>
      </c>
      <c r="F982" t="s">
        <v>16</v>
      </c>
    </row>
    <row r="983" spans="2:6" x14ac:dyDescent="0.25">
      <c r="B983" t="s">
        <v>607</v>
      </c>
      <c r="C983" s="134">
        <v>43487</v>
      </c>
      <c r="D983" s="135" t="s">
        <v>257</v>
      </c>
      <c r="E983" s="136">
        <f>45.4-E984</f>
        <v>25.41</v>
      </c>
      <c r="F983" s="135" t="s">
        <v>15</v>
      </c>
    </row>
    <row r="984" spans="2:6" x14ac:dyDescent="0.25">
      <c r="B984" t="s">
        <v>607</v>
      </c>
      <c r="C984" s="134">
        <v>43487</v>
      </c>
      <c r="D984" s="135" t="s">
        <v>257</v>
      </c>
      <c r="E984" s="136">
        <v>19.989999999999998</v>
      </c>
      <c r="F984" s="135" t="s">
        <v>676</v>
      </c>
    </row>
    <row r="985" spans="2:6" x14ac:dyDescent="0.25">
      <c r="B985" t="s">
        <v>607</v>
      </c>
      <c r="C985" s="3">
        <v>43487</v>
      </c>
      <c r="D985" t="s">
        <v>663</v>
      </c>
      <c r="E985" s="5">
        <v>7.49</v>
      </c>
      <c r="F985" t="s">
        <v>17</v>
      </c>
    </row>
    <row r="986" spans="2:6" x14ac:dyDescent="0.25">
      <c r="B986" t="s">
        <v>607</v>
      </c>
      <c r="C986" s="3">
        <v>43487</v>
      </c>
      <c r="D986" t="s">
        <v>664</v>
      </c>
      <c r="E986" s="5">
        <v>29.94</v>
      </c>
      <c r="F986" t="s">
        <v>20</v>
      </c>
    </row>
    <row r="987" spans="2:6" x14ac:dyDescent="0.25">
      <c r="B987" t="s">
        <v>607</v>
      </c>
      <c r="C987" s="3">
        <v>43487</v>
      </c>
      <c r="D987" t="s">
        <v>43</v>
      </c>
      <c r="E987" s="5">
        <v>4.2300000000000004</v>
      </c>
      <c r="F987" t="s">
        <v>19</v>
      </c>
    </row>
    <row r="988" spans="2:6" x14ac:dyDescent="0.25">
      <c r="B988" t="s">
        <v>607</v>
      </c>
      <c r="C988" s="3">
        <v>43487</v>
      </c>
      <c r="D988" t="s">
        <v>623</v>
      </c>
      <c r="E988" s="5">
        <v>32.1</v>
      </c>
      <c r="F988" t="s">
        <v>17</v>
      </c>
    </row>
    <row r="989" spans="2:6" x14ac:dyDescent="0.25">
      <c r="B989" t="s">
        <v>607</v>
      </c>
      <c r="C989" s="3">
        <v>43487</v>
      </c>
      <c r="D989" t="s">
        <v>620</v>
      </c>
      <c r="E989" s="5">
        <v>60</v>
      </c>
      <c r="F989" t="s">
        <v>202</v>
      </c>
    </row>
    <row r="990" spans="2:6" x14ac:dyDescent="0.25">
      <c r="B990" t="s">
        <v>607</v>
      </c>
      <c r="C990" s="3">
        <v>43487</v>
      </c>
      <c r="D990" t="s">
        <v>43</v>
      </c>
      <c r="E990" s="5">
        <v>5.94</v>
      </c>
      <c r="F990" t="s">
        <v>19</v>
      </c>
    </row>
    <row r="991" spans="2:6" x14ac:dyDescent="0.25">
      <c r="B991" t="s">
        <v>607</v>
      </c>
      <c r="C991" s="3">
        <v>43484</v>
      </c>
      <c r="D991" t="s">
        <v>661</v>
      </c>
      <c r="E991" s="5">
        <v>23.66</v>
      </c>
      <c r="F991" t="s">
        <v>18</v>
      </c>
    </row>
    <row r="992" spans="2:6" x14ac:dyDescent="0.25">
      <c r="B992" t="s">
        <v>607</v>
      </c>
      <c r="C992" s="3">
        <v>43483</v>
      </c>
      <c r="D992" t="s">
        <v>662</v>
      </c>
      <c r="E992" s="5">
        <v>300</v>
      </c>
      <c r="F992" t="s">
        <v>20</v>
      </c>
    </row>
    <row r="993" spans="2:6" x14ac:dyDescent="0.25">
      <c r="B993" t="s">
        <v>607</v>
      </c>
      <c r="C993" s="3">
        <v>43483</v>
      </c>
      <c r="D993" t="s">
        <v>657</v>
      </c>
      <c r="E993" s="5">
        <v>40</v>
      </c>
      <c r="F993" t="s">
        <v>676</v>
      </c>
    </row>
    <row r="994" spans="2:6" x14ac:dyDescent="0.25">
      <c r="B994" t="s">
        <v>607</v>
      </c>
      <c r="C994" s="3">
        <v>43483</v>
      </c>
      <c r="D994" t="s">
        <v>658</v>
      </c>
      <c r="E994" s="5">
        <v>22</v>
      </c>
      <c r="F994" t="s">
        <v>16</v>
      </c>
    </row>
    <row r="995" spans="2:6" x14ac:dyDescent="0.25">
      <c r="B995" t="s">
        <v>607</v>
      </c>
      <c r="C995" s="3">
        <v>43482</v>
      </c>
      <c r="D995" t="s">
        <v>659</v>
      </c>
      <c r="E995" s="5">
        <v>29.99</v>
      </c>
      <c r="F995" t="s">
        <v>20</v>
      </c>
    </row>
    <row r="996" spans="2:6" x14ac:dyDescent="0.25">
      <c r="B996" t="s">
        <v>607</v>
      </c>
      <c r="C996" s="3">
        <v>43482</v>
      </c>
      <c r="D996" t="s">
        <v>660</v>
      </c>
      <c r="E996" s="5">
        <v>16.7</v>
      </c>
      <c r="F996" t="s">
        <v>15</v>
      </c>
    </row>
    <row r="997" spans="2:6" x14ac:dyDescent="0.25">
      <c r="B997" t="s">
        <v>607</v>
      </c>
      <c r="C997" s="3">
        <v>43482</v>
      </c>
      <c r="D997" t="s">
        <v>654</v>
      </c>
      <c r="E997" s="5">
        <v>5.73</v>
      </c>
      <c r="F997" t="s">
        <v>19</v>
      </c>
    </row>
    <row r="998" spans="2:6" x14ac:dyDescent="0.25">
      <c r="B998" t="s">
        <v>607</v>
      </c>
      <c r="C998" s="3">
        <v>43482</v>
      </c>
      <c r="D998" t="s">
        <v>655</v>
      </c>
      <c r="E998" s="5">
        <v>42.79</v>
      </c>
      <c r="F998" t="s">
        <v>754</v>
      </c>
    </row>
    <row r="999" spans="2:6" x14ac:dyDescent="0.25">
      <c r="B999" t="s">
        <v>607</v>
      </c>
      <c r="C999" s="3">
        <v>43482</v>
      </c>
      <c r="D999" t="s">
        <v>656</v>
      </c>
      <c r="E999" s="5">
        <v>18.170000000000002</v>
      </c>
      <c r="F999" t="s">
        <v>754</v>
      </c>
    </row>
    <row r="1000" spans="2:6" x14ac:dyDescent="0.25">
      <c r="B1000" t="s">
        <v>607</v>
      </c>
      <c r="C1000" s="3">
        <v>43482</v>
      </c>
      <c r="D1000" t="s">
        <v>336</v>
      </c>
      <c r="E1000" s="5">
        <v>25.67</v>
      </c>
      <c r="F1000" t="s">
        <v>21</v>
      </c>
    </row>
    <row r="1001" spans="2:6" x14ac:dyDescent="0.25">
      <c r="B1001" t="s">
        <v>607</v>
      </c>
      <c r="C1001" s="3">
        <v>43482</v>
      </c>
      <c r="D1001" t="s">
        <v>653</v>
      </c>
      <c r="E1001" s="5">
        <v>5.55</v>
      </c>
      <c r="F1001" t="s">
        <v>21</v>
      </c>
    </row>
    <row r="1002" spans="2:6" x14ac:dyDescent="0.25">
      <c r="B1002" t="s">
        <v>607</v>
      </c>
      <c r="C1002" s="3">
        <v>43481</v>
      </c>
      <c r="D1002" t="s">
        <v>652</v>
      </c>
      <c r="E1002" s="5">
        <v>14.97</v>
      </c>
      <c r="F1002" t="s">
        <v>754</v>
      </c>
    </row>
    <row r="1003" spans="2:6" x14ac:dyDescent="0.25">
      <c r="B1003" t="s">
        <v>607</v>
      </c>
      <c r="C1003" s="3">
        <v>43481</v>
      </c>
      <c r="D1003" t="s">
        <v>615</v>
      </c>
      <c r="E1003" s="5">
        <v>34.96</v>
      </c>
      <c r="F1003" t="s">
        <v>17</v>
      </c>
    </row>
    <row r="1004" spans="2:6" x14ac:dyDescent="0.25">
      <c r="B1004" t="s">
        <v>607</v>
      </c>
      <c r="C1004" s="3">
        <v>43481</v>
      </c>
      <c r="D1004" t="s">
        <v>646</v>
      </c>
      <c r="E1004" s="5">
        <v>3.57</v>
      </c>
      <c r="F1004" t="s">
        <v>754</v>
      </c>
    </row>
    <row r="1005" spans="2:6" x14ac:dyDescent="0.25">
      <c r="B1005" t="s">
        <v>607</v>
      </c>
      <c r="C1005" s="3">
        <v>43480</v>
      </c>
      <c r="D1005" t="s">
        <v>647</v>
      </c>
      <c r="E1005" s="5">
        <v>-13.16</v>
      </c>
      <c r="F1005" t="s">
        <v>20</v>
      </c>
    </row>
    <row r="1006" spans="2:6" x14ac:dyDescent="0.25">
      <c r="B1006" t="s">
        <v>607</v>
      </c>
      <c r="C1006" s="3">
        <v>43479</v>
      </c>
      <c r="D1006" t="s">
        <v>648</v>
      </c>
      <c r="E1006" s="5">
        <v>19.760000000000002</v>
      </c>
      <c r="F1006" t="s">
        <v>15</v>
      </c>
    </row>
    <row r="1007" spans="2:6" x14ac:dyDescent="0.25">
      <c r="B1007" t="s">
        <v>607</v>
      </c>
      <c r="C1007" s="3">
        <v>43479</v>
      </c>
      <c r="D1007" t="s">
        <v>636</v>
      </c>
      <c r="E1007" s="5">
        <v>20</v>
      </c>
      <c r="F1007" t="s">
        <v>16</v>
      </c>
    </row>
    <row r="1008" spans="2:6" x14ac:dyDescent="0.25">
      <c r="B1008" t="s">
        <v>607</v>
      </c>
      <c r="C1008" s="3">
        <v>43479</v>
      </c>
      <c r="D1008" t="s">
        <v>43</v>
      </c>
      <c r="E1008" s="5">
        <v>2.41</v>
      </c>
      <c r="F1008" t="s">
        <v>19</v>
      </c>
    </row>
    <row r="1009" spans="2:6" x14ac:dyDescent="0.25">
      <c r="B1009" t="s">
        <v>607</v>
      </c>
      <c r="C1009" s="3">
        <v>43479</v>
      </c>
      <c r="D1009" t="s">
        <v>637</v>
      </c>
      <c r="E1009" s="5">
        <v>25.19</v>
      </c>
      <c r="F1009" t="s">
        <v>17</v>
      </c>
    </row>
    <row r="1010" spans="2:6" x14ac:dyDescent="0.25">
      <c r="B1010" t="s">
        <v>607</v>
      </c>
      <c r="C1010" s="3">
        <v>43479</v>
      </c>
      <c r="D1010" t="s">
        <v>43</v>
      </c>
      <c r="E1010" s="5">
        <v>2.41</v>
      </c>
      <c r="F1010" t="s">
        <v>19</v>
      </c>
    </row>
    <row r="1011" spans="2:6" x14ac:dyDescent="0.25">
      <c r="B1011" t="s">
        <v>607</v>
      </c>
      <c r="C1011" s="3">
        <v>43479</v>
      </c>
      <c r="D1011" t="s">
        <v>621</v>
      </c>
      <c r="E1011" s="5">
        <v>20.149999999999999</v>
      </c>
      <c r="F1011" t="s">
        <v>15</v>
      </c>
    </row>
    <row r="1012" spans="2:6" x14ac:dyDescent="0.25">
      <c r="B1012" t="s">
        <v>607</v>
      </c>
      <c r="C1012" s="3">
        <v>43479</v>
      </c>
      <c r="D1012" t="s">
        <v>43</v>
      </c>
      <c r="E1012" s="5">
        <v>3.58</v>
      </c>
      <c r="F1012" t="s">
        <v>19</v>
      </c>
    </row>
    <row r="1013" spans="2:6" x14ac:dyDescent="0.25">
      <c r="B1013" t="s">
        <v>607</v>
      </c>
      <c r="C1013" s="3">
        <v>43477</v>
      </c>
      <c r="D1013" t="s">
        <v>638</v>
      </c>
      <c r="E1013" s="5">
        <v>72.8</v>
      </c>
      <c r="F1013" t="s">
        <v>21</v>
      </c>
    </row>
    <row r="1014" spans="2:6" x14ac:dyDescent="0.25">
      <c r="B1014" t="s">
        <v>607</v>
      </c>
      <c r="C1014" s="3">
        <v>43477</v>
      </c>
      <c r="D1014" t="s">
        <v>639</v>
      </c>
      <c r="E1014" s="5">
        <v>14.98</v>
      </c>
      <c r="F1014" t="s">
        <v>18</v>
      </c>
    </row>
    <row r="1015" spans="2:6" x14ac:dyDescent="0.25">
      <c r="B1015" t="s">
        <v>607</v>
      </c>
      <c r="C1015" s="3">
        <v>43476</v>
      </c>
      <c r="D1015" t="s">
        <v>640</v>
      </c>
      <c r="E1015" s="5">
        <v>43</v>
      </c>
      <c r="F1015" t="s">
        <v>202</v>
      </c>
    </row>
    <row r="1016" spans="2:6" x14ac:dyDescent="0.25">
      <c r="B1016" t="s">
        <v>607</v>
      </c>
      <c r="C1016" s="3">
        <v>43476</v>
      </c>
      <c r="D1016" t="s">
        <v>641</v>
      </c>
      <c r="E1016" s="5">
        <v>26.28</v>
      </c>
      <c r="F1016" t="s">
        <v>15</v>
      </c>
    </row>
    <row r="1017" spans="2:6" x14ac:dyDescent="0.25">
      <c r="B1017" t="s">
        <v>607</v>
      </c>
      <c r="C1017" s="3">
        <v>43476</v>
      </c>
      <c r="D1017" t="s">
        <v>642</v>
      </c>
      <c r="E1017" s="5">
        <v>34.799999999999997</v>
      </c>
      <c r="F1017" t="s">
        <v>21</v>
      </c>
    </row>
    <row r="1018" spans="2:6" x14ac:dyDescent="0.25">
      <c r="B1018" t="s">
        <v>607</v>
      </c>
      <c r="C1018" s="3">
        <v>43476</v>
      </c>
      <c r="D1018" t="s">
        <v>643</v>
      </c>
      <c r="E1018" s="5">
        <v>-3</v>
      </c>
      <c r="F1018" t="s">
        <v>20</v>
      </c>
    </row>
    <row r="1019" spans="2:6" x14ac:dyDescent="0.25">
      <c r="B1019" t="s">
        <v>607</v>
      </c>
      <c r="C1019" s="3">
        <v>43475</v>
      </c>
      <c r="D1019" t="s">
        <v>615</v>
      </c>
      <c r="E1019" s="5">
        <v>17.98</v>
      </c>
      <c r="F1019" t="s">
        <v>17</v>
      </c>
    </row>
    <row r="1020" spans="2:6" x14ac:dyDescent="0.25">
      <c r="B1020" t="s">
        <v>607</v>
      </c>
      <c r="C1020" s="3">
        <v>43475</v>
      </c>
      <c r="D1020" t="s">
        <v>147</v>
      </c>
      <c r="E1020" s="5">
        <v>12.84</v>
      </c>
      <c r="F1020" t="s">
        <v>21</v>
      </c>
    </row>
    <row r="1021" spans="2:6" x14ac:dyDescent="0.25">
      <c r="B1021" t="s">
        <v>607</v>
      </c>
      <c r="C1021" s="3">
        <v>43475</v>
      </c>
      <c r="D1021" t="s">
        <v>632</v>
      </c>
      <c r="E1021" s="5">
        <v>8.01</v>
      </c>
      <c r="F1021" t="s">
        <v>21</v>
      </c>
    </row>
    <row r="1022" spans="2:6" x14ac:dyDescent="0.25">
      <c r="B1022" t="s">
        <v>607</v>
      </c>
      <c r="C1022" s="3">
        <v>43474</v>
      </c>
      <c r="D1022" t="s">
        <v>633</v>
      </c>
      <c r="E1022" s="5">
        <v>27.3</v>
      </c>
      <c r="F1022" t="s">
        <v>15</v>
      </c>
    </row>
    <row r="1023" spans="2:6" x14ac:dyDescent="0.25">
      <c r="B1023" t="s">
        <v>607</v>
      </c>
      <c r="C1023" s="3">
        <v>43474</v>
      </c>
      <c r="D1023" t="s">
        <v>634</v>
      </c>
      <c r="E1023" s="5">
        <v>34</v>
      </c>
      <c r="F1023" t="s">
        <v>16</v>
      </c>
    </row>
    <row r="1024" spans="2:6" x14ac:dyDescent="0.25">
      <c r="B1024" t="s">
        <v>607</v>
      </c>
      <c r="C1024" s="3">
        <v>43474</v>
      </c>
      <c r="D1024" t="s">
        <v>257</v>
      </c>
      <c r="E1024" s="5">
        <v>6</v>
      </c>
      <c r="F1024" t="s">
        <v>17</v>
      </c>
    </row>
    <row r="1025" spans="2:6" x14ac:dyDescent="0.25">
      <c r="B1025" t="s">
        <v>607</v>
      </c>
      <c r="C1025" s="3">
        <v>43474</v>
      </c>
      <c r="D1025" t="s">
        <v>257</v>
      </c>
      <c r="E1025" s="5">
        <f>18.76-6</f>
        <v>12.760000000000002</v>
      </c>
      <c r="F1025" t="s">
        <v>15</v>
      </c>
    </row>
    <row r="1026" spans="2:6" x14ac:dyDescent="0.25">
      <c r="B1026" t="s">
        <v>607</v>
      </c>
      <c r="C1026" s="3">
        <v>43474</v>
      </c>
      <c r="D1026" t="s">
        <v>609</v>
      </c>
      <c r="E1026" s="5">
        <v>11.99</v>
      </c>
      <c r="F1026" t="s">
        <v>21</v>
      </c>
    </row>
    <row r="1027" spans="2:6" x14ac:dyDescent="0.25">
      <c r="B1027" t="s">
        <v>607</v>
      </c>
      <c r="C1027" s="3">
        <v>43473</v>
      </c>
      <c r="D1027" t="s">
        <v>623</v>
      </c>
      <c r="E1027" s="5">
        <v>17.98</v>
      </c>
      <c r="F1027" t="s">
        <v>17</v>
      </c>
    </row>
    <row r="1028" spans="2:6" x14ac:dyDescent="0.25">
      <c r="B1028" t="s">
        <v>607</v>
      </c>
      <c r="C1028" s="3">
        <v>43473</v>
      </c>
      <c r="D1028" t="s">
        <v>147</v>
      </c>
      <c r="E1028" s="5">
        <v>12.84</v>
      </c>
      <c r="F1028" t="s">
        <v>17</v>
      </c>
    </row>
    <row r="1029" spans="2:6" x14ac:dyDescent="0.25">
      <c r="B1029" t="s">
        <v>607</v>
      </c>
      <c r="C1029" s="3">
        <v>43473</v>
      </c>
      <c r="D1029" t="s">
        <v>630</v>
      </c>
      <c r="E1029" s="5">
        <v>31.98</v>
      </c>
      <c r="F1029" t="s">
        <v>20</v>
      </c>
    </row>
    <row r="1030" spans="2:6" x14ac:dyDescent="0.25">
      <c r="B1030" t="s">
        <v>607</v>
      </c>
      <c r="C1030" s="3">
        <v>43472</v>
      </c>
      <c r="D1030" t="s">
        <v>629</v>
      </c>
      <c r="E1030" s="5">
        <v>40.4</v>
      </c>
      <c r="F1030" t="s">
        <v>329</v>
      </c>
    </row>
    <row r="1031" spans="2:6" x14ac:dyDescent="0.25">
      <c r="B1031" t="s">
        <v>607</v>
      </c>
      <c r="C1031" s="3">
        <v>43472</v>
      </c>
      <c r="D1031" t="s">
        <v>626</v>
      </c>
      <c r="E1031" s="5">
        <v>16.98</v>
      </c>
      <c r="F1031" t="s">
        <v>676</v>
      </c>
    </row>
    <row r="1032" spans="2:6" x14ac:dyDescent="0.25">
      <c r="B1032" t="s">
        <v>607</v>
      </c>
      <c r="C1032" s="3">
        <v>43472</v>
      </c>
      <c r="D1032" t="s">
        <v>621</v>
      </c>
      <c r="E1032" s="5">
        <v>30.96</v>
      </c>
      <c r="F1032" t="s">
        <v>15</v>
      </c>
    </row>
    <row r="1033" spans="2:6" x14ac:dyDescent="0.25">
      <c r="B1033" t="s">
        <v>607</v>
      </c>
      <c r="C1033" s="3">
        <v>43472</v>
      </c>
      <c r="D1033" t="s">
        <v>257</v>
      </c>
      <c r="E1033" s="5">
        <v>8.66</v>
      </c>
      <c r="F1033" t="s">
        <v>15</v>
      </c>
    </row>
    <row r="1034" spans="2:6" x14ac:dyDescent="0.25">
      <c r="B1034" t="s">
        <v>607</v>
      </c>
      <c r="C1034" s="3">
        <v>43472</v>
      </c>
      <c r="D1034" t="s">
        <v>622</v>
      </c>
      <c r="E1034" s="5">
        <v>6.24</v>
      </c>
      <c r="F1034" t="s">
        <v>754</v>
      </c>
    </row>
    <row r="1035" spans="2:6" x14ac:dyDescent="0.25">
      <c r="B1035" t="s">
        <v>607</v>
      </c>
      <c r="C1035" s="3">
        <v>43472</v>
      </c>
      <c r="D1035" t="s">
        <v>43</v>
      </c>
      <c r="E1035" s="5">
        <v>2.2999999999999998</v>
      </c>
      <c r="F1035" t="s">
        <v>19</v>
      </c>
    </row>
    <row r="1036" spans="2:6" x14ac:dyDescent="0.25">
      <c r="B1036" t="s">
        <v>607</v>
      </c>
      <c r="C1036" s="3">
        <v>43472</v>
      </c>
      <c r="D1036" t="s">
        <v>43</v>
      </c>
      <c r="E1036" s="5">
        <v>5.94</v>
      </c>
      <c r="F1036" t="s">
        <v>19</v>
      </c>
    </row>
    <row r="1037" spans="2:6" x14ac:dyDescent="0.25">
      <c r="B1037" t="s">
        <v>607</v>
      </c>
      <c r="C1037" s="3">
        <v>43472</v>
      </c>
      <c r="D1037" t="s">
        <v>623</v>
      </c>
      <c r="E1037" s="5">
        <v>39.590000000000003</v>
      </c>
      <c r="F1037" t="s">
        <v>17</v>
      </c>
    </row>
    <row r="1038" spans="2:6" x14ac:dyDescent="0.25">
      <c r="B1038" t="s">
        <v>607</v>
      </c>
      <c r="C1038" s="3">
        <v>43472</v>
      </c>
      <c r="D1038" t="s">
        <v>43</v>
      </c>
      <c r="E1038" s="5">
        <v>10.17</v>
      </c>
      <c r="F1038" t="s">
        <v>19</v>
      </c>
    </row>
    <row r="1039" spans="2:6" x14ac:dyDescent="0.25">
      <c r="B1039" t="s">
        <v>607</v>
      </c>
      <c r="C1039" s="3">
        <v>43472</v>
      </c>
      <c r="D1039" t="s">
        <v>624</v>
      </c>
      <c r="E1039" s="5">
        <v>27.99</v>
      </c>
      <c r="F1039" t="s">
        <v>198</v>
      </c>
    </row>
    <row r="1040" spans="2:6" x14ac:dyDescent="0.25">
      <c r="B1040" t="s">
        <v>607</v>
      </c>
      <c r="C1040" s="3">
        <v>43472</v>
      </c>
      <c r="D1040" t="s">
        <v>625</v>
      </c>
      <c r="E1040" s="5">
        <v>25.01</v>
      </c>
      <c r="F1040" t="s">
        <v>16</v>
      </c>
    </row>
    <row r="1041" spans="2:6" x14ac:dyDescent="0.25">
      <c r="B1041" t="s">
        <v>607</v>
      </c>
      <c r="C1041" s="3">
        <v>43472</v>
      </c>
      <c r="D1041" t="s">
        <v>620</v>
      </c>
      <c r="E1041" s="5">
        <v>60</v>
      </c>
      <c r="F1041" t="s">
        <v>20</v>
      </c>
    </row>
    <row r="1042" spans="2:6" x14ac:dyDescent="0.25">
      <c r="B1042" t="s">
        <v>607</v>
      </c>
      <c r="C1042" s="3">
        <v>43472</v>
      </c>
      <c r="D1042" t="s">
        <v>619</v>
      </c>
      <c r="E1042" s="5">
        <v>299</v>
      </c>
      <c r="F1042" t="s">
        <v>8</v>
      </c>
    </row>
    <row r="1043" spans="2:6" x14ac:dyDescent="0.25">
      <c r="B1043" t="s">
        <v>607</v>
      </c>
      <c r="C1043" s="3">
        <v>43469</v>
      </c>
      <c r="D1043" t="s">
        <v>627</v>
      </c>
      <c r="E1043" s="5">
        <v>34.5</v>
      </c>
      <c r="F1043" t="s">
        <v>18</v>
      </c>
    </row>
    <row r="1044" spans="2:6" x14ac:dyDescent="0.25">
      <c r="B1044" t="s">
        <v>607</v>
      </c>
      <c r="C1044" s="3">
        <v>43469</v>
      </c>
      <c r="D1044" t="s">
        <v>614</v>
      </c>
      <c r="E1044" s="5">
        <v>19.98</v>
      </c>
      <c r="F1044" t="s">
        <v>20</v>
      </c>
    </row>
    <row r="1045" spans="2:6" x14ac:dyDescent="0.25">
      <c r="B1045" t="s">
        <v>607</v>
      </c>
      <c r="C1045" s="3">
        <v>43469</v>
      </c>
      <c r="D1045" t="s">
        <v>615</v>
      </c>
      <c r="E1045" s="5">
        <v>31.03</v>
      </c>
      <c r="F1045" t="s">
        <v>17</v>
      </c>
    </row>
    <row r="1046" spans="2:6" x14ac:dyDescent="0.25">
      <c r="B1046" t="s">
        <v>607</v>
      </c>
      <c r="C1046" s="3">
        <v>43468</v>
      </c>
      <c r="D1046" t="s">
        <v>616</v>
      </c>
      <c r="E1046" s="5">
        <v>11.95</v>
      </c>
      <c r="F1046" t="s">
        <v>334</v>
      </c>
    </row>
    <row r="1047" spans="2:6" x14ac:dyDescent="0.25">
      <c r="B1047" t="s">
        <v>607</v>
      </c>
      <c r="C1047" s="3">
        <v>43468</v>
      </c>
      <c r="D1047" t="s">
        <v>617</v>
      </c>
      <c r="E1047" s="5">
        <v>71.819999999999993</v>
      </c>
      <c r="F1047" t="s">
        <v>507</v>
      </c>
    </row>
    <row r="1048" spans="2:6" x14ac:dyDescent="0.25">
      <c r="B1048" t="s">
        <v>607</v>
      </c>
      <c r="C1048" s="3">
        <v>43468</v>
      </c>
      <c r="D1048" t="s">
        <v>377</v>
      </c>
      <c r="E1048" s="5">
        <v>828.15</v>
      </c>
      <c r="F1048" t="s">
        <v>11</v>
      </c>
    </row>
    <row r="1049" spans="2:6" x14ac:dyDescent="0.25">
      <c r="B1049" t="s">
        <v>607</v>
      </c>
      <c r="C1049" s="3">
        <v>43468</v>
      </c>
      <c r="D1049" t="s">
        <v>618</v>
      </c>
      <c r="E1049" s="5">
        <v>5.19</v>
      </c>
      <c r="F1049" t="s">
        <v>19</v>
      </c>
    </row>
    <row r="1050" spans="2:6" x14ac:dyDescent="0.25">
      <c r="B1050" t="s">
        <v>607</v>
      </c>
      <c r="C1050" s="3">
        <v>43467</v>
      </c>
      <c r="D1050" t="s">
        <v>608</v>
      </c>
      <c r="E1050" s="5">
        <v>65</v>
      </c>
      <c r="F1050" t="s">
        <v>506</v>
      </c>
    </row>
    <row r="1051" spans="2:6" x14ac:dyDescent="0.25">
      <c r="B1051" t="s">
        <v>607</v>
      </c>
      <c r="C1051" s="3">
        <v>43467</v>
      </c>
      <c r="D1051" t="s">
        <v>43</v>
      </c>
      <c r="E1051" s="5">
        <v>2.41</v>
      </c>
      <c r="F1051" t="s">
        <v>19</v>
      </c>
    </row>
    <row r="1052" spans="2:6" x14ac:dyDescent="0.25">
      <c r="B1052" t="s">
        <v>607</v>
      </c>
      <c r="C1052" s="3">
        <v>43467</v>
      </c>
      <c r="D1052" t="s">
        <v>609</v>
      </c>
      <c r="E1052" s="5">
        <v>14.25</v>
      </c>
      <c r="F1052" t="s">
        <v>15</v>
      </c>
    </row>
    <row r="1053" spans="2:6" x14ac:dyDescent="0.25">
      <c r="B1053" t="s">
        <v>607</v>
      </c>
      <c r="C1053" s="3">
        <v>43467</v>
      </c>
      <c r="D1053" t="s">
        <v>43</v>
      </c>
      <c r="E1053" s="5">
        <v>6.9</v>
      </c>
      <c r="F1053" t="s">
        <v>19</v>
      </c>
    </row>
    <row r="1054" spans="2:6" x14ac:dyDescent="0.25">
      <c r="B1054" t="s">
        <v>607</v>
      </c>
      <c r="C1054" s="3">
        <v>43466</v>
      </c>
      <c r="D1054" t="s">
        <v>610</v>
      </c>
      <c r="E1054" s="5">
        <v>62</v>
      </c>
      <c r="F1054" t="s">
        <v>194</v>
      </c>
    </row>
    <row r="1055" spans="2:6" x14ac:dyDescent="0.25">
      <c r="B1055" t="s">
        <v>607</v>
      </c>
      <c r="C1055" s="3">
        <v>43466</v>
      </c>
      <c r="D1055" t="s">
        <v>611</v>
      </c>
      <c r="E1055" s="5">
        <v>30.4</v>
      </c>
      <c r="F1055" t="s">
        <v>194</v>
      </c>
    </row>
    <row r="1056" spans="2:6" x14ac:dyDescent="0.25">
      <c r="B1056" t="s">
        <v>607</v>
      </c>
      <c r="C1056" s="3">
        <v>43466</v>
      </c>
      <c r="D1056" t="s">
        <v>612</v>
      </c>
      <c r="E1056" s="5">
        <v>8.57</v>
      </c>
      <c r="F1056" t="s">
        <v>754</v>
      </c>
    </row>
  </sheetData>
  <autoFilter ref="B4:K1058" xr:uid="{956B3B37-5B0B-4599-8D91-6ABEEEFB7676}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C7EF-FED4-47C8-A7BE-D418153C6BCB}">
  <sheetPr>
    <tabColor theme="1" tint="0.499984740745262"/>
  </sheetPr>
  <dimension ref="A2:V61"/>
  <sheetViews>
    <sheetView showGridLines="0" zoomScale="90" zoomScaleNormal="90" workbookViewId="0">
      <selection activeCell="E26" sqref="E26"/>
    </sheetView>
  </sheetViews>
  <sheetFormatPr defaultRowHeight="15" outlineLevelRow="1" outlineLevelCol="1" x14ac:dyDescent="0.25"/>
  <cols>
    <col min="1" max="1" width="14.85546875" bestFit="1" customWidth="1"/>
    <col min="2" max="5" width="11.42578125" customWidth="1"/>
    <col min="7" max="7" width="79.85546875" bestFit="1" customWidth="1"/>
    <col min="8" max="8" width="9.140625" customWidth="1" outlineLevel="1"/>
    <col min="9" max="17" width="9.28515625" customWidth="1" outlineLevel="1"/>
    <col min="18" max="18" width="9.42578125" customWidth="1" outlineLevel="1"/>
    <col min="19" max="19" width="9.7109375" customWidth="1" outlineLevel="1"/>
    <col min="20" max="21" width="11.5703125" customWidth="1"/>
  </cols>
  <sheetData>
    <row r="2" spans="1:22" x14ac:dyDescent="0.25">
      <c r="A2" s="39" t="s">
        <v>27</v>
      </c>
      <c r="B2" t="s">
        <v>206</v>
      </c>
      <c r="G2" s="39" t="s">
        <v>191</v>
      </c>
      <c r="H2" t="s">
        <v>20</v>
      </c>
    </row>
    <row r="4" spans="1:22" x14ac:dyDescent="0.25">
      <c r="A4" s="39" t="s">
        <v>205</v>
      </c>
      <c r="B4" s="39" t="s">
        <v>199</v>
      </c>
      <c r="G4" s="39" t="s">
        <v>205</v>
      </c>
      <c r="H4" s="39" t="s">
        <v>199</v>
      </c>
      <c r="I4" s="39" t="s">
        <v>27</v>
      </c>
    </row>
    <row r="5" spans="1:22" x14ac:dyDescent="0.25">
      <c r="A5" s="39" t="s">
        <v>191</v>
      </c>
      <c r="B5" s="1" t="s">
        <v>201</v>
      </c>
      <c r="C5" s="1" t="s">
        <v>200</v>
      </c>
      <c r="D5" s="1" t="s">
        <v>232</v>
      </c>
      <c r="E5" s="1" t="s">
        <v>204</v>
      </c>
      <c r="H5" s="46" t="s">
        <v>232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1" t="s">
        <v>291</v>
      </c>
      <c r="V5" s="1" t="s">
        <v>204</v>
      </c>
    </row>
    <row r="6" spans="1:22" x14ac:dyDescent="0.25">
      <c r="A6" t="s">
        <v>192</v>
      </c>
      <c r="B6" s="40">
        <v>437.54</v>
      </c>
      <c r="C6" s="40">
        <v>437.54</v>
      </c>
      <c r="D6" s="40">
        <v>437.54</v>
      </c>
      <c r="E6" s="40">
        <v>1312.6200000000001</v>
      </c>
      <c r="G6" s="39" t="s">
        <v>28</v>
      </c>
      <c r="H6" s="61">
        <v>43252</v>
      </c>
      <c r="I6" s="61">
        <v>43266</v>
      </c>
      <c r="J6" s="61">
        <v>43258</v>
      </c>
      <c r="K6" s="61">
        <v>43255</v>
      </c>
      <c r="L6" s="61">
        <v>43272</v>
      </c>
      <c r="M6" s="61">
        <v>43270</v>
      </c>
      <c r="N6" s="61">
        <v>43269</v>
      </c>
      <c r="O6" s="61">
        <v>43280</v>
      </c>
      <c r="P6" s="61">
        <v>43279</v>
      </c>
      <c r="Q6" s="61">
        <v>43278</v>
      </c>
      <c r="R6" s="61">
        <v>43277</v>
      </c>
      <c r="S6" s="61">
        <v>43276</v>
      </c>
      <c r="T6" s="61">
        <v>43273</v>
      </c>
      <c r="U6" s="1"/>
      <c r="V6" s="1"/>
    </row>
    <row r="7" spans="1:22" x14ac:dyDescent="0.25">
      <c r="A7" t="s">
        <v>193</v>
      </c>
      <c r="B7" s="40"/>
      <c r="C7" s="40">
        <v>1887.9600000000003</v>
      </c>
      <c r="D7" s="40"/>
      <c r="E7" s="40">
        <v>1887.9600000000003</v>
      </c>
      <c r="G7" t="s">
        <v>104</v>
      </c>
      <c r="H7" s="18"/>
      <c r="I7" s="18"/>
      <c r="J7" s="18"/>
      <c r="K7" s="18"/>
      <c r="L7" s="18"/>
      <c r="M7" s="18"/>
      <c r="N7" s="18"/>
      <c r="O7" s="18">
        <v>-0.06</v>
      </c>
      <c r="P7" s="18"/>
      <c r="Q7" s="18"/>
      <c r="R7" s="18"/>
      <c r="S7" s="18"/>
      <c r="T7" s="18"/>
      <c r="U7" s="18">
        <v>-0.06</v>
      </c>
      <c r="V7" s="18">
        <v>-0.06</v>
      </c>
    </row>
    <row r="8" spans="1:22" x14ac:dyDescent="0.25">
      <c r="A8" t="s">
        <v>12</v>
      </c>
      <c r="B8" s="40">
        <v>320</v>
      </c>
      <c r="C8" s="40">
        <v>300</v>
      </c>
      <c r="D8" s="40">
        <v>200</v>
      </c>
      <c r="E8" s="40">
        <v>820</v>
      </c>
      <c r="G8" t="s">
        <v>242</v>
      </c>
      <c r="H8" s="18">
        <v>11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>
        <v>11</v>
      </c>
      <c r="V8" s="18">
        <v>11</v>
      </c>
    </row>
    <row r="9" spans="1:22" x14ac:dyDescent="0.25">
      <c r="A9" t="s">
        <v>15</v>
      </c>
      <c r="B9" s="40">
        <v>47.11</v>
      </c>
      <c r="C9" s="40">
        <v>288.95999999999992</v>
      </c>
      <c r="D9" s="40">
        <v>202.97000000000006</v>
      </c>
      <c r="E9" s="40">
        <v>539.04</v>
      </c>
      <c r="G9" t="s">
        <v>270</v>
      </c>
      <c r="H9" s="18"/>
      <c r="I9" s="18"/>
      <c r="J9" s="18">
        <v>64.73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64.73</v>
      </c>
      <c r="V9" s="18">
        <v>64.73</v>
      </c>
    </row>
    <row r="10" spans="1:22" x14ac:dyDescent="0.25">
      <c r="A10" t="s">
        <v>16</v>
      </c>
      <c r="B10" s="40">
        <v>70.67</v>
      </c>
      <c r="C10" s="40">
        <v>151.9</v>
      </c>
      <c r="D10" s="40">
        <v>172.74</v>
      </c>
      <c r="E10" s="40">
        <v>395.31</v>
      </c>
      <c r="G10" t="s">
        <v>254</v>
      </c>
      <c r="H10" s="18"/>
      <c r="I10" s="18"/>
      <c r="J10" s="18"/>
      <c r="K10" s="18">
        <v>400</v>
      </c>
      <c r="L10" s="18"/>
      <c r="M10" s="18"/>
      <c r="N10" s="18"/>
      <c r="O10" s="18"/>
      <c r="P10" s="18"/>
      <c r="Q10" s="18"/>
      <c r="R10" s="18"/>
      <c r="S10" s="18"/>
      <c r="T10" s="18"/>
      <c r="U10" s="18">
        <v>400</v>
      </c>
      <c r="V10" s="18">
        <v>400</v>
      </c>
    </row>
    <row r="11" spans="1:22" x14ac:dyDescent="0.25">
      <c r="A11" t="s">
        <v>198</v>
      </c>
      <c r="B11" s="40"/>
      <c r="C11" s="40">
        <v>45.739999999999995</v>
      </c>
      <c r="D11" s="40">
        <v>23</v>
      </c>
      <c r="E11" s="40">
        <v>68.739999999999995</v>
      </c>
      <c r="G11" t="s">
        <v>305</v>
      </c>
      <c r="H11" s="18"/>
      <c r="I11" s="18"/>
      <c r="J11" s="18"/>
      <c r="K11" s="18"/>
      <c r="L11" s="18"/>
      <c r="M11" s="18">
        <v>19.07</v>
      </c>
      <c r="N11" s="18"/>
      <c r="O11" s="18"/>
      <c r="P11" s="18"/>
      <c r="Q11" s="18"/>
      <c r="R11" s="18"/>
      <c r="S11" s="18"/>
      <c r="T11" s="18"/>
      <c r="U11" s="18">
        <v>19.07</v>
      </c>
      <c r="V11" s="18">
        <v>19.07</v>
      </c>
    </row>
    <row r="12" spans="1:22" x14ac:dyDescent="0.25">
      <c r="A12" t="s">
        <v>17</v>
      </c>
      <c r="B12" s="40">
        <v>95.679999999999993</v>
      </c>
      <c r="C12" s="40">
        <v>422.43000000000006</v>
      </c>
      <c r="D12" s="40">
        <v>404.23999999999995</v>
      </c>
      <c r="E12" s="40">
        <v>922.34999999999991</v>
      </c>
      <c r="G12" t="s">
        <v>309</v>
      </c>
      <c r="H12" s="18"/>
      <c r="I12" s="18"/>
      <c r="J12" s="18"/>
      <c r="K12" s="18"/>
      <c r="L12" s="18"/>
      <c r="M12" s="18"/>
      <c r="N12" s="18">
        <v>20</v>
      </c>
      <c r="O12" s="18"/>
      <c r="P12" s="18"/>
      <c r="Q12" s="18"/>
      <c r="R12" s="18"/>
      <c r="S12" s="18"/>
      <c r="T12" s="18"/>
      <c r="U12" s="18">
        <v>20</v>
      </c>
      <c r="V12" s="18">
        <v>20</v>
      </c>
    </row>
    <row r="13" spans="1:22" x14ac:dyDescent="0.25">
      <c r="A13" t="s">
        <v>18</v>
      </c>
      <c r="B13" s="40"/>
      <c r="C13" s="40">
        <v>23.5</v>
      </c>
      <c r="D13" s="40">
        <v>48.68</v>
      </c>
      <c r="E13" s="40">
        <v>72.180000000000007</v>
      </c>
      <c r="G13" t="s">
        <v>310</v>
      </c>
      <c r="H13" s="18"/>
      <c r="I13" s="18"/>
      <c r="J13" s="18"/>
      <c r="K13" s="18"/>
      <c r="L13" s="18"/>
      <c r="M13" s="18"/>
      <c r="N13" s="18">
        <v>20</v>
      </c>
      <c r="O13" s="18"/>
      <c r="P13" s="18"/>
      <c r="Q13" s="18"/>
      <c r="R13" s="18"/>
      <c r="S13" s="18"/>
      <c r="T13" s="18"/>
      <c r="U13" s="18">
        <v>20</v>
      </c>
      <c r="V13" s="18">
        <v>20</v>
      </c>
    </row>
    <row r="14" spans="1:22" x14ac:dyDescent="0.25">
      <c r="A14" t="s">
        <v>19</v>
      </c>
      <c r="B14" s="40">
        <v>16.27</v>
      </c>
      <c r="C14" s="40">
        <v>56.94</v>
      </c>
      <c r="D14" s="40">
        <v>82.99</v>
      </c>
      <c r="E14" s="40">
        <v>156.19999999999999</v>
      </c>
      <c r="G14" t="s">
        <v>314</v>
      </c>
      <c r="H14" s="18"/>
      <c r="I14" s="18"/>
      <c r="J14" s="18"/>
      <c r="K14" s="18"/>
      <c r="L14" s="18"/>
      <c r="M14" s="18"/>
      <c r="N14" s="18">
        <v>66.92</v>
      </c>
      <c r="O14" s="18"/>
      <c r="P14" s="18"/>
      <c r="Q14" s="18"/>
      <c r="R14" s="18"/>
      <c r="S14" s="18"/>
      <c r="T14" s="18"/>
      <c r="U14" s="18">
        <v>66.92</v>
      </c>
      <c r="V14" s="18">
        <v>66.92</v>
      </c>
    </row>
    <row r="15" spans="1:22" x14ac:dyDescent="0.25">
      <c r="A15" t="s">
        <v>20</v>
      </c>
      <c r="B15" s="40">
        <v>21.91</v>
      </c>
      <c r="C15" s="40">
        <v>197.38</v>
      </c>
      <c r="D15" s="40">
        <v>1813.3400000000001</v>
      </c>
      <c r="E15" s="40">
        <v>2032.63</v>
      </c>
      <c r="G15" t="s">
        <v>315</v>
      </c>
      <c r="H15" s="18"/>
      <c r="I15" s="18"/>
      <c r="J15" s="18"/>
      <c r="K15" s="18"/>
      <c r="L15" s="18"/>
      <c r="M15" s="18"/>
      <c r="N15" s="18">
        <v>63</v>
      </c>
      <c r="O15" s="18"/>
      <c r="P15" s="18"/>
      <c r="Q15" s="18"/>
      <c r="R15" s="18"/>
      <c r="S15" s="18"/>
      <c r="T15" s="18"/>
      <c r="U15" s="18">
        <v>63</v>
      </c>
      <c r="V15" s="18">
        <v>63</v>
      </c>
    </row>
    <row r="16" spans="1:22" x14ac:dyDescent="0.25">
      <c r="A16" t="s">
        <v>207</v>
      </c>
      <c r="B16" s="40">
        <v>24.38</v>
      </c>
      <c r="C16" s="40">
        <v>460.25</v>
      </c>
      <c r="D16" s="40">
        <v>194.45</v>
      </c>
      <c r="E16" s="40">
        <v>679.07999999999993</v>
      </c>
      <c r="G16" t="s">
        <v>295</v>
      </c>
      <c r="H16" s="18"/>
      <c r="I16" s="18"/>
      <c r="J16" s="18"/>
      <c r="K16" s="18"/>
      <c r="L16" s="18"/>
      <c r="M16" s="18"/>
      <c r="N16" s="18">
        <v>-3</v>
      </c>
      <c r="O16" s="18"/>
      <c r="P16" s="18"/>
      <c r="Q16" s="18"/>
      <c r="R16" s="18"/>
      <c r="S16" s="18"/>
      <c r="T16" s="18"/>
      <c r="U16" s="18">
        <v>-3</v>
      </c>
      <c r="V16" s="18">
        <v>-3</v>
      </c>
    </row>
    <row r="17" spans="1:22" x14ac:dyDescent="0.25">
      <c r="A17" t="s">
        <v>197</v>
      </c>
      <c r="B17" s="40">
        <v>122.75</v>
      </c>
      <c r="C17" s="40">
        <v>100</v>
      </c>
      <c r="D17" s="40"/>
      <c r="E17" s="40">
        <v>222.75</v>
      </c>
      <c r="G17" t="s">
        <v>296</v>
      </c>
      <c r="H17" s="18"/>
      <c r="I17" s="18">
        <v>44.94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>
        <v>44.94</v>
      </c>
      <c r="V17" s="18">
        <v>44.94</v>
      </c>
    </row>
    <row r="18" spans="1:22" x14ac:dyDescent="0.25">
      <c r="A18" t="s">
        <v>195</v>
      </c>
      <c r="B18" s="40"/>
      <c r="C18" s="40">
        <v>6.65</v>
      </c>
      <c r="D18" s="40">
        <v>71.05</v>
      </c>
      <c r="E18" s="40">
        <v>77.7</v>
      </c>
      <c r="G18" t="s">
        <v>337</v>
      </c>
      <c r="H18" s="18"/>
      <c r="I18" s="18"/>
      <c r="J18" s="18"/>
      <c r="K18" s="18"/>
      <c r="L18" s="18"/>
      <c r="M18" s="18"/>
      <c r="N18" s="18"/>
      <c r="O18" s="18">
        <v>100</v>
      </c>
      <c r="P18" s="18"/>
      <c r="Q18" s="18"/>
      <c r="R18" s="18"/>
      <c r="S18" s="18"/>
      <c r="T18" s="18"/>
      <c r="U18" s="18">
        <v>100</v>
      </c>
      <c r="V18" s="18">
        <v>100</v>
      </c>
    </row>
    <row r="19" spans="1:22" x14ac:dyDescent="0.25">
      <c r="A19" t="s">
        <v>194</v>
      </c>
      <c r="B19" s="40"/>
      <c r="C19" s="40">
        <v>519.98</v>
      </c>
      <c r="D19" s="40"/>
      <c r="E19" s="40">
        <v>519.98</v>
      </c>
      <c r="G19" t="s">
        <v>339</v>
      </c>
      <c r="H19" s="18"/>
      <c r="I19" s="18"/>
      <c r="J19" s="18"/>
      <c r="K19" s="18"/>
      <c r="L19" s="18"/>
      <c r="M19" s="18"/>
      <c r="N19" s="18"/>
      <c r="O19" s="18">
        <v>50</v>
      </c>
      <c r="P19" s="18"/>
      <c r="Q19" s="18"/>
      <c r="R19" s="18"/>
      <c r="S19" s="18"/>
      <c r="T19" s="18"/>
      <c r="U19" s="18">
        <v>50</v>
      </c>
      <c r="V19" s="18">
        <v>50</v>
      </c>
    </row>
    <row r="20" spans="1:22" x14ac:dyDescent="0.25">
      <c r="A20" t="s">
        <v>204</v>
      </c>
      <c r="B20" s="40">
        <v>1156.31</v>
      </c>
      <c r="C20" s="40">
        <v>4899.2299999999996</v>
      </c>
      <c r="D20" s="40">
        <v>3651</v>
      </c>
      <c r="E20" s="40">
        <v>9706.5400000000009</v>
      </c>
      <c r="G20" t="s">
        <v>341</v>
      </c>
      <c r="H20" s="18"/>
      <c r="I20" s="18"/>
      <c r="J20" s="18"/>
      <c r="K20" s="18"/>
      <c r="L20" s="18"/>
      <c r="M20" s="18"/>
      <c r="N20" s="18"/>
      <c r="O20" s="18"/>
      <c r="P20" s="18">
        <v>35.42</v>
      </c>
      <c r="Q20" s="18"/>
      <c r="R20" s="18"/>
      <c r="S20" s="18"/>
      <c r="T20" s="18"/>
      <c r="U20" s="18">
        <v>35.42</v>
      </c>
      <c r="V20" s="18">
        <v>35.42</v>
      </c>
    </row>
    <row r="21" spans="1:22" x14ac:dyDescent="0.25">
      <c r="G21" t="s">
        <v>342</v>
      </c>
      <c r="H21" s="18"/>
      <c r="I21" s="18"/>
      <c r="J21" s="18"/>
      <c r="K21" s="18"/>
      <c r="L21" s="18"/>
      <c r="M21" s="18"/>
      <c r="N21" s="18"/>
      <c r="O21" s="18"/>
      <c r="P21" s="18">
        <v>104.81</v>
      </c>
      <c r="Q21" s="18"/>
      <c r="R21" s="18"/>
      <c r="S21" s="18"/>
      <c r="T21" s="18"/>
      <c r="U21" s="18">
        <v>104.81</v>
      </c>
      <c r="V21" s="18">
        <v>104.81</v>
      </c>
    </row>
    <row r="22" spans="1:22" x14ac:dyDescent="0.25">
      <c r="G22" t="s">
        <v>344</v>
      </c>
      <c r="H22" s="18"/>
      <c r="I22" s="18"/>
      <c r="J22" s="18"/>
      <c r="K22" s="18"/>
      <c r="L22" s="18"/>
      <c r="M22" s="18"/>
      <c r="N22" s="18"/>
      <c r="O22" s="18"/>
      <c r="P22" s="18"/>
      <c r="Q22" s="18">
        <v>42.95</v>
      </c>
      <c r="R22" s="18"/>
      <c r="S22" s="18"/>
      <c r="T22" s="18"/>
      <c r="U22" s="18">
        <v>42.95</v>
      </c>
      <c r="V22" s="18">
        <v>42.95</v>
      </c>
    </row>
    <row r="23" spans="1:22" x14ac:dyDescent="0.25">
      <c r="G23" t="s">
        <v>345</v>
      </c>
      <c r="H23" s="18"/>
      <c r="I23" s="18"/>
      <c r="J23" s="18"/>
      <c r="K23" s="18"/>
      <c r="L23" s="18"/>
      <c r="M23" s="18"/>
      <c r="N23" s="18"/>
      <c r="O23" s="18"/>
      <c r="P23" s="18"/>
      <c r="Q23" s="18">
        <v>100</v>
      </c>
      <c r="R23" s="18"/>
      <c r="S23" s="18"/>
      <c r="T23" s="18"/>
      <c r="U23" s="18">
        <v>100</v>
      </c>
      <c r="V23" s="18">
        <v>100</v>
      </c>
    </row>
    <row r="24" spans="1:22" x14ac:dyDescent="0.25">
      <c r="G24" t="s">
        <v>346</v>
      </c>
      <c r="H24" s="18"/>
      <c r="I24" s="18"/>
      <c r="J24" s="18"/>
      <c r="K24" s="18"/>
      <c r="L24" s="18"/>
      <c r="M24" s="18"/>
      <c r="N24" s="18"/>
      <c r="O24" s="18"/>
      <c r="P24" s="18"/>
      <c r="Q24" s="18">
        <v>-2.95</v>
      </c>
      <c r="R24" s="18"/>
      <c r="S24" s="18"/>
      <c r="T24" s="18"/>
      <c r="U24" s="18">
        <v>-2.95</v>
      </c>
      <c r="V24" s="18">
        <v>-2.95</v>
      </c>
    </row>
    <row r="25" spans="1:22" x14ac:dyDescent="0.25">
      <c r="G25" t="s">
        <v>347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>
        <v>100</v>
      </c>
      <c r="S25" s="18"/>
      <c r="T25" s="18"/>
      <c r="U25" s="18">
        <v>100</v>
      </c>
      <c r="V25" s="18">
        <v>100</v>
      </c>
    </row>
    <row r="26" spans="1:22" x14ac:dyDescent="0.25">
      <c r="G26" t="s">
        <v>348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>
        <v>500</v>
      </c>
      <c r="S26" s="18"/>
      <c r="T26" s="18"/>
      <c r="U26" s="18">
        <v>500</v>
      </c>
      <c r="V26" s="18">
        <v>500</v>
      </c>
    </row>
    <row r="27" spans="1:22" x14ac:dyDescent="0.25">
      <c r="G27" t="s">
        <v>320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>
        <v>15.01</v>
      </c>
      <c r="T27" s="18"/>
      <c r="U27" s="18">
        <v>15.01</v>
      </c>
      <c r="V27" s="18">
        <v>15.01</v>
      </c>
    </row>
    <row r="28" spans="1:22" x14ac:dyDescent="0.25">
      <c r="G28" t="s">
        <v>321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>
        <v>4</v>
      </c>
      <c r="T28" s="18"/>
      <c r="U28" s="18">
        <v>4</v>
      </c>
      <c r="V28" s="18">
        <v>4</v>
      </c>
    </row>
    <row r="29" spans="1:22" outlineLevel="1" x14ac:dyDescent="0.25">
      <c r="G29" t="s">
        <v>323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>
        <v>7.5</v>
      </c>
      <c r="U29" s="18">
        <v>7.5</v>
      </c>
      <c r="V29" s="18">
        <v>7.5</v>
      </c>
    </row>
    <row r="30" spans="1:22" x14ac:dyDescent="0.25">
      <c r="G30" t="s">
        <v>328</v>
      </c>
      <c r="H30" s="18"/>
      <c r="I30" s="18"/>
      <c r="J30" s="18"/>
      <c r="K30" s="18"/>
      <c r="L30" s="18">
        <v>50</v>
      </c>
      <c r="M30" s="18"/>
      <c r="N30" s="18"/>
      <c r="O30" s="18"/>
      <c r="P30" s="18"/>
      <c r="Q30" s="18"/>
      <c r="R30" s="18"/>
      <c r="S30" s="18"/>
      <c r="T30" s="18"/>
      <c r="U30" s="18">
        <v>50</v>
      </c>
      <c r="V30" s="18">
        <v>50</v>
      </c>
    </row>
    <row r="31" spans="1:22" x14ac:dyDescent="0.25">
      <c r="G31" t="s">
        <v>204</v>
      </c>
      <c r="H31" s="18">
        <v>11</v>
      </c>
      <c r="I31" s="18">
        <v>44.94</v>
      </c>
      <c r="J31" s="18">
        <v>64.73</v>
      </c>
      <c r="K31" s="18">
        <v>400</v>
      </c>
      <c r="L31" s="18">
        <v>50</v>
      </c>
      <c r="M31" s="18">
        <v>19.07</v>
      </c>
      <c r="N31" s="18">
        <v>166.92000000000002</v>
      </c>
      <c r="O31" s="18">
        <v>149.94</v>
      </c>
      <c r="P31" s="18">
        <v>140.23000000000002</v>
      </c>
      <c r="Q31" s="18">
        <v>140</v>
      </c>
      <c r="R31" s="18">
        <v>600</v>
      </c>
      <c r="S31" s="18">
        <v>19.009999999999998</v>
      </c>
      <c r="T31" s="18">
        <v>7.5</v>
      </c>
      <c r="U31" s="18">
        <v>1813.34</v>
      </c>
      <c r="V31" s="18">
        <v>1813.34</v>
      </c>
    </row>
    <row r="37" outlineLevel="1" x14ac:dyDescent="0.25"/>
    <row r="38" outlineLevel="1" x14ac:dyDescent="0.25"/>
    <row r="58" outlineLevel="1" x14ac:dyDescent="0.25"/>
    <row r="59" outlineLevel="1" x14ac:dyDescent="0.25"/>
    <row r="60" outlineLevel="1" x14ac:dyDescent="0.25"/>
    <row r="61" outlineLevel="1" x14ac:dyDescent="0.25"/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499984740745262"/>
  </sheetPr>
  <dimension ref="A1:Q337"/>
  <sheetViews>
    <sheetView showGridLines="0" zoomScale="90" zoomScaleNormal="90" workbookViewId="0">
      <pane ySplit="4" topLeftCell="A21" activePane="bottomLeft" state="frozen"/>
      <selection activeCell="E26" sqref="E26"/>
      <selection pane="bottomLeft" activeCell="E26" sqref="E26"/>
    </sheetView>
  </sheetViews>
  <sheetFormatPr defaultRowHeight="15" x14ac:dyDescent="0.25"/>
  <cols>
    <col min="3" max="3" width="12.140625" bestFit="1" customWidth="1"/>
    <col min="4" max="4" width="20.28515625" customWidth="1"/>
    <col min="5" max="5" width="93.5703125" customWidth="1"/>
    <col min="6" max="6" width="10.5703125" bestFit="1" customWidth="1"/>
    <col min="7" max="7" width="13.5703125" bestFit="1" customWidth="1"/>
    <col min="8" max="8" width="11.140625" bestFit="1" customWidth="1"/>
    <col min="9" max="9" width="13.85546875" bestFit="1" customWidth="1"/>
    <col min="16" max="16" width="12.140625" bestFit="1" customWidth="1"/>
  </cols>
  <sheetData>
    <row r="1" spans="1:17" x14ac:dyDescent="0.25">
      <c r="H1" s="18">
        <v>9251.8799999999992</v>
      </c>
      <c r="I1" t="s">
        <v>229</v>
      </c>
    </row>
    <row r="4" spans="1:17" x14ac:dyDescent="0.25">
      <c r="A4" s="4" t="s">
        <v>26</v>
      </c>
      <c r="B4" s="23" t="s">
        <v>199</v>
      </c>
      <c r="C4" s="4" t="s">
        <v>27</v>
      </c>
      <c r="D4" s="23" t="s">
        <v>191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M4" t="s">
        <v>230</v>
      </c>
      <c r="P4" s="88">
        <f>SUM(P5:P20)</f>
        <v>11429.05</v>
      </c>
      <c r="Q4" t="s">
        <v>331</v>
      </c>
    </row>
    <row r="5" spans="1:17" x14ac:dyDescent="0.25">
      <c r="A5" s="76" t="s">
        <v>33</v>
      </c>
      <c r="B5" s="76" t="s">
        <v>233</v>
      </c>
      <c r="C5" s="77">
        <v>43282</v>
      </c>
      <c r="D5" s="77" t="s">
        <v>198</v>
      </c>
      <c r="E5" s="76" t="s">
        <v>292</v>
      </c>
      <c r="F5" s="78">
        <v>0</v>
      </c>
      <c r="G5" s="76" t="s">
        <v>259</v>
      </c>
      <c r="H5" s="78">
        <f t="shared" ref="H5:H145" si="0">H6-F5</f>
        <v>13828.990000000003</v>
      </c>
      <c r="I5" s="18"/>
      <c r="L5">
        <f t="shared" ref="L5:L17" si="1">M5-M6</f>
        <v>14</v>
      </c>
      <c r="M5" s="66">
        <v>43462</v>
      </c>
      <c r="N5" s="67">
        <v>3455.28</v>
      </c>
      <c r="P5" s="89">
        <v>8143</v>
      </c>
      <c r="Q5" t="s">
        <v>330</v>
      </c>
    </row>
    <row r="6" spans="1:17" x14ac:dyDescent="0.25">
      <c r="A6" s="76" t="s">
        <v>33</v>
      </c>
      <c r="B6" s="76" t="s">
        <v>233</v>
      </c>
      <c r="C6" s="77">
        <v>43282</v>
      </c>
      <c r="D6" s="77" t="s">
        <v>17</v>
      </c>
      <c r="E6" s="76" t="s">
        <v>292</v>
      </c>
      <c r="F6" s="78">
        <v>0</v>
      </c>
      <c r="G6" s="76" t="s">
        <v>259</v>
      </c>
      <c r="H6" s="78">
        <f t="shared" si="0"/>
        <v>13828.990000000003</v>
      </c>
      <c r="I6" s="18"/>
      <c r="L6">
        <f t="shared" si="1"/>
        <v>14</v>
      </c>
      <c r="M6" s="70">
        <v>43448</v>
      </c>
      <c r="N6" s="71">
        <v>3455.28</v>
      </c>
      <c r="P6" s="87">
        <v>3455</v>
      </c>
      <c r="Q6" t="s">
        <v>332</v>
      </c>
    </row>
    <row r="7" spans="1:17" x14ac:dyDescent="0.25">
      <c r="A7" s="76" t="s">
        <v>33</v>
      </c>
      <c r="B7" s="76" t="s">
        <v>233</v>
      </c>
      <c r="C7" s="77">
        <v>43282</v>
      </c>
      <c r="D7" s="77" t="s">
        <v>12</v>
      </c>
      <c r="E7" s="76" t="s">
        <v>292</v>
      </c>
      <c r="F7" s="78">
        <v>0</v>
      </c>
      <c r="G7" s="76" t="s">
        <v>259</v>
      </c>
      <c r="H7" s="78">
        <f t="shared" si="0"/>
        <v>13828.990000000003</v>
      </c>
      <c r="I7" s="18"/>
      <c r="L7">
        <f t="shared" si="1"/>
        <v>14</v>
      </c>
      <c r="M7" s="66">
        <v>43434</v>
      </c>
      <c r="N7" s="67">
        <v>3455.28</v>
      </c>
      <c r="P7" s="87">
        <v>-147</v>
      </c>
      <c r="Q7" t="s">
        <v>504</v>
      </c>
    </row>
    <row r="8" spans="1:17" x14ac:dyDescent="0.25">
      <c r="A8" s="76" t="s">
        <v>33</v>
      </c>
      <c r="B8" s="76" t="s">
        <v>233</v>
      </c>
      <c r="C8" s="77">
        <v>43282</v>
      </c>
      <c r="D8" s="77" t="s">
        <v>16</v>
      </c>
      <c r="E8" s="76" t="s">
        <v>292</v>
      </c>
      <c r="F8" s="78">
        <v>0</v>
      </c>
      <c r="G8" s="76" t="s">
        <v>259</v>
      </c>
      <c r="H8" s="78">
        <f t="shared" si="0"/>
        <v>13828.990000000003</v>
      </c>
      <c r="I8" s="18"/>
      <c r="L8">
        <f t="shared" si="1"/>
        <v>14</v>
      </c>
      <c r="M8" s="68">
        <v>43420</v>
      </c>
      <c r="N8" s="69">
        <v>3455.28</v>
      </c>
      <c r="P8" s="87">
        <v>-21.95</v>
      </c>
      <c r="Q8" t="s">
        <v>505</v>
      </c>
    </row>
    <row r="9" spans="1:17" x14ac:dyDescent="0.25">
      <c r="A9" s="76" t="s">
        <v>33</v>
      </c>
      <c r="B9" s="76" t="s">
        <v>233</v>
      </c>
      <c r="C9" s="77">
        <v>43282</v>
      </c>
      <c r="D9" s="77" t="s">
        <v>15</v>
      </c>
      <c r="E9" s="76" t="s">
        <v>292</v>
      </c>
      <c r="F9" s="78">
        <v>0</v>
      </c>
      <c r="G9" s="76" t="s">
        <v>259</v>
      </c>
      <c r="H9" s="78">
        <f t="shared" si="0"/>
        <v>13828.990000000003</v>
      </c>
      <c r="I9" s="18"/>
      <c r="L9">
        <f t="shared" si="1"/>
        <v>14</v>
      </c>
      <c r="M9" s="70">
        <v>43406</v>
      </c>
      <c r="N9" s="71">
        <v>3455.28</v>
      </c>
      <c r="P9" s="87"/>
    </row>
    <row r="10" spans="1:17" x14ac:dyDescent="0.25">
      <c r="A10" s="76" t="s">
        <v>33</v>
      </c>
      <c r="B10" s="76" t="s">
        <v>233</v>
      </c>
      <c r="C10" s="77">
        <v>43282</v>
      </c>
      <c r="D10" s="77" t="s">
        <v>22</v>
      </c>
      <c r="E10" s="76" t="s">
        <v>292</v>
      </c>
      <c r="F10" s="78">
        <v>0</v>
      </c>
      <c r="G10" s="76" t="s">
        <v>259</v>
      </c>
      <c r="H10" s="78">
        <f t="shared" si="0"/>
        <v>13828.990000000003</v>
      </c>
      <c r="I10" s="18"/>
      <c r="L10">
        <f t="shared" si="1"/>
        <v>14</v>
      </c>
      <c r="M10" s="66">
        <v>43392</v>
      </c>
      <c r="N10" s="67">
        <v>3455.28</v>
      </c>
      <c r="P10" s="87"/>
    </row>
    <row r="11" spans="1:17" x14ac:dyDescent="0.25">
      <c r="A11" s="76" t="s">
        <v>33</v>
      </c>
      <c r="B11" s="76" t="s">
        <v>233</v>
      </c>
      <c r="C11" s="77">
        <v>43282</v>
      </c>
      <c r="D11" s="77" t="s">
        <v>23</v>
      </c>
      <c r="E11" s="76" t="s">
        <v>292</v>
      </c>
      <c r="F11" s="78">
        <v>0</v>
      </c>
      <c r="G11" s="76" t="s">
        <v>259</v>
      </c>
      <c r="H11" s="78">
        <f t="shared" si="0"/>
        <v>13828.990000000003</v>
      </c>
      <c r="I11" s="18"/>
      <c r="L11">
        <f t="shared" si="1"/>
        <v>14</v>
      </c>
      <c r="M11" s="70">
        <v>43378</v>
      </c>
      <c r="N11" s="71">
        <v>3455.28</v>
      </c>
      <c r="P11" s="87"/>
    </row>
    <row r="12" spans="1:17" x14ac:dyDescent="0.25">
      <c r="A12" s="76" t="s">
        <v>33</v>
      </c>
      <c r="B12" s="76" t="s">
        <v>233</v>
      </c>
      <c r="C12" s="77">
        <v>43282</v>
      </c>
      <c r="D12" s="77" t="s">
        <v>207</v>
      </c>
      <c r="E12" s="76" t="s">
        <v>292</v>
      </c>
      <c r="F12" s="78">
        <v>0</v>
      </c>
      <c r="G12" s="76" t="s">
        <v>259</v>
      </c>
      <c r="H12" s="78">
        <f t="shared" si="0"/>
        <v>13828.990000000003</v>
      </c>
      <c r="I12" s="18"/>
      <c r="L12">
        <f t="shared" si="1"/>
        <v>14</v>
      </c>
      <c r="M12" s="66">
        <v>43364</v>
      </c>
      <c r="N12" s="67">
        <v>3455.28</v>
      </c>
    </row>
    <row r="13" spans="1:17" x14ac:dyDescent="0.25">
      <c r="A13" s="76" t="s">
        <v>33</v>
      </c>
      <c r="B13" s="76" t="s">
        <v>233</v>
      </c>
      <c r="C13" s="77">
        <v>43282</v>
      </c>
      <c r="D13" s="77" t="s">
        <v>138</v>
      </c>
      <c r="E13" s="76" t="s">
        <v>292</v>
      </c>
      <c r="F13" s="78">
        <v>0</v>
      </c>
      <c r="G13" s="76" t="s">
        <v>259</v>
      </c>
      <c r="H13" s="78">
        <f t="shared" si="0"/>
        <v>13828.990000000003</v>
      </c>
      <c r="I13" s="18"/>
      <c r="L13">
        <f t="shared" si="1"/>
        <v>14</v>
      </c>
      <c r="M13" s="70">
        <v>43350</v>
      </c>
      <c r="N13" s="71">
        <v>3455.28</v>
      </c>
    </row>
    <row r="14" spans="1:17" x14ac:dyDescent="0.25">
      <c r="A14" t="s">
        <v>33</v>
      </c>
      <c r="B14" t="s">
        <v>233</v>
      </c>
      <c r="C14" s="3"/>
      <c r="D14" s="3"/>
      <c r="F14" s="5"/>
      <c r="H14" s="5">
        <f t="shared" si="0"/>
        <v>13828.990000000003</v>
      </c>
      <c r="I14" s="18"/>
      <c r="L14">
        <f t="shared" si="1"/>
        <v>14</v>
      </c>
      <c r="M14" s="91">
        <v>43336</v>
      </c>
      <c r="N14" s="92">
        <v>3455.28</v>
      </c>
    </row>
    <row r="15" spans="1:17" x14ac:dyDescent="0.25">
      <c r="A15" t="s">
        <v>33</v>
      </c>
      <c r="B15" t="s">
        <v>233</v>
      </c>
      <c r="C15" s="3"/>
      <c r="D15" s="3"/>
      <c r="F15" s="5"/>
      <c r="H15" s="5">
        <f t="shared" si="0"/>
        <v>13828.990000000003</v>
      </c>
      <c r="I15" s="18"/>
      <c r="L15">
        <f t="shared" si="1"/>
        <v>14</v>
      </c>
      <c r="M15" s="82">
        <v>43322</v>
      </c>
      <c r="N15" s="83">
        <v>3455.28</v>
      </c>
    </row>
    <row r="16" spans="1:17" x14ac:dyDescent="0.25">
      <c r="A16" t="s">
        <v>33</v>
      </c>
      <c r="B16" t="s">
        <v>233</v>
      </c>
      <c r="C16" s="3"/>
      <c r="D16" s="3"/>
      <c r="F16" s="5"/>
      <c r="H16" s="5">
        <f t="shared" si="0"/>
        <v>13828.990000000003</v>
      </c>
      <c r="I16" s="18"/>
      <c r="L16">
        <f t="shared" si="1"/>
        <v>14</v>
      </c>
      <c r="M16" s="91">
        <v>43308</v>
      </c>
      <c r="N16" s="92">
        <v>3455.28</v>
      </c>
    </row>
    <row r="17" spans="1:14" x14ac:dyDescent="0.25">
      <c r="A17" t="s">
        <v>33</v>
      </c>
      <c r="B17" t="s">
        <v>233</v>
      </c>
      <c r="C17" s="3"/>
      <c r="D17" s="3"/>
      <c r="F17" s="5"/>
      <c r="H17" s="5">
        <f t="shared" si="0"/>
        <v>13828.990000000003</v>
      </c>
      <c r="I17" s="18"/>
      <c r="L17">
        <f t="shared" si="1"/>
        <v>14</v>
      </c>
      <c r="M17" s="82">
        <v>43294</v>
      </c>
      <c r="N17" s="83">
        <v>3455.28</v>
      </c>
    </row>
    <row r="18" spans="1:14" x14ac:dyDescent="0.25">
      <c r="A18" t="s">
        <v>33</v>
      </c>
      <c r="B18" t="s">
        <v>233</v>
      </c>
      <c r="C18" s="3">
        <v>43283</v>
      </c>
      <c r="D18" s="3" t="s">
        <v>20</v>
      </c>
      <c r="E18" t="s">
        <v>358</v>
      </c>
      <c r="F18" s="5">
        <f>75-47-21.98</f>
        <v>6.02</v>
      </c>
      <c r="H18" s="5">
        <f t="shared" si="0"/>
        <v>13828.990000000003</v>
      </c>
      <c r="I18" s="18"/>
      <c r="L18">
        <f>M18-M19</f>
        <v>14</v>
      </c>
      <c r="M18" s="91">
        <v>43280</v>
      </c>
      <c r="N18" s="92">
        <v>3455.28</v>
      </c>
    </row>
    <row r="19" spans="1:14" x14ac:dyDescent="0.25">
      <c r="A19" t="s">
        <v>33</v>
      </c>
      <c r="B19" t="s">
        <v>233</v>
      </c>
      <c r="C19" s="3">
        <v>43283</v>
      </c>
      <c r="D19" s="3" t="s">
        <v>138</v>
      </c>
      <c r="E19" t="s">
        <v>358</v>
      </c>
      <c r="F19" s="5">
        <v>21.98</v>
      </c>
      <c r="H19" s="5">
        <f t="shared" si="0"/>
        <v>13835.010000000004</v>
      </c>
      <c r="I19" s="18"/>
      <c r="L19">
        <f>M19-M20</f>
        <v>14</v>
      </c>
      <c r="M19" s="80">
        <v>43266</v>
      </c>
      <c r="N19" s="81">
        <v>3455.28</v>
      </c>
    </row>
    <row r="20" spans="1:14" x14ac:dyDescent="0.25">
      <c r="A20" t="s">
        <v>33</v>
      </c>
      <c r="B20" t="s">
        <v>233</v>
      </c>
      <c r="C20" s="3">
        <v>43283</v>
      </c>
      <c r="D20" s="3" t="s">
        <v>14</v>
      </c>
      <c r="E20" t="s">
        <v>358</v>
      </c>
      <c r="F20" s="5">
        <v>47</v>
      </c>
      <c r="H20" s="5">
        <f t="shared" si="0"/>
        <v>13856.990000000003</v>
      </c>
      <c r="I20" s="18"/>
      <c r="M20" s="82">
        <v>43252</v>
      </c>
      <c r="N20" s="83">
        <v>3455.28</v>
      </c>
    </row>
    <row r="21" spans="1:14" x14ac:dyDescent="0.25">
      <c r="A21" t="s">
        <v>33</v>
      </c>
      <c r="B21" t="s">
        <v>233</v>
      </c>
      <c r="C21" s="3">
        <v>43283</v>
      </c>
      <c r="D21" s="3" t="s">
        <v>20</v>
      </c>
      <c r="E21" t="s">
        <v>349</v>
      </c>
      <c r="F21" s="5">
        <v>41.41</v>
      </c>
      <c r="H21" s="5">
        <f t="shared" si="0"/>
        <v>13903.990000000003</v>
      </c>
      <c r="I21" s="18"/>
      <c r="M21" s="90"/>
    </row>
    <row r="22" spans="1:14" x14ac:dyDescent="0.25">
      <c r="A22" t="s">
        <v>33</v>
      </c>
      <c r="B22" t="s">
        <v>233</v>
      </c>
      <c r="C22" s="3">
        <v>43283</v>
      </c>
      <c r="D22" s="3" t="s">
        <v>15</v>
      </c>
      <c r="E22" t="s">
        <v>350</v>
      </c>
      <c r="F22" s="5">
        <v>58.04</v>
      </c>
      <c r="H22" s="5">
        <f t="shared" si="0"/>
        <v>13945.400000000003</v>
      </c>
      <c r="I22" s="18"/>
      <c r="M22" s="90"/>
    </row>
    <row r="23" spans="1:14" x14ac:dyDescent="0.25">
      <c r="A23" t="s">
        <v>33</v>
      </c>
      <c r="B23" t="s">
        <v>233</v>
      </c>
      <c r="C23" s="3">
        <v>43283</v>
      </c>
      <c r="D23" s="3" t="s">
        <v>20</v>
      </c>
      <c r="E23" t="s">
        <v>43</v>
      </c>
      <c r="F23" s="5">
        <v>21.39</v>
      </c>
      <c r="H23" s="5">
        <f t="shared" si="0"/>
        <v>14003.440000000004</v>
      </c>
      <c r="I23" s="18"/>
      <c r="M23" s="90"/>
    </row>
    <row r="24" spans="1:14" x14ac:dyDescent="0.25">
      <c r="A24" t="s">
        <v>33</v>
      </c>
      <c r="B24" t="s">
        <v>233</v>
      </c>
      <c r="C24" s="3">
        <v>43283</v>
      </c>
      <c r="D24" s="3" t="s">
        <v>19</v>
      </c>
      <c r="E24" t="s">
        <v>43</v>
      </c>
      <c r="F24" s="5">
        <v>4.2300000000000004</v>
      </c>
      <c r="H24" s="5">
        <f t="shared" si="0"/>
        <v>14024.830000000004</v>
      </c>
      <c r="I24" s="18"/>
      <c r="M24" s="90">
        <f>M5+14</f>
        <v>43476</v>
      </c>
    </row>
    <row r="25" spans="1:14" x14ac:dyDescent="0.25">
      <c r="A25" t="s">
        <v>33</v>
      </c>
      <c r="B25" t="s">
        <v>233</v>
      </c>
      <c r="C25" s="3">
        <v>43283</v>
      </c>
      <c r="D25" s="3" t="s">
        <v>19</v>
      </c>
      <c r="E25" t="s">
        <v>351</v>
      </c>
      <c r="F25" s="5">
        <v>-4.2300000000000004</v>
      </c>
      <c r="H25" s="5">
        <f t="shared" si="0"/>
        <v>14029.060000000003</v>
      </c>
      <c r="I25" s="18"/>
      <c r="M25" s="90">
        <f>M24+14</f>
        <v>43490</v>
      </c>
    </row>
    <row r="26" spans="1:14" x14ac:dyDescent="0.25">
      <c r="A26" t="s">
        <v>33</v>
      </c>
      <c r="B26" t="s">
        <v>233</v>
      </c>
      <c r="C26" s="3">
        <v>43283</v>
      </c>
      <c r="D26" s="3" t="s">
        <v>19</v>
      </c>
      <c r="E26" t="s">
        <v>43</v>
      </c>
      <c r="F26" s="5">
        <v>4.2300000000000004</v>
      </c>
      <c r="H26" s="5">
        <f t="shared" si="0"/>
        <v>14024.830000000004</v>
      </c>
      <c r="I26" s="18"/>
      <c r="M26" s="90">
        <f>M25+14</f>
        <v>43504</v>
      </c>
    </row>
    <row r="27" spans="1:14" x14ac:dyDescent="0.25">
      <c r="A27" t="s">
        <v>33</v>
      </c>
      <c r="B27" t="s">
        <v>233</v>
      </c>
      <c r="C27" s="3">
        <v>43283</v>
      </c>
      <c r="D27" s="3" t="s">
        <v>15</v>
      </c>
      <c r="E27" t="s">
        <v>352</v>
      </c>
      <c r="F27" s="5">
        <v>7.99</v>
      </c>
      <c r="H27" s="5">
        <f t="shared" si="0"/>
        <v>14029.060000000003</v>
      </c>
      <c r="I27" s="18"/>
      <c r="M27" s="90">
        <f>M26+14</f>
        <v>43518</v>
      </c>
    </row>
    <row r="28" spans="1:14" x14ac:dyDescent="0.25">
      <c r="A28" t="s">
        <v>33</v>
      </c>
      <c r="B28" t="s">
        <v>233</v>
      </c>
      <c r="C28" s="3">
        <v>43283</v>
      </c>
      <c r="D28" s="3" t="s">
        <v>17</v>
      </c>
      <c r="E28" t="s">
        <v>353</v>
      </c>
      <c r="F28" s="5">
        <v>5</v>
      </c>
      <c r="H28" s="5">
        <f t="shared" si="0"/>
        <v>14037.050000000003</v>
      </c>
      <c r="I28" s="18"/>
      <c r="M28" s="90">
        <f t="shared" ref="M28:M49" si="2">M27+14</f>
        <v>43532</v>
      </c>
    </row>
    <row r="29" spans="1:14" x14ac:dyDescent="0.25">
      <c r="A29" t="s">
        <v>33</v>
      </c>
      <c r="B29" t="s">
        <v>233</v>
      </c>
      <c r="C29" s="3">
        <v>43283</v>
      </c>
      <c r="D29" s="3" t="s">
        <v>20</v>
      </c>
      <c r="E29" t="s">
        <v>354</v>
      </c>
      <c r="F29" s="5">
        <v>284.23</v>
      </c>
      <c r="H29" s="5">
        <f t="shared" si="0"/>
        <v>14042.050000000003</v>
      </c>
      <c r="I29" s="18"/>
      <c r="M29" s="90">
        <f t="shared" si="2"/>
        <v>43546</v>
      </c>
    </row>
    <row r="30" spans="1:14" x14ac:dyDescent="0.25">
      <c r="A30" t="s">
        <v>33</v>
      </c>
      <c r="B30" t="s">
        <v>233</v>
      </c>
      <c r="C30" s="3">
        <v>43283</v>
      </c>
      <c r="D30" s="3" t="s">
        <v>20</v>
      </c>
      <c r="E30" t="s">
        <v>355</v>
      </c>
      <c r="F30" s="5">
        <v>74.650000000000006</v>
      </c>
      <c r="H30" s="5">
        <f t="shared" si="0"/>
        <v>14326.280000000002</v>
      </c>
      <c r="I30" s="18"/>
      <c r="M30" s="90">
        <f t="shared" si="2"/>
        <v>43560</v>
      </c>
    </row>
    <row r="31" spans="1:14" x14ac:dyDescent="0.25">
      <c r="A31" t="s">
        <v>33</v>
      </c>
      <c r="B31" t="s">
        <v>233</v>
      </c>
      <c r="C31" s="3">
        <v>43283</v>
      </c>
      <c r="D31" s="3" t="s">
        <v>20</v>
      </c>
      <c r="E31" t="s">
        <v>356</v>
      </c>
      <c r="F31" s="5">
        <v>1700</v>
      </c>
      <c r="H31" s="5">
        <f t="shared" si="0"/>
        <v>14400.930000000002</v>
      </c>
      <c r="I31" s="18"/>
      <c r="M31" s="90">
        <f t="shared" si="2"/>
        <v>43574</v>
      </c>
    </row>
    <row r="32" spans="1:14" x14ac:dyDescent="0.25">
      <c r="A32" t="s">
        <v>33</v>
      </c>
      <c r="B32" t="s">
        <v>233</v>
      </c>
      <c r="C32" s="3">
        <v>43283</v>
      </c>
      <c r="D32" s="3" t="s">
        <v>20</v>
      </c>
      <c r="E32" t="s">
        <v>357</v>
      </c>
      <c r="F32" s="5">
        <v>-1857.84</v>
      </c>
      <c r="H32" s="5">
        <f t="shared" si="0"/>
        <v>16100.930000000002</v>
      </c>
      <c r="I32" s="18"/>
      <c r="M32" s="90">
        <f t="shared" si="2"/>
        <v>43588</v>
      </c>
    </row>
    <row r="33" spans="1:13" x14ac:dyDescent="0.25">
      <c r="A33" t="s">
        <v>33</v>
      </c>
      <c r="B33" t="s">
        <v>232</v>
      </c>
      <c r="C33" s="3">
        <v>43281</v>
      </c>
      <c r="D33" s="3" t="s">
        <v>207</v>
      </c>
      <c r="E33" t="s">
        <v>336</v>
      </c>
      <c r="F33" s="5">
        <v>25.67</v>
      </c>
      <c r="H33" s="5">
        <f t="shared" si="0"/>
        <v>14243.090000000002</v>
      </c>
      <c r="I33" s="18"/>
      <c r="M33" s="90">
        <f t="shared" si="2"/>
        <v>43602</v>
      </c>
    </row>
    <row r="34" spans="1:13" x14ac:dyDescent="0.25">
      <c r="A34" t="s">
        <v>33</v>
      </c>
      <c r="B34" t="s">
        <v>232</v>
      </c>
      <c r="C34" s="3">
        <v>43280</v>
      </c>
      <c r="D34" s="3" t="s">
        <v>20</v>
      </c>
      <c r="E34" t="s">
        <v>104</v>
      </c>
      <c r="F34" s="5">
        <v>-0.06</v>
      </c>
      <c r="H34" s="5">
        <f t="shared" si="0"/>
        <v>14268.760000000002</v>
      </c>
      <c r="I34" s="18"/>
      <c r="M34" s="90">
        <f t="shared" si="2"/>
        <v>43616</v>
      </c>
    </row>
    <row r="35" spans="1:13" x14ac:dyDescent="0.25">
      <c r="A35" t="s">
        <v>33</v>
      </c>
      <c r="B35" t="s">
        <v>232</v>
      </c>
      <c r="C35" s="3">
        <v>43280</v>
      </c>
      <c r="D35" s="3" t="s">
        <v>20</v>
      </c>
      <c r="E35" t="s">
        <v>337</v>
      </c>
      <c r="F35" s="5">
        <v>100</v>
      </c>
      <c r="H35" s="5">
        <f t="shared" si="0"/>
        <v>14268.700000000003</v>
      </c>
      <c r="I35" s="18"/>
      <c r="M35" s="90">
        <f t="shared" si="2"/>
        <v>43630</v>
      </c>
    </row>
    <row r="36" spans="1:13" x14ac:dyDescent="0.25">
      <c r="A36" t="s">
        <v>33</v>
      </c>
      <c r="B36" t="s">
        <v>232</v>
      </c>
      <c r="C36" s="3">
        <v>43280</v>
      </c>
      <c r="D36" s="3" t="s">
        <v>192</v>
      </c>
      <c r="E36" t="s">
        <v>106</v>
      </c>
      <c r="F36" s="5">
        <v>437.54</v>
      </c>
      <c r="H36" s="5">
        <f t="shared" si="0"/>
        <v>14368.700000000003</v>
      </c>
      <c r="I36" s="18"/>
      <c r="M36" s="90">
        <f t="shared" si="2"/>
        <v>43644</v>
      </c>
    </row>
    <row r="37" spans="1:13" x14ac:dyDescent="0.25">
      <c r="A37" t="s">
        <v>33</v>
      </c>
      <c r="B37" t="s">
        <v>232</v>
      </c>
      <c r="C37" s="3">
        <v>43280</v>
      </c>
      <c r="D37" s="3" t="s">
        <v>17</v>
      </c>
      <c r="E37" t="s">
        <v>338</v>
      </c>
      <c r="F37" s="5">
        <v>28.38</v>
      </c>
      <c r="H37" s="5">
        <f t="shared" si="0"/>
        <v>14806.240000000003</v>
      </c>
      <c r="I37" s="18"/>
      <c r="M37" s="90">
        <f t="shared" si="2"/>
        <v>43658</v>
      </c>
    </row>
    <row r="38" spans="1:13" x14ac:dyDescent="0.25">
      <c r="A38" t="s">
        <v>33</v>
      </c>
      <c r="B38" t="s">
        <v>232</v>
      </c>
      <c r="C38" s="3">
        <v>43280</v>
      </c>
      <c r="D38" s="3" t="s">
        <v>20</v>
      </c>
      <c r="E38" t="s">
        <v>339</v>
      </c>
      <c r="F38" s="5">
        <v>50</v>
      </c>
      <c r="H38" s="5">
        <f t="shared" si="0"/>
        <v>14834.620000000003</v>
      </c>
      <c r="I38" s="18"/>
      <c r="M38" s="90">
        <f t="shared" si="2"/>
        <v>43672</v>
      </c>
    </row>
    <row r="39" spans="1:13" x14ac:dyDescent="0.25">
      <c r="A39" t="s">
        <v>33</v>
      </c>
      <c r="B39" t="s">
        <v>232</v>
      </c>
      <c r="C39" s="3">
        <v>43280</v>
      </c>
      <c r="D39" s="3" t="s">
        <v>195</v>
      </c>
      <c r="E39" t="s">
        <v>340</v>
      </c>
      <c r="F39" s="5">
        <v>13.29</v>
      </c>
      <c r="H39" s="5">
        <f t="shared" si="0"/>
        <v>14884.620000000003</v>
      </c>
      <c r="I39" s="18"/>
      <c r="M39" s="90">
        <f t="shared" si="2"/>
        <v>43686</v>
      </c>
    </row>
    <row r="40" spans="1:13" x14ac:dyDescent="0.25">
      <c r="A40" t="s">
        <v>33</v>
      </c>
      <c r="B40" t="s">
        <v>232</v>
      </c>
      <c r="C40" s="3">
        <v>43280</v>
      </c>
      <c r="D40" s="3" t="s">
        <v>196</v>
      </c>
      <c r="E40" t="s">
        <v>50</v>
      </c>
      <c r="F40" s="5">
        <v>-3455.28</v>
      </c>
      <c r="H40" s="5">
        <f t="shared" si="0"/>
        <v>14897.910000000003</v>
      </c>
      <c r="I40" s="18"/>
      <c r="M40" s="90">
        <f t="shared" si="2"/>
        <v>43700</v>
      </c>
    </row>
    <row r="41" spans="1:13" x14ac:dyDescent="0.25">
      <c r="A41" t="s">
        <v>33</v>
      </c>
      <c r="B41" t="s">
        <v>232</v>
      </c>
      <c r="C41" s="3">
        <v>43279</v>
      </c>
      <c r="D41" s="3" t="s">
        <v>20</v>
      </c>
      <c r="E41" t="s">
        <v>341</v>
      </c>
      <c r="F41" s="5">
        <v>35.42</v>
      </c>
      <c r="H41" s="5">
        <f t="shared" si="0"/>
        <v>11442.630000000003</v>
      </c>
      <c r="I41" s="18"/>
      <c r="M41" s="90">
        <f t="shared" si="2"/>
        <v>43714</v>
      </c>
    </row>
    <row r="42" spans="1:13" x14ac:dyDescent="0.25">
      <c r="A42" t="s">
        <v>33</v>
      </c>
      <c r="B42" t="s">
        <v>232</v>
      </c>
      <c r="C42" s="3">
        <v>43279</v>
      </c>
      <c r="D42" s="3" t="s">
        <v>20</v>
      </c>
      <c r="E42" t="s">
        <v>342</v>
      </c>
      <c r="F42" s="5">
        <v>104.81</v>
      </c>
      <c r="H42" s="5">
        <f t="shared" si="0"/>
        <v>11478.050000000003</v>
      </c>
      <c r="I42" s="18"/>
      <c r="M42" s="90">
        <f t="shared" si="2"/>
        <v>43728</v>
      </c>
    </row>
    <row r="43" spans="1:13" x14ac:dyDescent="0.25">
      <c r="A43" t="s">
        <v>33</v>
      </c>
      <c r="B43" t="s">
        <v>232</v>
      </c>
      <c r="C43" s="3">
        <v>43278</v>
      </c>
      <c r="D43" s="3" t="s">
        <v>15</v>
      </c>
      <c r="E43" t="s">
        <v>343</v>
      </c>
      <c r="F43" s="5">
        <v>17.61</v>
      </c>
      <c r="H43" s="5">
        <f t="shared" si="0"/>
        <v>11582.860000000002</v>
      </c>
      <c r="I43" s="18"/>
      <c r="M43" s="90">
        <f t="shared" si="2"/>
        <v>43742</v>
      </c>
    </row>
    <row r="44" spans="1:13" x14ac:dyDescent="0.25">
      <c r="A44" t="s">
        <v>33</v>
      </c>
      <c r="B44" t="s">
        <v>232</v>
      </c>
      <c r="C44" s="3">
        <v>43278</v>
      </c>
      <c r="D44" s="3" t="s">
        <v>20</v>
      </c>
      <c r="E44" t="s">
        <v>344</v>
      </c>
      <c r="F44" s="5">
        <v>42.95</v>
      </c>
      <c r="H44" s="5">
        <f t="shared" si="0"/>
        <v>11600.470000000003</v>
      </c>
      <c r="I44" s="18"/>
      <c r="M44" s="90">
        <f t="shared" si="2"/>
        <v>43756</v>
      </c>
    </row>
    <row r="45" spans="1:13" x14ac:dyDescent="0.25">
      <c r="A45" t="s">
        <v>33</v>
      </c>
      <c r="B45" t="s">
        <v>232</v>
      </c>
      <c r="C45" s="3">
        <v>43278</v>
      </c>
      <c r="D45" s="3" t="s">
        <v>20</v>
      </c>
      <c r="E45" t="s">
        <v>345</v>
      </c>
      <c r="F45" s="5">
        <v>100</v>
      </c>
      <c r="H45" s="5">
        <f t="shared" si="0"/>
        <v>11643.420000000004</v>
      </c>
      <c r="I45" s="18"/>
      <c r="M45" s="90">
        <f t="shared" si="2"/>
        <v>43770</v>
      </c>
    </row>
    <row r="46" spans="1:13" x14ac:dyDescent="0.25">
      <c r="A46" t="s">
        <v>33</v>
      </c>
      <c r="B46" t="s">
        <v>232</v>
      </c>
      <c r="C46" s="3">
        <v>43278</v>
      </c>
      <c r="D46" s="3" t="s">
        <v>20</v>
      </c>
      <c r="E46" t="s">
        <v>346</v>
      </c>
      <c r="F46" s="5">
        <v>-2.95</v>
      </c>
      <c r="H46" s="5">
        <f t="shared" si="0"/>
        <v>11743.420000000004</v>
      </c>
      <c r="I46" s="18"/>
      <c r="M46" s="90">
        <f t="shared" si="2"/>
        <v>43784</v>
      </c>
    </row>
    <row r="47" spans="1:13" x14ac:dyDescent="0.25">
      <c r="A47" t="s">
        <v>33</v>
      </c>
      <c r="B47" t="s">
        <v>232</v>
      </c>
      <c r="C47" s="3">
        <v>43277</v>
      </c>
      <c r="D47" s="3" t="s">
        <v>20</v>
      </c>
      <c r="E47" t="s">
        <v>347</v>
      </c>
      <c r="F47" s="5">
        <v>100</v>
      </c>
      <c r="H47" s="5">
        <f t="shared" si="0"/>
        <v>11740.470000000003</v>
      </c>
      <c r="I47" s="18"/>
      <c r="M47" s="90">
        <f t="shared" si="2"/>
        <v>43798</v>
      </c>
    </row>
    <row r="48" spans="1:13" x14ac:dyDescent="0.25">
      <c r="A48" t="s">
        <v>33</v>
      </c>
      <c r="B48" t="s">
        <v>232</v>
      </c>
      <c r="C48" s="3">
        <v>43277</v>
      </c>
      <c r="D48" s="3" t="s">
        <v>20</v>
      </c>
      <c r="E48" t="s">
        <v>348</v>
      </c>
      <c r="F48" s="5">
        <v>500</v>
      </c>
      <c r="H48" s="5">
        <f t="shared" si="0"/>
        <v>11840.470000000003</v>
      </c>
      <c r="I48" s="18"/>
      <c r="M48" s="90">
        <f t="shared" si="2"/>
        <v>43812</v>
      </c>
    </row>
    <row r="49" spans="1:13" x14ac:dyDescent="0.25">
      <c r="A49" t="s">
        <v>33</v>
      </c>
      <c r="B49" t="s">
        <v>232</v>
      </c>
      <c r="C49" s="3">
        <v>43276</v>
      </c>
      <c r="D49" s="3" t="s">
        <v>202</v>
      </c>
      <c r="E49" t="s">
        <v>317</v>
      </c>
      <c r="F49" s="5">
        <v>60</v>
      </c>
      <c r="H49" s="5">
        <f t="shared" si="0"/>
        <v>12340.470000000003</v>
      </c>
      <c r="I49" s="18"/>
      <c r="M49" s="90">
        <f t="shared" si="2"/>
        <v>43826</v>
      </c>
    </row>
    <row r="50" spans="1:13" x14ac:dyDescent="0.25">
      <c r="A50" t="s">
        <v>33</v>
      </c>
      <c r="B50" t="s">
        <v>232</v>
      </c>
      <c r="C50" s="3">
        <v>43276</v>
      </c>
      <c r="D50" s="3" t="s">
        <v>202</v>
      </c>
      <c r="E50" t="s">
        <v>318</v>
      </c>
      <c r="F50" s="5">
        <v>43.5</v>
      </c>
      <c r="H50" s="5">
        <f t="shared" si="0"/>
        <v>12400.470000000003</v>
      </c>
      <c r="I50" s="18"/>
      <c r="M50" s="90"/>
    </row>
    <row r="51" spans="1:13" x14ac:dyDescent="0.25">
      <c r="A51" t="s">
        <v>33</v>
      </c>
      <c r="B51" t="s">
        <v>232</v>
      </c>
      <c r="C51" s="3">
        <v>43276</v>
      </c>
      <c r="D51" s="3" t="s">
        <v>16</v>
      </c>
      <c r="E51" t="s">
        <v>319</v>
      </c>
      <c r="F51" s="5">
        <v>27.63</v>
      </c>
      <c r="H51" s="5">
        <f t="shared" si="0"/>
        <v>12443.970000000003</v>
      </c>
      <c r="I51" s="18"/>
      <c r="M51" s="90"/>
    </row>
    <row r="52" spans="1:13" x14ac:dyDescent="0.25">
      <c r="A52" t="s">
        <v>33</v>
      </c>
      <c r="B52" t="s">
        <v>232</v>
      </c>
      <c r="C52" s="3">
        <v>43276</v>
      </c>
      <c r="D52" s="3" t="s">
        <v>20</v>
      </c>
      <c r="E52" t="s">
        <v>320</v>
      </c>
      <c r="F52" s="5">
        <v>15.01</v>
      </c>
      <c r="H52" s="5">
        <f t="shared" si="0"/>
        <v>12471.600000000002</v>
      </c>
      <c r="I52" s="18"/>
      <c r="M52" s="90"/>
    </row>
    <row r="53" spans="1:13" x14ac:dyDescent="0.25">
      <c r="A53" t="s">
        <v>33</v>
      </c>
      <c r="B53" t="s">
        <v>232</v>
      </c>
      <c r="C53" s="3">
        <v>43276</v>
      </c>
      <c r="D53" s="3" t="s">
        <v>19</v>
      </c>
      <c r="E53" t="s">
        <v>43</v>
      </c>
      <c r="F53" s="5">
        <v>4.87</v>
      </c>
      <c r="H53" s="5">
        <f t="shared" si="0"/>
        <v>12486.610000000002</v>
      </c>
      <c r="I53" s="18"/>
      <c r="M53" s="90"/>
    </row>
    <row r="54" spans="1:13" x14ac:dyDescent="0.25">
      <c r="A54" t="s">
        <v>33</v>
      </c>
      <c r="B54" t="s">
        <v>232</v>
      </c>
      <c r="C54" s="3">
        <v>43276</v>
      </c>
      <c r="D54" s="3" t="s">
        <v>17</v>
      </c>
      <c r="E54" t="s">
        <v>335</v>
      </c>
      <c r="F54" s="5">
        <v>33</v>
      </c>
      <c r="H54" s="5">
        <f t="shared" si="0"/>
        <v>12491.480000000003</v>
      </c>
      <c r="I54" s="18"/>
      <c r="M54" s="90"/>
    </row>
    <row r="55" spans="1:13" x14ac:dyDescent="0.25">
      <c r="A55" t="s">
        <v>33</v>
      </c>
      <c r="B55" t="s">
        <v>232</v>
      </c>
      <c r="C55" s="3">
        <v>43276</v>
      </c>
      <c r="D55" s="3" t="s">
        <v>18</v>
      </c>
      <c r="E55" t="s">
        <v>40</v>
      </c>
      <c r="F55" s="5">
        <v>2.25</v>
      </c>
      <c r="H55" s="5">
        <f t="shared" si="0"/>
        <v>12524.480000000003</v>
      </c>
      <c r="I55" s="18"/>
      <c r="M55" s="90"/>
    </row>
    <row r="56" spans="1:13" x14ac:dyDescent="0.25">
      <c r="A56" t="s">
        <v>33</v>
      </c>
      <c r="B56" t="s">
        <v>232</v>
      </c>
      <c r="C56" s="3">
        <v>43276</v>
      </c>
      <c r="D56" s="3" t="s">
        <v>18</v>
      </c>
      <c r="E56" t="s">
        <v>255</v>
      </c>
      <c r="F56" s="5">
        <v>8</v>
      </c>
      <c r="H56" s="5">
        <f t="shared" si="0"/>
        <v>12526.730000000003</v>
      </c>
      <c r="I56" s="18"/>
      <c r="M56" s="90"/>
    </row>
    <row r="57" spans="1:13" x14ac:dyDescent="0.25">
      <c r="A57" t="s">
        <v>33</v>
      </c>
      <c r="B57" t="s">
        <v>232</v>
      </c>
      <c r="C57" s="3">
        <v>43276</v>
      </c>
      <c r="D57" s="3" t="s">
        <v>20</v>
      </c>
      <c r="E57" t="s">
        <v>321</v>
      </c>
      <c r="F57" s="5">
        <v>4</v>
      </c>
      <c r="H57" s="5">
        <f t="shared" si="0"/>
        <v>12534.730000000003</v>
      </c>
      <c r="I57" s="18"/>
    </row>
    <row r="58" spans="1:13" x14ac:dyDescent="0.25">
      <c r="A58" t="s">
        <v>33</v>
      </c>
      <c r="B58" t="s">
        <v>232</v>
      </c>
      <c r="C58" s="3">
        <v>43276</v>
      </c>
      <c r="D58" s="3" t="s">
        <v>19</v>
      </c>
      <c r="E58" t="s">
        <v>43</v>
      </c>
      <c r="F58" s="5">
        <v>4.87</v>
      </c>
      <c r="H58" s="5">
        <f t="shared" si="0"/>
        <v>12538.730000000003</v>
      </c>
      <c r="I58" s="18"/>
    </row>
    <row r="59" spans="1:13" x14ac:dyDescent="0.25">
      <c r="A59" t="s">
        <v>33</v>
      </c>
      <c r="B59" t="s">
        <v>232</v>
      </c>
      <c r="C59" s="3">
        <v>43276</v>
      </c>
      <c r="D59" s="3" t="s">
        <v>202</v>
      </c>
      <c r="E59" t="s">
        <v>322</v>
      </c>
      <c r="F59" s="5">
        <v>83</v>
      </c>
      <c r="H59" s="5">
        <f t="shared" si="0"/>
        <v>12543.600000000004</v>
      </c>
      <c r="I59" s="18"/>
    </row>
    <row r="60" spans="1:13" x14ac:dyDescent="0.25">
      <c r="A60" t="s">
        <v>33</v>
      </c>
      <c r="B60" t="s">
        <v>232</v>
      </c>
      <c r="C60" s="3">
        <v>43274</v>
      </c>
      <c r="D60" s="3" t="s">
        <v>195</v>
      </c>
      <c r="E60" t="s">
        <v>258</v>
      </c>
      <c r="F60" s="5">
        <v>14.5</v>
      </c>
      <c r="H60" s="5">
        <f t="shared" si="0"/>
        <v>12626.600000000004</v>
      </c>
      <c r="I60" s="18"/>
    </row>
    <row r="61" spans="1:13" x14ac:dyDescent="0.25">
      <c r="A61" t="s">
        <v>33</v>
      </c>
      <c r="B61" t="s">
        <v>232</v>
      </c>
      <c r="C61" s="3">
        <v>43273</v>
      </c>
      <c r="D61" s="3" t="s">
        <v>20</v>
      </c>
      <c r="E61" t="s">
        <v>323</v>
      </c>
      <c r="F61" s="5">
        <v>7.5</v>
      </c>
      <c r="H61" s="5">
        <f t="shared" si="0"/>
        <v>12641.100000000004</v>
      </c>
      <c r="I61" s="18"/>
    </row>
    <row r="62" spans="1:13" x14ac:dyDescent="0.25">
      <c r="A62" t="s">
        <v>33</v>
      </c>
      <c r="B62" t="s">
        <v>232</v>
      </c>
      <c r="C62" s="3">
        <v>43273</v>
      </c>
      <c r="D62" s="3" t="s">
        <v>16</v>
      </c>
      <c r="E62" t="s">
        <v>324</v>
      </c>
      <c r="F62" s="5">
        <v>37.29</v>
      </c>
      <c r="H62" s="5">
        <f t="shared" si="0"/>
        <v>12648.600000000004</v>
      </c>
      <c r="I62" s="18"/>
    </row>
    <row r="63" spans="1:13" x14ac:dyDescent="0.25">
      <c r="A63" t="s">
        <v>33</v>
      </c>
      <c r="B63" t="s">
        <v>232</v>
      </c>
      <c r="C63" s="3">
        <v>43273</v>
      </c>
      <c r="D63" s="3" t="s">
        <v>207</v>
      </c>
      <c r="E63" t="s">
        <v>325</v>
      </c>
      <c r="F63" s="5">
        <v>7.48</v>
      </c>
      <c r="H63" s="5">
        <f t="shared" si="0"/>
        <v>12685.890000000005</v>
      </c>
      <c r="I63" s="18"/>
    </row>
    <row r="64" spans="1:13" x14ac:dyDescent="0.25">
      <c r="A64" t="s">
        <v>33</v>
      </c>
      <c r="B64" t="s">
        <v>232</v>
      </c>
      <c r="C64" s="3">
        <v>43273</v>
      </c>
      <c r="D64" s="3" t="s">
        <v>207</v>
      </c>
      <c r="E64" t="s">
        <v>326</v>
      </c>
      <c r="F64" s="5">
        <v>25.67</v>
      </c>
      <c r="H64" s="5">
        <f>H66-F64</f>
        <v>12693.370000000004</v>
      </c>
      <c r="I64" s="18"/>
    </row>
    <row r="65" spans="1:9" x14ac:dyDescent="0.25">
      <c r="A65" t="s">
        <v>33</v>
      </c>
      <c r="B65" t="s">
        <v>232</v>
      </c>
      <c r="C65" s="3">
        <v>43272</v>
      </c>
      <c r="D65" s="3" t="s">
        <v>20</v>
      </c>
      <c r="E65" t="s">
        <v>328</v>
      </c>
      <c r="F65" s="5">
        <v>50</v>
      </c>
      <c r="H65" s="5">
        <f t="shared" ref="H65" si="3">H66-F65</f>
        <v>12669.040000000005</v>
      </c>
      <c r="I65" s="18"/>
    </row>
    <row r="66" spans="1:9" x14ac:dyDescent="0.25">
      <c r="A66" t="s">
        <v>33</v>
      </c>
      <c r="B66" t="s">
        <v>232</v>
      </c>
      <c r="C66" s="3">
        <v>43272</v>
      </c>
      <c r="D66" s="3" t="s">
        <v>202</v>
      </c>
      <c r="E66" t="s">
        <v>327</v>
      </c>
      <c r="F66" s="5">
        <v>50</v>
      </c>
      <c r="H66" s="5">
        <f t="shared" si="0"/>
        <v>12719.040000000005</v>
      </c>
      <c r="I66" s="18"/>
    </row>
    <row r="67" spans="1:9" x14ac:dyDescent="0.25">
      <c r="A67" t="s">
        <v>33</v>
      </c>
      <c r="B67" t="s">
        <v>232</v>
      </c>
      <c r="C67" s="3">
        <v>43272</v>
      </c>
      <c r="D67" s="3" t="s">
        <v>17</v>
      </c>
      <c r="E67" t="s">
        <v>297</v>
      </c>
      <c r="F67" s="5">
        <v>5.98</v>
      </c>
      <c r="H67" s="5">
        <f t="shared" si="0"/>
        <v>12769.040000000005</v>
      </c>
      <c r="I67" s="18"/>
    </row>
    <row r="68" spans="1:9" x14ac:dyDescent="0.25">
      <c r="A68" t="s">
        <v>33</v>
      </c>
      <c r="B68" t="s">
        <v>232</v>
      </c>
      <c r="C68" s="3">
        <v>43271</v>
      </c>
      <c r="D68" s="3" t="s">
        <v>15</v>
      </c>
      <c r="E68" t="s">
        <v>298</v>
      </c>
      <c r="F68" s="5">
        <v>9.09</v>
      </c>
      <c r="H68" s="5">
        <f t="shared" si="0"/>
        <v>12775.020000000004</v>
      </c>
      <c r="I68" s="18"/>
    </row>
    <row r="69" spans="1:9" x14ac:dyDescent="0.25">
      <c r="A69" t="s">
        <v>33</v>
      </c>
      <c r="B69" t="s">
        <v>232</v>
      </c>
      <c r="C69" s="3">
        <v>43271</v>
      </c>
      <c r="D69" s="3" t="s">
        <v>18</v>
      </c>
      <c r="E69" t="s">
        <v>299</v>
      </c>
      <c r="F69" s="5">
        <v>2</v>
      </c>
      <c r="H69" s="5">
        <f t="shared" si="0"/>
        <v>12784.110000000004</v>
      </c>
      <c r="I69" s="18"/>
    </row>
    <row r="70" spans="1:9" x14ac:dyDescent="0.25">
      <c r="A70" t="s">
        <v>33</v>
      </c>
      <c r="B70" t="s">
        <v>232</v>
      </c>
      <c r="C70" s="3">
        <v>43271</v>
      </c>
      <c r="D70" s="3" t="s">
        <v>198</v>
      </c>
      <c r="E70" t="s">
        <v>300</v>
      </c>
      <c r="F70" s="5">
        <v>23</v>
      </c>
      <c r="H70" s="5">
        <f t="shared" si="0"/>
        <v>12786.110000000004</v>
      </c>
      <c r="I70" s="18"/>
    </row>
    <row r="71" spans="1:9" x14ac:dyDescent="0.25">
      <c r="A71" t="s">
        <v>33</v>
      </c>
      <c r="B71" t="s">
        <v>232</v>
      </c>
      <c r="C71" s="3">
        <v>43270</v>
      </c>
      <c r="D71" s="3" t="s">
        <v>19</v>
      </c>
      <c r="E71" t="s">
        <v>301</v>
      </c>
      <c r="F71" s="5">
        <v>2.68</v>
      </c>
      <c r="H71" s="5">
        <f t="shared" si="0"/>
        <v>12809.110000000004</v>
      </c>
      <c r="I71" s="18"/>
    </row>
    <row r="72" spans="1:9" x14ac:dyDescent="0.25">
      <c r="A72" t="s">
        <v>33</v>
      </c>
      <c r="B72" t="s">
        <v>232</v>
      </c>
      <c r="C72" s="3">
        <v>43270</v>
      </c>
      <c r="D72" s="3" t="s">
        <v>15</v>
      </c>
      <c r="E72" t="s">
        <v>302</v>
      </c>
      <c r="F72" s="5">
        <v>8.1</v>
      </c>
      <c r="H72" s="5">
        <f t="shared" si="0"/>
        <v>12811.790000000005</v>
      </c>
      <c r="I72" s="18"/>
    </row>
    <row r="73" spans="1:9" x14ac:dyDescent="0.25">
      <c r="A73" t="s">
        <v>33</v>
      </c>
      <c r="B73" t="s">
        <v>232</v>
      </c>
      <c r="C73" s="3">
        <v>43270</v>
      </c>
      <c r="D73" s="3" t="s">
        <v>17</v>
      </c>
      <c r="E73" t="s">
        <v>303</v>
      </c>
      <c r="F73" s="5">
        <v>15.55</v>
      </c>
      <c r="H73" s="5">
        <f t="shared" si="0"/>
        <v>12819.890000000005</v>
      </c>
      <c r="I73" s="18"/>
    </row>
    <row r="74" spans="1:9" x14ac:dyDescent="0.25">
      <c r="A74" t="s">
        <v>33</v>
      </c>
      <c r="B74" t="s">
        <v>232</v>
      </c>
      <c r="C74" s="3">
        <v>43270</v>
      </c>
      <c r="D74" s="3" t="s">
        <v>19</v>
      </c>
      <c r="E74" t="s">
        <v>304</v>
      </c>
      <c r="F74" s="5">
        <v>3.82</v>
      </c>
      <c r="H74" s="5">
        <f t="shared" si="0"/>
        <v>12835.440000000004</v>
      </c>
      <c r="I74" s="18"/>
    </row>
    <row r="75" spans="1:9" x14ac:dyDescent="0.25">
      <c r="A75" t="s">
        <v>33</v>
      </c>
      <c r="B75" t="s">
        <v>232</v>
      </c>
      <c r="C75" s="3">
        <v>43270</v>
      </c>
      <c r="D75" s="3" t="s">
        <v>20</v>
      </c>
      <c r="E75" t="s">
        <v>305</v>
      </c>
      <c r="F75" s="5">
        <v>19.07</v>
      </c>
      <c r="H75" s="5">
        <f t="shared" si="0"/>
        <v>12839.260000000004</v>
      </c>
      <c r="I75" s="18"/>
    </row>
    <row r="76" spans="1:9" x14ac:dyDescent="0.25">
      <c r="A76" t="s">
        <v>33</v>
      </c>
      <c r="B76" t="s">
        <v>232</v>
      </c>
      <c r="C76" s="3">
        <v>43270</v>
      </c>
      <c r="D76" s="3" t="s">
        <v>17</v>
      </c>
      <c r="E76" t="s">
        <v>306</v>
      </c>
      <c r="F76" s="5">
        <v>36</v>
      </c>
      <c r="H76" s="5">
        <f t="shared" si="0"/>
        <v>12858.330000000004</v>
      </c>
      <c r="I76" s="18"/>
    </row>
    <row r="77" spans="1:9" x14ac:dyDescent="0.25">
      <c r="A77" t="s">
        <v>33</v>
      </c>
      <c r="B77" t="s">
        <v>232</v>
      </c>
      <c r="C77" s="3">
        <v>43269</v>
      </c>
      <c r="D77" s="3" t="s">
        <v>15</v>
      </c>
      <c r="E77" t="s">
        <v>307</v>
      </c>
      <c r="F77" s="5">
        <v>4.32</v>
      </c>
      <c r="H77" s="5">
        <f t="shared" si="0"/>
        <v>12894.330000000004</v>
      </c>
      <c r="I77" s="18"/>
    </row>
    <row r="78" spans="1:9" x14ac:dyDescent="0.25">
      <c r="A78" t="s">
        <v>33</v>
      </c>
      <c r="B78" t="s">
        <v>232</v>
      </c>
      <c r="C78" s="3">
        <v>43269</v>
      </c>
      <c r="D78" s="3" t="s">
        <v>19</v>
      </c>
      <c r="E78" t="s">
        <v>308</v>
      </c>
      <c r="F78" s="5">
        <v>4.87</v>
      </c>
      <c r="H78" s="5">
        <f t="shared" si="0"/>
        <v>12898.650000000003</v>
      </c>
      <c r="I78" s="18"/>
    </row>
    <row r="79" spans="1:9" x14ac:dyDescent="0.25">
      <c r="A79" t="s">
        <v>33</v>
      </c>
      <c r="B79" t="s">
        <v>232</v>
      </c>
      <c r="C79" s="3">
        <v>43269</v>
      </c>
      <c r="D79" s="3" t="s">
        <v>20</v>
      </c>
      <c r="E79" t="s">
        <v>309</v>
      </c>
      <c r="F79" s="5">
        <v>20</v>
      </c>
      <c r="H79" s="5">
        <f>H81-F79</f>
        <v>12903.520000000004</v>
      </c>
      <c r="I79" s="18"/>
    </row>
    <row r="80" spans="1:9" x14ac:dyDescent="0.25">
      <c r="A80" t="s">
        <v>33</v>
      </c>
      <c r="B80" t="s">
        <v>232</v>
      </c>
      <c r="C80" s="3">
        <v>43269</v>
      </c>
      <c r="D80" s="3" t="s">
        <v>15</v>
      </c>
      <c r="E80" t="s">
        <v>309</v>
      </c>
      <c r="F80" s="5">
        <v>6.95</v>
      </c>
      <c r="H80" s="5">
        <f>H82-F80</f>
        <v>12936.570000000003</v>
      </c>
      <c r="I80" s="18"/>
    </row>
    <row r="81" spans="1:9" x14ac:dyDescent="0.25">
      <c r="A81" t="s">
        <v>33</v>
      </c>
      <c r="B81" t="s">
        <v>232</v>
      </c>
      <c r="C81" s="3">
        <v>43269</v>
      </c>
      <c r="D81" s="3" t="s">
        <v>20</v>
      </c>
      <c r="E81" t="s">
        <v>310</v>
      </c>
      <c r="F81" s="5">
        <v>20</v>
      </c>
      <c r="H81" s="5">
        <f t="shared" si="0"/>
        <v>12923.520000000004</v>
      </c>
      <c r="I81" s="18"/>
    </row>
    <row r="82" spans="1:9" x14ac:dyDescent="0.25">
      <c r="A82" t="s">
        <v>33</v>
      </c>
      <c r="B82" t="s">
        <v>232</v>
      </c>
      <c r="C82" s="3">
        <v>43269</v>
      </c>
      <c r="D82" s="3" t="s">
        <v>18</v>
      </c>
      <c r="E82" t="s">
        <v>311</v>
      </c>
      <c r="F82" s="5">
        <v>1</v>
      </c>
      <c r="H82" s="5">
        <f t="shared" si="0"/>
        <v>12943.520000000004</v>
      </c>
      <c r="I82" s="18"/>
    </row>
    <row r="83" spans="1:9" x14ac:dyDescent="0.25">
      <c r="A83" t="s">
        <v>33</v>
      </c>
      <c r="B83" t="s">
        <v>232</v>
      </c>
      <c r="C83" s="3">
        <v>43269</v>
      </c>
      <c r="D83" s="3" t="s">
        <v>18</v>
      </c>
      <c r="E83" t="s">
        <v>311</v>
      </c>
      <c r="F83" s="5">
        <v>4</v>
      </c>
      <c r="H83" s="5">
        <f t="shared" si="0"/>
        <v>12944.520000000004</v>
      </c>
      <c r="I83" s="18"/>
    </row>
    <row r="84" spans="1:9" x14ac:dyDescent="0.25">
      <c r="A84" t="s">
        <v>33</v>
      </c>
      <c r="B84" t="s">
        <v>232</v>
      </c>
      <c r="C84" s="3">
        <v>43269</v>
      </c>
      <c r="D84" s="3" t="s">
        <v>18</v>
      </c>
      <c r="E84" t="s">
        <v>312</v>
      </c>
      <c r="F84" s="5">
        <v>5</v>
      </c>
      <c r="H84" s="5">
        <f t="shared" si="0"/>
        <v>12948.520000000004</v>
      </c>
      <c r="I84" s="18"/>
    </row>
    <row r="85" spans="1:9" x14ac:dyDescent="0.25">
      <c r="A85" t="s">
        <v>33</v>
      </c>
      <c r="B85" t="s">
        <v>232</v>
      </c>
      <c r="C85" s="3">
        <v>43269</v>
      </c>
      <c r="D85" s="3" t="s">
        <v>15</v>
      </c>
      <c r="E85" t="s">
        <v>313</v>
      </c>
      <c r="F85" s="5">
        <v>15.81</v>
      </c>
      <c r="H85" s="5">
        <f t="shared" si="0"/>
        <v>12953.520000000004</v>
      </c>
      <c r="I85" s="18"/>
    </row>
    <row r="86" spans="1:9" x14ac:dyDescent="0.25">
      <c r="A86" t="s">
        <v>33</v>
      </c>
      <c r="B86" t="s">
        <v>232</v>
      </c>
      <c r="C86" s="3">
        <v>43269</v>
      </c>
      <c r="D86" s="3" t="s">
        <v>20</v>
      </c>
      <c r="E86" t="s">
        <v>314</v>
      </c>
      <c r="F86" s="5">
        <v>66.92</v>
      </c>
      <c r="H86" s="5">
        <f t="shared" si="0"/>
        <v>12969.330000000004</v>
      </c>
      <c r="I86" s="18"/>
    </row>
    <row r="87" spans="1:9" x14ac:dyDescent="0.25">
      <c r="A87" t="s">
        <v>33</v>
      </c>
      <c r="B87" t="s">
        <v>232</v>
      </c>
      <c r="C87" s="3">
        <v>43269</v>
      </c>
      <c r="D87" s="3" t="s">
        <v>20</v>
      </c>
      <c r="E87" t="s">
        <v>315</v>
      </c>
      <c r="F87" s="5">
        <v>63</v>
      </c>
      <c r="H87" s="5">
        <f t="shared" si="0"/>
        <v>13036.250000000004</v>
      </c>
      <c r="I87" s="18"/>
    </row>
    <row r="88" spans="1:9" x14ac:dyDescent="0.25">
      <c r="A88" t="s">
        <v>33</v>
      </c>
      <c r="B88" t="s">
        <v>232</v>
      </c>
      <c r="C88" s="3">
        <v>43269</v>
      </c>
      <c r="D88" s="3" t="s">
        <v>19</v>
      </c>
      <c r="E88" t="s">
        <v>316</v>
      </c>
      <c r="F88" s="5">
        <v>4.87</v>
      </c>
      <c r="H88" s="5">
        <f t="shared" si="0"/>
        <v>13099.250000000004</v>
      </c>
      <c r="I88" s="18"/>
    </row>
    <row r="89" spans="1:9" x14ac:dyDescent="0.25">
      <c r="A89" t="s">
        <v>49</v>
      </c>
      <c r="B89" t="s">
        <v>232</v>
      </c>
      <c r="C89" s="3">
        <v>43269</v>
      </c>
      <c r="D89" s="3" t="s">
        <v>20</v>
      </c>
      <c r="E89" t="s">
        <v>295</v>
      </c>
      <c r="F89" s="5">
        <v>-3</v>
      </c>
      <c r="H89" s="5">
        <f t="shared" si="0"/>
        <v>13104.120000000004</v>
      </c>
      <c r="I89" s="18"/>
    </row>
    <row r="90" spans="1:9" x14ac:dyDescent="0.25">
      <c r="A90" t="s">
        <v>33</v>
      </c>
      <c r="B90" t="s">
        <v>232</v>
      </c>
      <c r="C90" s="3">
        <v>43266</v>
      </c>
      <c r="D90" s="3" t="s">
        <v>20</v>
      </c>
      <c r="E90" t="s">
        <v>296</v>
      </c>
      <c r="F90" s="5">
        <v>44.94</v>
      </c>
      <c r="H90" s="5">
        <f t="shared" si="0"/>
        <v>13101.120000000004</v>
      </c>
      <c r="I90" s="18"/>
    </row>
    <row r="91" spans="1:9" x14ac:dyDescent="0.25">
      <c r="A91" t="s">
        <v>33</v>
      </c>
      <c r="B91" t="s">
        <v>232</v>
      </c>
      <c r="C91" s="3">
        <v>43266</v>
      </c>
      <c r="D91" s="3" t="s">
        <v>17</v>
      </c>
      <c r="E91" t="s">
        <v>294</v>
      </c>
      <c r="F91" s="5">
        <v>3.96</v>
      </c>
      <c r="H91" s="5">
        <f t="shared" si="0"/>
        <v>13146.060000000005</v>
      </c>
      <c r="I91" s="18"/>
    </row>
    <row r="92" spans="1:9" x14ac:dyDescent="0.25">
      <c r="A92" t="s">
        <v>49</v>
      </c>
      <c r="B92" t="s">
        <v>232</v>
      </c>
      <c r="C92" s="3">
        <v>43266</v>
      </c>
      <c r="D92" s="3" t="s">
        <v>196</v>
      </c>
      <c r="E92" t="s">
        <v>50</v>
      </c>
      <c r="F92" s="5">
        <v>-3455.28</v>
      </c>
      <c r="H92" s="5">
        <f t="shared" si="0"/>
        <v>13150.020000000004</v>
      </c>
      <c r="I92" s="18"/>
    </row>
    <row r="93" spans="1:9" x14ac:dyDescent="0.25">
      <c r="A93" t="s">
        <v>93</v>
      </c>
      <c r="B93" t="s">
        <v>232</v>
      </c>
      <c r="C93" s="3">
        <v>43266</v>
      </c>
      <c r="D93" s="3" t="s">
        <v>209</v>
      </c>
      <c r="E93" t="s">
        <v>293</v>
      </c>
      <c r="F93" s="5">
        <v>-1350</v>
      </c>
      <c r="H93" s="5">
        <f t="shared" si="0"/>
        <v>9694.7400000000034</v>
      </c>
      <c r="I93" s="18"/>
    </row>
    <row r="94" spans="1:9" x14ac:dyDescent="0.25">
      <c r="A94" t="s">
        <v>33</v>
      </c>
      <c r="B94" t="s">
        <v>232</v>
      </c>
      <c r="C94" s="3">
        <v>43266</v>
      </c>
      <c r="D94" s="3" t="s">
        <v>17</v>
      </c>
      <c r="E94" t="s">
        <v>275</v>
      </c>
      <c r="F94" s="5">
        <v>5.13</v>
      </c>
      <c r="H94" s="5">
        <f t="shared" si="0"/>
        <v>8344.7400000000034</v>
      </c>
      <c r="I94" s="18"/>
    </row>
    <row r="95" spans="1:9" x14ac:dyDescent="0.25">
      <c r="A95" t="s">
        <v>33</v>
      </c>
      <c r="B95" t="s">
        <v>232</v>
      </c>
      <c r="C95" s="3">
        <v>43266</v>
      </c>
      <c r="D95" s="3" t="s">
        <v>17</v>
      </c>
      <c r="E95" t="s">
        <v>276</v>
      </c>
      <c r="F95" s="5">
        <v>5.98</v>
      </c>
      <c r="H95" s="5">
        <f t="shared" si="0"/>
        <v>8349.8700000000026</v>
      </c>
      <c r="I95" s="18"/>
    </row>
    <row r="96" spans="1:9" x14ac:dyDescent="0.25">
      <c r="A96" t="s">
        <v>33</v>
      </c>
      <c r="B96" t="s">
        <v>232</v>
      </c>
      <c r="C96" s="3">
        <v>43266</v>
      </c>
      <c r="D96" s="3" t="s">
        <v>19</v>
      </c>
      <c r="E96" t="s">
        <v>277</v>
      </c>
      <c r="F96" s="5">
        <v>4.82</v>
      </c>
      <c r="H96" s="5">
        <f t="shared" si="0"/>
        <v>8355.8500000000022</v>
      </c>
      <c r="I96" s="18"/>
    </row>
    <row r="97" spans="1:9" x14ac:dyDescent="0.25">
      <c r="A97" t="s">
        <v>33</v>
      </c>
      <c r="B97" t="s">
        <v>232</v>
      </c>
      <c r="C97" s="3">
        <v>43266</v>
      </c>
      <c r="D97" s="3" t="s">
        <v>207</v>
      </c>
      <c r="E97" t="s">
        <v>278</v>
      </c>
      <c r="F97" s="5">
        <v>64.7</v>
      </c>
      <c r="H97" s="5">
        <f t="shared" si="0"/>
        <v>8360.6700000000019</v>
      </c>
      <c r="I97" s="18"/>
    </row>
    <row r="98" spans="1:9" x14ac:dyDescent="0.25">
      <c r="A98" t="s">
        <v>33</v>
      </c>
      <c r="B98" t="s">
        <v>232</v>
      </c>
      <c r="C98" s="3">
        <v>43266</v>
      </c>
      <c r="D98" s="3" t="s">
        <v>17</v>
      </c>
      <c r="E98" t="s">
        <v>279</v>
      </c>
      <c r="F98" s="5">
        <v>3.96</v>
      </c>
      <c r="H98" s="5">
        <f t="shared" si="0"/>
        <v>8425.3700000000026</v>
      </c>
      <c r="I98" s="18"/>
    </row>
    <row r="99" spans="1:9" x14ac:dyDescent="0.25">
      <c r="A99" t="s">
        <v>33</v>
      </c>
      <c r="B99" t="s">
        <v>232</v>
      </c>
      <c r="C99" s="3">
        <v>43266</v>
      </c>
      <c r="D99" s="3" t="s">
        <v>196</v>
      </c>
      <c r="E99" t="s">
        <v>280</v>
      </c>
      <c r="F99" s="5">
        <v>-3455.28</v>
      </c>
      <c r="H99" s="5">
        <f t="shared" si="0"/>
        <v>8429.3300000000017</v>
      </c>
      <c r="I99" s="18"/>
    </row>
    <row r="100" spans="1:9" x14ac:dyDescent="0.25">
      <c r="A100" t="s">
        <v>33</v>
      </c>
      <c r="B100" t="s">
        <v>232</v>
      </c>
      <c r="C100" s="3">
        <v>43265</v>
      </c>
      <c r="D100" s="3" t="s">
        <v>207</v>
      </c>
      <c r="E100" t="s">
        <v>281</v>
      </c>
      <c r="F100" s="5">
        <v>36.67</v>
      </c>
      <c r="H100" s="5">
        <f t="shared" si="0"/>
        <v>4974.050000000002</v>
      </c>
      <c r="I100" s="18"/>
    </row>
    <row r="101" spans="1:9" x14ac:dyDescent="0.25">
      <c r="A101" t="s">
        <v>33</v>
      </c>
      <c r="B101" t="s">
        <v>232</v>
      </c>
      <c r="C101" s="3">
        <v>43265</v>
      </c>
      <c r="D101" s="3" t="s">
        <v>19</v>
      </c>
      <c r="E101" t="s">
        <v>282</v>
      </c>
      <c r="F101" s="5">
        <v>4.2300000000000004</v>
      </c>
      <c r="H101" s="5">
        <f t="shared" si="0"/>
        <v>5010.7200000000021</v>
      </c>
      <c r="I101" s="18"/>
    </row>
    <row r="102" spans="1:9" x14ac:dyDescent="0.25">
      <c r="A102" t="s">
        <v>33</v>
      </c>
      <c r="B102" t="s">
        <v>232</v>
      </c>
      <c r="C102" s="3">
        <v>43265</v>
      </c>
      <c r="D102" s="3" t="s">
        <v>17</v>
      </c>
      <c r="E102" t="s">
        <v>283</v>
      </c>
      <c r="F102" s="5">
        <v>5.34</v>
      </c>
      <c r="H102" s="5">
        <f t="shared" si="0"/>
        <v>5014.9500000000016</v>
      </c>
      <c r="I102" s="18"/>
    </row>
    <row r="103" spans="1:9" x14ac:dyDescent="0.25">
      <c r="A103" t="s">
        <v>33</v>
      </c>
      <c r="B103" t="s">
        <v>232</v>
      </c>
      <c r="C103" s="3">
        <v>43264</v>
      </c>
      <c r="D103" s="3" t="s">
        <v>15</v>
      </c>
      <c r="E103" t="s">
        <v>284</v>
      </c>
      <c r="F103" s="5">
        <v>10.99</v>
      </c>
      <c r="H103" s="5">
        <f t="shared" si="0"/>
        <v>5020.2900000000018</v>
      </c>
      <c r="I103" s="18"/>
    </row>
    <row r="104" spans="1:9" x14ac:dyDescent="0.25">
      <c r="A104" t="s">
        <v>33</v>
      </c>
      <c r="B104" t="s">
        <v>232</v>
      </c>
      <c r="C104" s="3">
        <v>43264</v>
      </c>
      <c r="D104" s="3" t="s">
        <v>17</v>
      </c>
      <c r="E104" t="s">
        <v>285</v>
      </c>
      <c r="F104" s="5">
        <v>35.71</v>
      </c>
      <c r="H104" s="5">
        <f t="shared" si="0"/>
        <v>5031.2800000000016</v>
      </c>
      <c r="I104" s="18"/>
    </row>
    <row r="105" spans="1:9" x14ac:dyDescent="0.25">
      <c r="A105" t="s">
        <v>33</v>
      </c>
      <c r="B105" t="s">
        <v>232</v>
      </c>
      <c r="C105" s="3">
        <v>43263</v>
      </c>
      <c r="D105" s="3" t="s">
        <v>15</v>
      </c>
      <c r="E105" t="s">
        <v>286</v>
      </c>
      <c r="F105" s="5">
        <v>24.59</v>
      </c>
      <c r="H105" s="5">
        <f t="shared" si="0"/>
        <v>5066.9900000000016</v>
      </c>
      <c r="I105" s="18"/>
    </row>
    <row r="106" spans="1:9" x14ac:dyDescent="0.25">
      <c r="A106" t="s">
        <v>33</v>
      </c>
      <c r="B106" t="s">
        <v>232</v>
      </c>
      <c r="C106" s="3">
        <v>43263</v>
      </c>
      <c r="D106" s="3" t="s">
        <v>19</v>
      </c>
      <c r="E106" t="s">
        <v>287</v>
      </c>
      <c r="F106" s="5">
        <v>2.68</v>
      </c>
      <c r="H106" s="5">
        <f t="shared" si="0"/>
        <v>5091.5800000000017</v>
      </c>
      <c r="I106" s="18"/>
    </row>
    <row r="107" spans="1:9" x14ac:dyDescent="0.25">
      <c r="A107" t="s">
        <v>33</v>
      </c>
      <c r="B107" t="s">
        <v>232</v>
      </c>
      <c r="C107" s="3">
        <v>43263</v>
      </c>
      <c r="D107" s="3" t="s">
        <v>15</v>
      </c>
      <c r="E107" t="s">
        <v>288</v>
      </c>
      <c r="F107" s="5">
        <v>3.98</v>
      </c>
      <c r="H107" s="5">
        <f t="shared" si="0"/>
        <v>5094.260000000002</v>
      </c>
      <c r="I107" s="18"/>
    </row>
    <row r="108" spans="1:9" x14ac:dyDescent="0.25">
      <c r="A108" t="s">
        <v>33</v>
      </c>
      <c r="B108" t="s">
        <v>232</v>
      </c>
      <c r="C108" s="3">
        <v>43263</v>
      </c>
      <c r="D108" s="3" t="s">
        <v>19</v>
      </c>
      <c r="E108" t="s">
        <v>289</v>
      </c>
      <c r="F108" s="5">
        <v>4.2300000000000004</v>
      </c>
      <c r="H108" s="5">
        <f t="shared" si="0"/>
        <v>5098.2400000000016</v>
      </c>
      <c r="I108" s="18"/>
    </row>
    <row r="109" spans="1:9" x14ac:dyDescent="0.25">
      <c r="A109" t="s">
        <v>33</v>
      </c>
      <c r="B109" t="s">
        <v>232</v>
      </c>
      <c r="C109" s="3">
        <v>43263</v>
      </c>
      <c r="D109" s="3" t="s">
        <v>17</v>
      </c>
      <c r="E109" t="s">
        <v>290</v>
      </c>
      <c r="F109" s="5">
        <v>30.5</v>
      </c>
      <c r="H109" s="5">
        <f t="shared" si="0"/>
        <v>5102.4700000000012</v>
      </c>
      <c r="I109" s="18"/>
    </row>
    <row r="110" spans="1:9" x14ac:dyDescent="0.25">
      <c r="A110" t="s">
        <v>33</v>
      </c>
      <c r="B110" t="s">
        <v>232</v>
      </c>
      <c r="C110" s="3">
        <v>43262</v>
      </c>
      <c r="D110" s="3" t="s">
        <v>12</v>
      </c>
      <c r="E110" t="s">
        <v>142</v>
      </c>
      <c r="F110" s="5">
        <v>100</v>
      </c>
      <c r="G110" t="s">
        <v>46</v>
      </c>
      <c r="H110" s="5">
        <f t="shared" si="0"/>
        <v>5132.9700000000012</v>
      </c>
      <c r="I110" s="18"/>
    </row>
    <row r="111" spans="1:9" x14ac:dyDescent="0.25">
      <c r="A111" t="s">
        <v>33</v>
      </c>
      <c r="B111" t="s">
        <v>232</v>
      </c>
      <c r="C111" s="3">
        <v>43262</v>
      </c>
      <c r="D111" s="3" t="s">
        <v>18</v>
      </c>
      <c r="E111" t="s">
        <v>261</v>
      </c>
      <c r="F111" s="5">
        <v>12.13</v>
      </c>
      <c r="G111" t="s">
        <v>35</v>
      </c>
      <c r="H111" s="5">
        <f t="shared" si="0"/>
        <v>5232.9700000000012</v>
      </c>
      <c r="I111" s="18"/>
    </row>
    <row r="112" spans="1:9" x14ac:dyDescent="0.25">
      <c r="A112" t="s">
        <v>33</v>
      </c>
      <c r="B112" t="s">
        <v>232</v>
      </c>
      <c r="C112" s="3">
        <v>43262</v>
      </c>
      <c r="D112" s="3" t="s">
        <v>17</v>
      </c>
      <c r="E112" t="s">
        <v>262</v>
      </c>
      <c r="F112" s="5">
        <v>36.76</v>
      </c>
      <c r="G112" t="s">
        <v>35</v>
      </c>
      <c r="H112" s="5">
        <f t="shared" si="0"/>
        <v>5245.1000000000013</v>
      </c>
      <c r="I112" s="18"/>
    </row>
    <row r="113" spans="1:9" x14ac:dyDescent="0.25">
      <c r="A113" t="s">
        <v>33</v>
      </c>
      <c r="B113" t="s">
        <v>232</v>
      </c>
      <c r="C113" s="3">
        <v>43262</v>
      </c>
      <c r="D113" s="3" t="s">
        <v>15</v>
      </c>
      <c r="E113" t="s">
        <v>257</v>
      </c>
      <c r="F113" s="5">
        <v>51.41</v>
      </c>
      <c r="G113" t="s">
        <v>35</v>
      </c>
      <c r="H113" s="5">
        <f t="shared" si="0"/>
        <v>5281.8600000000015</v>
      </c>
      <c r="I113" s="18"/>
    </row>
    <row r="114" spans="1:9" x14ac:dyDescent="0.25">
      <c r="A114" t="s">
        <v>33</v>
      </c>
      <c r="B114" t="s">
        <v>232</v>
      </c>
      <c r="C114" s="3">
        <v>43262</v>
      </c>
      <c r="D114" s="3" t="s">
        <v>19</v>
      </c>
      <c r="E114" t="s">
        <v>43</v>
      </c>
      <c r="F114" s="5">
        <v>4.55</v>
      </c>
      <c r="G114" t="s">
        <v>35</v>
      </c>
      <c r="H114" s="5">
        <f t="shared" si="0"/>
        <v>5333.2700000000013</v>
      </c>
      <c r="I114" s="18"/>
    </row>
    <row r="115" spans="1:9" x14ac:dyDescent="0.25">
      <c r="A115" t="s">
        <v>33</v>
      </c>
      <c r="B115" t="s">
        <v>232</v>
      </c>
      <c r="C115" s="3">
        <v>43262</v>
      </c>
      <c r="D115" s="3" t="s">
        <v>16</v>
      </c>
      <c r="E115" t="s">
        <v>263</v>
      </c>
      <c r="F115" s="5">
        <v>35.44</v>
      </c>
      <c r="G115" t="s">
        <v>35</v>
      </c>
      <c r="H115" s="5">
        <f t="shared" si="0"/>
        <v>5337.8200000000015</v>
      </c>
      <c r="I115" s="18"/>
    </row>
    <row r="116" spans="1:9" x14ac:dyDescent="0.25">
      <c r="A116" t="s">
        <v>33</v>
      </c>
      <c r="B116" t="s">
        <v>232</v>
      </c>
      <c r="C116" s="3">
        <v>43262</v>
      </c>
      <c r="D116" s="3" t="s">
        <v>19</v>
      </c>
      <c r="E116" t="s">
        <v>42</v>
      </c>
      <c r="F116" s="5">
        <v>7.64</v>
      </c>
      <c r="G116" t="s">
        <v>35</v>
      </c>
      <c r="H116" s="5">
        <f t="shared" si="0"/>
        <v>5373.2600000000011</v>
      </c>
      <c r="I116" s="18"/>
    </row>
    <row r="117" spans="1:9" x14ac:dyDescent="0.25">
      <c r="A117" t="s">
        <v>33</v>
      </c>
      <c r="B117" t="s">
        <v>232</v>
      </c>
      <c r="C117" s="3">
        <v>43262</v>
      </c>
      <c r="D117" s="3" t="s">
        <v>18</v>
      </c>
      <c r="E117" t="s">
        <v>145</v>
      </c>
      <c r="F117" s="5">
        <v>5</v>
      </c>
      <c r="G117" t="s">
        <v>35</v>
      </c>
      <c r="H117" s="5">
        <f t="shared" si="0"/>
        <v>5380.9000000000015</v>
      </c>
      <c r="I117" s="18"/>
    </row>
    <row r="118" spans="1:9" x14ac:dyDescent="0.25">
      <c r="A118" t="s">
        <v>33</v>
      </c>
      <c r="B118" t="s">
        <v>232</v>
      </c>
      <c r="C118" s="3">
        <v>43262</v>
      </c>
      <c r="D118" s="3" t="s">
        <v>17</v>
      </c>
      <c r="E118" t="s">
        <v>39</v>
      </c>
      <c r="F118" s="5">
        <v>26.5</v>
      </c>
      <c r="G118" t="s">
        <v>35</v>
      </c>
      <c r="H118" s="5">
        <f t="shared" si="0"/>
        <v>5385.9000000000015</v>
      </c>
      <c r="I118" s="18"/>
    </row>
    <row r="119" spans="1:9" x14ac:dyDescent="0.25">
      <c r="A119" t="s">
        <v>33</v>
      </c>
      <c r="B119" t="s">
        <v>232</v>
      </c>
      <c r="C119" s="3">
        <v>43262</v>
      </c>
      <c r="D119" s="3" t="s">
        <v>17</v>
      </c>
      <c r="E119" t="s">
        <v>264</v>
      </c>
      <c r="F119" s="5">
        <v>3.8</v>
      </c>
      <c r="G119" t="s">
        <v>35</v>
      </c>
      <c r="H119" s="5">
        <f t="shared" si="0"/>
        <v>5412.4000000000015</v>
      </c>
      <c r="I119" s="18"/>
    </row>
    <row r="120" spans="1:9" x14ac:dyDescent="0.25">
      <c r="A120" t="s">
        <v>33</v>
      </c>
      <c r="B120" t="s">
        <v>232</v>
      </c>
      <c r="C120" s="3">
        <v>43262</v>
      </c>
      <c r="D120" s="3" t="s">
        <v>19</v>
      </c>
      <c r="E120" t="s">
        <v>43</v>
      </c>
      <c r="F120" s="5">
        <v>8.2899999999999991</v>
      </c>
      <c r="G120" t="s">
        <v>35</v>
      </c>
      <c r="H120" s="5">
        <f t="shared" si="0"/>
        <v>5416.2000000000016</v>
      </c>
      <c r="I120" s="18"/>
    </row>
    <row r="121" spans="1:9" x14ac:dyDescent="0.25">
      <c r="A121" t="s">
        <v>33</v>
      </c>
      <c r="B121" t="s">
        <v>232</v>
      </c>
      <c r="C121" s="3">
        <v>43260</v>
      </c>
      <c r="D121" s="3" t="s">
        <v>207</v>
      </c>
      <c r="E121" t="s">
        <v>265</v>
      </c>
      <c r="F121" s="5">
        <v>21.66</v>
      </c>
      <c r="G121" t="s">
        <v>35</v>
      </c>
      <c r="H121" s="5">
        <f t="shared" si="0"/>
        <v>5424.4900000000016</v>
      </c>
      <c r="I121" s="18"/>
    </row>
    <row r="122" spans="1:9" x14ac:dyDescent="0.25">
      <c r="A122" t="s">
        <v>33</v>
      </c>
      <c r="B122" t="s">
        <v>232</v>
      </c>
      <c r="C122" s="3">
        <v>43259</v>
      </c>
      <c r="D122" s="3" t="s">
        <v>15</v>
      </c>
      <c r="E122" t="s">
        <v>266</v>
      </c>
      <c r="F122" s="5">
        <v>7.58</v>
      </c>
      <c r="G122" t="s">
        <v>46</v>
      </c>
      <c r="H122" s="5">
        <f t="shared" si="0"/>
        <v>5446.1500000000015</v>
      </c>
      <c r="I122" s="18"/>
    </row>
    <row r="123" spans="1:9" x14ac:dyDescent="0.25">
      <c r="A123" t="s">
        <v>33</v>
      </c>
      <c r="B123" t="s">
        <v>232</v>
      </c>
      <c r="C123" s="3">
        <v>43259</v>
      </c>
      <c r="D123" s="3" t="s">
        <v>17</v>
      </c>
      <c r="E123" t="s">
        <v>267</v>
      </c>
      <c r="F123" s="5">
        <v>40.770000000000003</v>
      </c>
      <c r="G123" t="s">
        <v>46</v>
      </c>
      <c r="H123" s="5">
        <f>H125-F123</f>
        <v>5453.7300000000014</v>
      </c>
      <c r="I123" s="18"/>
    </row>
    <row r="124" spans="1:9" x14ac:dyDescent="0.25">
      <c r="A124" t="s">
        <v>33</v>
      </c>
      <c r="B124" t="s">
        <v>232</v>
      </c>
      <c r="C124" s="3">
        <v>43258</v>
      </c>
      <c r="D124" s="3" t="s">
        <v>17</v>
      </c>
      <c r="E124" t="s">
        <v>268</v>
      </c>
      <c r="F124" s="5">
        <f>7.09+0.65</f>
        <v>7.74</v>
      </c>
      <c r="G124" t="s">
        <v>46</v>
      </c>
      <c r="H124" s="5">
        <f t="shared" ref="H124" si="4">H125-F124</f>
        <v>5486.760000000002</v>
      </c>
      <c r="I124" s="18"/>
    </row>
    <row r="125" spans="1:9" x14ac:dyDescent="0.25">
      <c r="A125" t="s">
        <v>33</v>
      </c>
      <c r="B125" t="s">
        <v>232</v>
      </c>
      <c r="C125" s="3">
        <v>43258</v>
      </c>
      <c r="D125" s="3" t="s">
        <v>15</v>
      </c>
      <c r="E125" t="s">
        <v>268</v>
      </c>
      <c r="F125" s="5">
        <f>3.7+0.11</f>
        <v>3.81</v>
      </c>
      <c r="G125" t="s">
        <v>46</v>
      </c>
      <c r="H125" s="5">
        <f t="shared" si="0"/>
        <v>5494.5000000000018</v>
      </c>
      <c r="I125" s="18"/>
    </row>
    <row r="126" spans="1:9" x14ac:dyDescent="0.25">
      <c r="A126" t="s">
        <v>33</v>
      </c>
      <c r="B126" t="s">
        <v>232</v>
      </c>
      <c r="C126" s="3">
        <v>43258</v>
      </c>
      <c r="D126" s="3" t="s">
        <v>17</v>
      </c>
      <c r="E126" t="s">
        <v>269</v>
      </c>
      <c r="F126" s="5">
        <v>23.02</v>
      </c>
      <c r="G126" t="s">
        <v>46</v>
      </c>
      <c r="H126" s="5">
        <f t="shared" si="0"/>
        <v>5498.3100000000022</v>
      </c>
      <c r="I126" s="18"/>
    </row>
    <row r="127" spans="1:9" x14ac:dyDescent="0.25">
      <c r="A127" t="s">
        <v>33</v>
      </c>
      <c r="B127" t="s">
        <v>232</v>
      </c>
      <c r="C127" s="3">
        <v>43258</v>
      </c>
      <c r="D127" s="3" t="s">
        <v>20</v>
      </c>
      <c r="E127" t="s">
        <v>270</v>
      </c>
      <c r="F127" s="5">
        <v>64.73</v>
      </c>
      <c r="G127" t="s">
        <v>46</v>
      </c>
      <c r="H127" s="5">
        <f t="shared" si="0"/>
        <v>5521.3300000000027</v>
      </c>
      <c r="I127" s="18"/>
    </row>
    <row r="128" spans="1:9" x14ac:dyDescent="0.25">
      <c r="A128" t="s">
        <v>33</v>
      </c>
      <c r="B128" t="s">
        <v>232</v>
      </c>
      <c r="C128" s="3">
        <v>43257</v>
      </c>
      <c r="D128" s="3" t="s">
        <v>16</v>
      </c>
      <c r="E128" t="s">
        <v>271</v>
      </c>
      <c r="F128" s="5">
        <v>34.520000000000003</v>
      </c>
      <c r="G128" t="s">
        <v>46</v>
      </c>
      <c r="H128" s="5">
        <f t="shared" si="0"/>
        <v>5586.0600000000022</v>
      </c>
      <c r="I128" s="18"/>
    </row>
    <row r="129" spans="1:13" x14ac:dyDescent="0.25">
      <c r="A129" t="s">
        <v>33</v>
      </c>
      <c r="B129" t="s">
        <v>232</v>
      </c>
      <c r="C129" s="3">
        <v>43256</v>
      </c>
      <c r="D129" s="3" t="s">
        <v>19</v>
      </c>
      <c r="E129" t="s">
        <v>272</v>
      </c>
      <c r="F129" s="5">
        <v>2.68</v>
      </c>
      <c r="G129" t="s">
        <v>46</v>
      </c>
      <c r="H129" s="5">
        <f t="shared" si="0"/>
        <v>5620.5800000000027</v>
      </c>
      <c r="I129" s="18"/>
    </row>
    <row r="130" spans="1:13" x14ac:dyDescent="0.25">
      <c r="A130" t="s">
        <v>33</v>
      </c>
      <c r="B130" t="s">
        <v>232</v>
      </c>
      <c r="C130" s="3">
        <v>43256</v>
      </c>
      <c r="D130" s="3" t="s">
        <v>19</v>
      </c>
      <c r="E130" t="s">
        <v>273</v>
      </c>
      <c r="F130" s="5">
        <v>4.2300000000000004</v>
      </c>
      <c r="G130" t="s">
        <v>46</v>
      </c>
      <c r="H130" s="5">
        <f t="shared" si="0"/>
        <v>5623.2600000000029</v>
      </c>
      <c r="I130" s="18"/>
      <c r="M130">
        <f>1438.25/5</f>
        <v>287.64999999999998</v>
      </c>
    </row>
    <row r="131" spans="1:13" x14ac:dyDescent="0.25">
      <c r="A131" t="s">
        <v>33</v>
      </c>
      <c r="B131" t="s">
        <v>232</v>
      </c>
      <c r="C131" s="3">
        <v>43256</v>
      </c>
      <c r="D131" s="3" t="s">
        <v>18</v>
      </c>
      <c r="E131" t="s">
        <v>274</v>
      </c>
      <c r="F131" s="5">
        <v>1.3</v>
      </c>
      <c r="G131" t="s">
        <v>46</v>
      </c>
      <c r="H131" s="5">
        <f t="shared" si="0"/>
        <v>5627.4900000000025</v>
      </c>
      <c r="I131" s="18"/>
    </row>
    <row r="132" spans="1:13" x14ac:dyDescent="0.25">
      <c r="A132" t="s">
        <v>33</v>
      </c>
      <c r="B132" t="s">
        <v>232</v>
      </c>
      <c r="C132" s="3">
        <v>43255</v>
      </c>
      <c r="D132" s="3" t="s">
        <v>15</v>
      </c>
      <c r="E132" t="s">
        <v>260</v>
      </c>
      <c r="F132" s="5">
        <v>12.16</v>
      </c>
      <c r="G132" t="s">
        <v>46</v>
      </c>
      <c r="H132" s="5">
        <f t="shared" si="0"/>
        <v>5628.7900000000027</v>
      </c>
      <c r="I132" s="18"/>
    </row>
    <row r="133" spans="1:13" x14ac:dyDescent="0.25">
      <c r="A133" t="s">
        <v>33</v>
      </c>
      <c r="B133" t="s">
        <v>232</v>
      </c>
      <c r="C133" s="3">
        <v>43255</v>
      </c>
      <c r="D133" s="3" t="s">
        <v>12</v>
      </c>
      <c r="E133" t="s">
        <v>142</v>
      </c>
      <c r="F133" s="5">
        <v>100</v>
      </c>
      <c r="G133" t="s">
        <v>46</v>
      </c>
      <c r="H133" s="5">
        <f t="shared" si="0"/>
        <v>5640.9500000000025</v>
      </c>
      <c r="I133" s="18"/>
    </row>
    <row r="134" spans="1:13" x14ac:dyDescent="0.25">
      <c r="A134" t="s">
        <v>33</v>
      </c>
      <c r="B134" t="s">
        <v>232</v>
      </c>
      <c r="C134" s="3">
        <v>43255</v>
      </c>
      <c r="D134" s="3" t="s">
        <v>15</v>
      </c>
      <c r="E134" t="s">
        <v>143</v>
      </c>
      <c r="F134" s="5">
        <v>20.420000000000002</v>
      </c>
      <c r="G134" t="s">
        <v>46</v>
      </c>
      <c r="H134" s="5">
        <f t="shared" si="0"/>
        <v>5740.9500000000025</v>
      </c>
      <c r="I134" s="18"/>
    </row>
    <row r="135" spans="1:13" x14ac:dyDescent="0.25">
      <c r="A135" t="s">
        <v>33</v>
      </c>
      <c r="B135" t="s">
        <v>232</v>
      </c>
      <c r="C135" s="3">
        <v>43255</v>
      </c>
      <c r="D135" s="3" t="s">
        <v>19</v>
      </c>
      <c r="E135" t="s">
        <v>252</v>
      </c>
      <c r="F135" s="5">
        <v>2.6</v>
      </c>
      <c r="G135" t="s">
        <v>46</v>
      </c>
      <c r="H135" s="5">
        <f t="shared" si="0"/>
        <v>5761.3700000000026</v>
      </c>
      <c r="I135" s="18"/>
    </row>
    <row r="136" spans="1:13" x14ac:dyDescent="0.25">
      <c r="A136" t="s">
        <v>33</v>
      </c>
      <c r="B136" t="s">
        <v>232</v>
      </c>
      <c r="C136" s="3">
        <v>43255</v>
      </c>
      <c r="D136" s="3" t="s">
        <v>19</v>
      </c>
      <c r="E136" t="s">
        <v>43</v>
      </c>
      <c r="F136" s="5">
        <v>4.2300000000000004</v>
      </c>
      <c r="G136" t="s">
        <v>46</v>
      </c>
      <c r="H136" s="5">
        <f t="shared" si="0"/>
        <v>5763.970000000003</v>
      </c>
      <c r="I136" s="18"/>
    </row>
    <row r="137" spans="1:13" x14ac:dyDescent="0.25">
      <c r="A137" t="s">
        <v>33</v>
      </c>
      <c r="B137" t="s">
        <v>232</v>
      </c>
      <c r="C137" s="3">
        <v>43255</v>
      </c>
      <c r="D137" s="3" t="s">
        <v>207</v>
      </c>
      <c r="E137" t="s">
        <v>253</v>
      </c>
      <c r="F137" s="5">
        <v>12.6</v>
      </c>
      <c r="G137" t="s">
        <v>46</v>
      </c>
      <c r="H137" s="5">
        <f t="shared" si="0"/>
        <v>5768.2000000000025</v>
      </c>
      <c r="I137" s="18"/>
    </row>
    <row r="138" spans="1:13" x14ac:dyDescent="0.25">
      <c r="A138" t="s">
        <v>33</v>
      </c>
      <c r="B138" t="s">
        <v>232</v>
      </c>
      <c r="C138" s="3">
        <v>43255</v>
      </c>
      <c r="D138" s="3" t="s">
        <v>20</v>
      </c>
      <c r="E138" t="s">
        <v>254</v>
      </c>
      <c r="F138" s="5">
        <v>400</v>
      </c>
      <c r="G138" t="s">
        <v>46</v>
      </c>
      <c r="H138" s="5">
        <f t="shared" si="0"/>
        <v>5780.8000000000029</v>
      </c>
      <c r="I138" s="18"/>
    </row>
    <row r="139" spans="1:13" x14ac:dyDescent="0.25">
      <c r="A139" t="s">
        <v>33</v>
      </c>
      <c r="B139" t="s">
        <v>232</v>
      </c>
      <c r="C139" s="3">
        <v>43255</v>
      </c>
      <c r="D139" s="3" t="s">
        <v>17</v>
      </c>
      <c r="E139" t="s">
        <v>39</v>
      </c>
      <c r="F139" s="5">
        <v>45.22</v>
      </c>
      <c r="G139" t="s">
        <v>46</v>
      </c>
      <c r="H139" s="5">
        <f t="shared" si="0"/>
        <v>6180.8000000000029</v>
      </c>
      <c r="I139" s="18"/>
    </row>
    <row r="140" spans="1:13" x14ac:dyDescent="0.25">
      <c r="A140" t="s">
        <v>33</v>
      </c>
      <c r="B140" t="s">
        <v>232</v>
      </c>
      <c r="C140" s="3">
        <v>43255</v>
      </c>
      <c r="D140" s="3" t="s">
        <v>19</v>
      </c>
      <c r="E140" t="s">
        <v>42</v>
      </c>
      <c r="F140" s="5">
        <v>2.6</v>
      </c>
      <c r="G140" t="s">
        <v>46</v>
      </c>
      <c r="H140" s="5">
        <f t="shared" si="0"/>
        <v>6226.0200000000032</v>
      </c>
      <c r="I140" s="18"/>
    </row>
    <row r="141" spans="1:13" x14ac:dyDescent="0.25">
      <c r="A141" t="s">
        <v>33</v>
      </c>
      <c r="B141" t="s">
        <v>232</v>
      </c>
      <c r="C141" s="3">
        <v>43255</v>
      </c>
      <c r="D141" s="3" t="s">
        <v>18</v>
      </c>
      <c r="E141" t="s">
        <v>255</v>
      </c>
      <c r="F141" s="5">
        <v>8</v>
      </c>
      <c r="G141" t="s">
        <v>46</v>
      </c>
      <c r="H141" s="5">
        <f t="shared" si="0"/>
        <v>6228.6200000000035</v>
      </c>
      <c r="I141" s="18"/>
    </row>
    <row r="142" spans="1:13" x14ac:dyDescent="0.25">
      <c r="A142" t="s">
        <v>33</v>
      </c>
      <c r="B142" t="s">
        <v>232</v>
      </c>
      <c r="C142" s="3">
        <v>43255</v>
      </c>
      <c r="D142" s="3" t="s">
        <v>16</v>
      </c>
      <c r="E142" t="s">
        <v>256</v>
      </c>
      <c r="F142" s="5">
        <v>37.86</v>
      </c>
      <c r="G142" t="s">
        <v>46</v>
      </c>
      <c r="H142" s="5">
        <f t="shared" si="0"/>
        <v>6236.6200000000035</v>
      </c>
      <c r="I142" s="18"/>
    </row>
    <row r="143" spans="1:13" x14ac:dyDescent="0.25">
      <c r="A143" t="s">
        <v>33</v>
      </c>
      <c r="B143" t="s">
        <v>232</v>
      </c>
      <c r="C143" s="3">
        <v>43255</v>
      </c>
      <c r="D143" s="3" t="s">
        <v>17</v>
      </c>
      <c r="E143" t="s">
        <v>257</v>
      </c>
      <c r="F143" s="5">
        <v>6.95</v>
      </c>
      <c r="G143" t="s">
        <v>46</v>
      </c>
      <c r="H143" s="5">
        <f t="shared" si="0"/>
        <v>6274.4800000000032</v>
      </c>
      <c r="I143" s="18"/>
    </row>
    <row r="144" spans="1:13" x14ac:dyDescent="0.25">
      <c r="A144" t="s">
        <v>33</v>
      </c>
      <c r="B144" t="s">
        <v>232</v>
      </c>
      <c r="C144" s="3">
        <v>43255</v>
      </c>
      <c r="D144" s="3" t="s">
        <v>19</v>
      </c>
      <c r="E144" t="s">
        <v>43</v>
      </c>
      <c r="F144" s="5">
        <v>4.2300000000000004</v>
      </c>
      <c r="G144" t="s">
        <v>46</v>
      </c>
      <c r="H144" s="5">
        <f t="shared" si="0"/>
        <v>6281.430000000003</v>
      </c>
      <c r="I144" s="18"/>
    </row>
    <row r="145" spans="1:9" x14ac:dyDescent="0.25">
      <c r="A145" t="s">
        <v>33</v>
      </c>
      <c r="B145" t="s">
        <v>232</v>
      </c>
      <c r="C145" s="3">
        <v>43253</v>
      </c>
      <c r="D145" s="3" t="s">
        <v>195</v>
      </c>
      <c r="E145" t="s">
        <v>258</v>
      </c>
      <c r="F145" s="5">
        <v>21.63</v>
      </c>
      <c r="G145" t="s">
        <v>46</v>
      </c>
      <c r="H145" s="5">
        <f t="shared" si="0"/>
        <v>6285.6600000000026</v>
      </c>
      <c r="I145" s="18"/>
    </row>
    <row r="146" spans="1:9" x14ac:dyDescent="0.25">
      <c r="A146" t="s">
        <v>33</v>
      </c>
      <c r="B146" t="s">
        <v>232</v>
      </c>
      <c r="C146" s="3">
        <v>43255</v>
      </c>
      <c r="D146" s="3" t="s">
        <v>11</v>
      </c>
      <c r="E146" t="s">
        <v>251</v>
      </c>
      <c r="F146" s="5">
        <v>828.15</v>
      </c>
      <c r="G146" t="s">
        <v>46</v>
      </c>
      <c r="H146" s="5">
        <f t="shared" ref="H146:H153" si="5">H147-F146</f>
        <v>6307.2900000000027</v>
      </c>
      <c r="I146" s="18"/>
    </row>
    <row r="147" spans="1:9" x14ac:dyDescent="0.25">
      <c r="A147" t="s">
        <v>33</v>
      </c>
      <c r="B147" t="s">
        <v>232</v>
      </c>
      <c r="C147" s="3">
        <v>43252</v>
      </c>
      <c r="D147" s="3" t="s">
        <v>17</v>
      </c>
      <c r="E147" t="s">
        <v>59</v>
      </c>
      <c r="F147" s="5">
        <v>3.99</v>
      </c>
      <c r="G147" t="s">
        <v>46</v>
      </c>
      <c r="H147" s="5">
        <f t="shared" si="5"/>
        <v>7135.4400000000023</v>
      </c>
      <c r="I147" s="18"/>
    </row>
    <row r="148" spans="1:9" x14ac:dyDescent="0.25">
      <c r="A148" t="s">
        <v>33</v>
      </c>
      <c r="B148" t="s">
        <v>232</v>
      </c>
      <c r="C148" s="3">
        <v>43252</v>
      </c>
      <c r="D148" s="3" t="s">
        <v>15</v>
      </c>
      <c r="E148" t="s">
        <v>59</v>
      </c>
      <c r="F148" s="5">
        <f>10.14-3.99</f>
        <v>6.15</v>
      </c>
      <c r="G148" t="s">
        <v>46</v>
      </c>
      <c r="H148" s="5">
        <f t="shared" si="5"/>
        <v>7139.4300000000021</v>
      </c>
      <c r="I148" s="18"/>
    </row>
    <row r="149" spans="1:9" x14ac:dyDescent="0.25">
      <c r="A149" t="s">
        <v>33</v>
      </c>
      <c r="B149" t="s">
        <v>232</v>
      </c>
      <c r="C149" s="3">
        <v>43252</v>
      </c>
      <c r="D149" s="3" t="s">
        <v>196</v>
      </c>
      <c r="E149" t="s">
        <v>50</v>
      </c>
      <c r="F149" s="5">
        <v>-3455.27</v>
      </c>
      <c r="G149" t="s">
        <v>46</v>
      </c>
      <c r="H149" s="5">
        <f t="shared" si="5"/>
        <v>7145.5800000000017</v>
      </c>
      <c r="I149" s="18"/>
    </row>
    <row r="150" spans="1:9" x14ac:dyDescent="0.25">
      <c r="A150" t="s">
        <v>33</v>
      </c>
      <c r="B150" t="s">
        <v>232</v>
      </c>
      <c r="C150" s="3">
        <v>43252</v>
      </c>
      <c r="D150" s="3" t="s">
        <v>208</v>
      </c>
      <c r="E150" t="s">
        <v>248</v>
      </c>
      <c r="F150" s="5">
        <v>298</v>
      </c>
      <c r="G150" t="s">
        <v>46</v>
      </c>
      <c r="H150" s="5">
        <f t="shared" si="5"/>
        <v>3690.3100000000013</v>
      </c>
      <c r="I150" s="18"/>
    </row>
    <row r="151" spans="1:9" x14ac:dyDescent="0.25">
      <c r="A151" t="s">
        <v>33</v>
      </c>
      <c r="B151" t="s">
        <v>232</v>
      </c>
      <c r="C151" s="3">
        <v>43252</v>
      </c>
      <c r="D151" s="3" t="s">
        <v>14</v>
      </c>
      <c r="E151" t="s">
        <v>249</v>
      </c>
      <c r="F151" s="5">
        <v>47</v>
      </c>
      <c r="G151" t="s">
        <v>46</v>
      </c>
      <c r="H151" s="5">
        <f t="shared" si="5"/>
        <v>3988.3100000000013</v>
      </c>
      <c r="I151" s="18"/>
    </row>
    <row r="152" spans="1:9" x14ac:dyDescent="0.25">
      <c r="A152" t="s">
        <v>33</v>
      </c>
      <c r="B152" t="s">
        <v>232</v>
      </c>
      <c r="C152" s="3">
        <v>43252</v>
      </c>
      <c r="D152" s="3" t="s">
        <v>13</v>
      </c>
      <c r="E152" t="s">
        <v>250</v>
      </c>
      <c r="F152" s="5">
        <v>545</v>
      </c>
      <c r="G152" t="s">
        <v>46</v>
      </c>
      <c r="H152" s="5">
        <f t="shared" si="5"/>
        <v>4035.3100000000013</v>
      </c>
      <c r="I152" s="18"/>
    </row>
    <row r="153" spans="1:9" x14ac:dyDescent="0.25">
      <c r="A153" t="s">
        <v>33</v>
      </c>
      <c r="B153" t="s">
        <v>232</v>
      </c>
      <c r="C153" s="3">
        <v>43252</v>
      </c>
      <c r="D153" s="3" t="s">
        <v>195</v>
      </c>
      <c r="E153" t="s">
        <v>243</v>
      </c>
      <c r="F153" s="5">
        <v>21.63</v>
      </c>
      <c r="G153" t="s">
        <v>46</v>
      </c>
      <c r="H153" s="5">
        <f t="shared" si="5"/>
        <v>4580.3100000000013</v>
      </c>
      <c r="I153" s="18"/>
    </row>
    <row r="154" spans="1:9" x14ac:dyDescent="0.25">
      <c r="A154" t="s">
        <v>33</v>
      </c>
      <c r="B154" t="s">
        <v>232</v>
      </c>
      <c r="C154" s="3">
        <v>43252</v>
      </c>
      <c r="D154" s="3" t="s">
        <v>20</v>
      </c>
      <c r="E154" t="s">
        <v>242</v>
      </c>
      <c r="F154" s="5">
        <v>11</v>
      </c>
      <c r="G154" t="s">
        <v>46</v>
      </c>
      <c r="H154" s="5">
        <f t="shared" ref="H154:H161" si="6">H155-F154</f>
        <v>4601.9400000000014</v>
      </c>
      <c r="I154" s="18"/>
    </row>
    <row r="155" spans="1:9" x14ac:dyDescent="0.25">
      <c r="A155" t="s">
        <v>49</v>
      </c>
      <c r="B155" t="s">
        <v>200</v>
      </c>
      <c r="C155" s="3">
        <v>43251</v>
      </c>
      <c r="D155" s="3" t="s">
        <v>20</v>
      </c>
      <c r="E155" t="s">
        <v>104</v>
      </c>
      <c r="F155" s="5">
        <v>-0.05</v>
      </c>
      <c r="G155" t="s">
        <v>46</v>
      </c>
      <c r="H155" s="5">
        <f t="shared" si="6"/>
        <v>4612.9400000000014</v>
      </c>
      <c r="I155" s="18"/>
    </row>
    <row r="156" spans="1:9" x14ac:dyDescent="0.25">
      <c r="A156" t="s">
        <v>33</v>
      </c>
      <c r="B156" t="s">
        <v>200</v>
      </c>
      <c r="C156" s="3">
        <v>43251</v>
      </c>
      <c r="D156" s="3" t="s">
        <v>207</v>
      </c>
      <c r="E156" t="s">
        <v>228</v>
      </c>
      <c r="F156" s="5">
        <v>200</v>
      </c>
      <c r="G156" t="s">
        <v>46</v>
      </c>
      <c r="H156" s="5">
        <f t="shared" si="6"/>
        <v>4612.8900000000012</v>
      </c>
      <c r="I156" s="18"/>
    </row>
    <row r="157" spans="1:9" x14ac:dyDescent="0.25">
      <c r="A157" t="s">
        <v>33</v>
      </c>
      <c r="B157" t="s">
        <v>200</v>
      </c>
      <c r="C157" s="3">
        <v>43251</v>
      </c>
      <c r="D157" s="3" t="s">
        <v>20</v>
      </c>
      <c r="E157" t="s">
        <v>227</v>
      </c>
      <c r="F157" s="5">
        <v>4.92</v>
      </c>
      <c r="G157" t="s">
        <v>46</v>
      </c>
      <c r="H157" s="5">
        <f t="shared" si="6"/>
        <v>4812.8900000000012</v>
      </c>
      <c r="I157" s="18"/>
    </row>
    <row r="158" spans="1:9" x14ac:dyDescent="0.25">
      <c r="A158" t="s">
        <v>33</v>
      </c>
      <c r="B158" t="s">
        <v>200</v>
      </c>
      <c r="C158" s="3">
        <v>43251</v>
      </c>
      <c r="D158" s="3" t="s">
        <v>17</v>
      </c>
      <c r="E158" t="s">
        <v>226</v>
      </c>
      <c r="F158" s="5">
        <v>4.96</v>
      </c>
      <c r="G158" t="s">
        <v>46</v>
      </c>
      <c r="H158" s="5">
        <f t="shared" si="6"/>
        <v>4817.8100000000013</v>
      </c>
      <c r="I158" s="18"/>
    </row>
    <row r="159" spans="1:9" x14ac:dyDescent="0.25">
      <c r="A159" t="s">
        <v>33</v>
      </c>
      <c r="B159" t="s">
        <v>200</v>
      </c>
      <c r="C159" s="3">
        <v>43251</v>
      </c>
      <c r="D159" s="3" t="s">
        <v>16</v>
      </c>
      <c r="E159" t="s">
        <v>225</v>
      </c>
      <c r="F159" s="5">
        <v>20.010000000000002</v>
      </c>
      <c r="G159" t="s">
        <v>46</v>
      </c>
      <c r="H159" s="5">
        <f t="shared" si="6"/>
        <v>4822.7700000000013</v>
      </c>
      <c r="I159" s="18"/>
    </row>
    <row r="160" spans="1:9" x14ac:dyDescent="0.25">
      <c r="A160" t="s">
        <v>33</v>
      </c>
      <c r="B160" t="s">
        <v>200</v>
      </c>
      <c r="C160" s="3">
        <v>43250</v>
      </c>
      <c r="D160" s="3" t="s">
        <v>17</v>
      </c>
      <c r="E160" t="s">
        <v>224</v>
      </c>
      <c r="F160" s="5">
        <v>16.28</v>
      </c>
      <c r="G160" t="s">
        <v>46</v>
      </c>
      <c r="H160" s="5">
        <f t="shared" si="6"/>
        <v>4842.7800000000016</v>
      </c>
      <c r="I160" s="18"/>
    </row>
    <row r="161" spans="1:9" x14ac:dyDescent="0.25">
      <c r="A161" t="s">
        <v>33</v>
      </c>
      <c r="B161" t="s">
        <v>200</v>
      </c>
      <c r="C161" s="3">
        <v>43249</v>
      </c>
      <c r="D161" s="3" t="s">
        <v>15</v>
      </c>
      <c r="E161" t="s">
        <v>59</v>
      </c>
      <c r="F161" s="5">
        <v>21.2</v>
      </c>
      <c r="G161" t="s">
        <v>46</v>
      </c>
      <c r="H161" s="5">
        <f t="shared" si="6"/>
        <v>4859.0600000000013</v>
      </c>
      <c r="I161" s="18"/>
    </row>
    <row r="162" spans="1:9" x14ac:dyDescent="0.25">
      <c r="A162" t="s">
        <v>33</v>
      </c>
      <c r="B162" t="s">
        <v>200</v>
      </c>
      <c r="C162" s="3">
        <v>43249</v>
      </c>
      <c r="D162" s="3" t="s">
        <v>198</v>
      </c>
      <c r="E162" t="s">
        <v>71</v>
      </c>
      <c r="F162" s="5">
        <v>22.99</v>
      </c>
      <c r="G162" t="s">
        <v>46</v>
      </c>
      <c r="H162" s="5">
        <f>H163-F162</f>
        <v>4880.2600000000011</v>
      </c>
      <c r="I162" s="18"/>
    </row>
    <row r="163" spans="1:9" x14ac:dyDescent="0.25">
      <c r="A163" t="s">
        <v>33</v>
      </c>
      <c r="B163" t="s">
        <v>200</v>
      </c>
      <c r="C163" s="3">
        <v>43249</v>
      </c>
      <c r="D163" s="3" t="s">
        <v>192</v>
      </c>
      <c r="E163" t="s">
        <v>140</v>
      </c>
      <c r="F163" s="5">
        <v>437.54</v>
      </c>
      <c r="G163" t="s">
        <v>107</v>
      </c>
      <c r="H163" s="5">
        <f>H164-F163</f>
        <v>4903.2500000000009</v>
      </c>
      <c r="I163" s="18"/>
    </row>
    <row r="164" spans="1:9" x14ac:dyDescent="0.25">
      <c r="A164" t="s">
        <v>33</v>
      </c>
      <c r="B164" t="s">
        <v>200</v>
      </c>
      <c r="C164" s="3">
        <v>43249</v>
      </c>
      <c r="D164" s="3" t="s">
        <v>17</v>
      </c>
      <c r="E164" t="s">
        <v>141</v>
      </c>
      <c r="F164" s="5">
        <v>34.11</v>
      </c>
      <c r="G164" t="s">
        <v>35</v>
      </c>
      <c r="H164" s="5">
        <f t="shared" ref="H164:H218" si="7">H165-F164</f>
        <v>5340.7900000000009</v>
      </c>
      <c r="I164" s="18"/>
    </row>
    <row r="165" spans="1:9" x14ac:dyDescent="0.25">
      <c r="A165" t="s">
        <v>33</v>
      </c>
      <c r="B165" t="s">
        <v>200</v>
      </c>
      <c r="C165" s="3">
        <v>43249</v>
      </c>
      <c r="D165" s="3" t="s">
        <v>12</v>
      </c>
      <c r="E165" t="s">
        <v>142</v>
      </c>
      <c r="F165" s="5">
        <v>100</v>
      </c>
      <c r="G165" t="s">
        <v>35</v>
      </c>
      <c r="H165" s="5">
        <f t="shared" si="7"/>
        <v>5374.9000000000005</v>
      </c>
      <c r="I165" s="18"/>
    </row>
    <row r="166" spans="1:9" x14ac:dyDescent="0.25">
      <c r="A166" s="24" t="s">
        <v>33</v>
      </c>
      <c r="B166" s="25" t="s">
        <v>200</v>
      </c>
      <c r="C166" s="26">
        <v>43249</v>
      </c>
      <c r="D166" s="26" t="s">
        <v>15</v>
      </c>
      <c r="E166" s="25" t="s">
        <v>143</v>
      </c>
      <c r="F166" s="27">
        <f>110.35-38.92</f>
        <v>71.429999999999993</v>
      </c>
      <c r="G166" s="25" t="s">
        <v>35</v>
      </c>
      <c r="H166" s="28">
        <f>H168-F166</f>
        <v>5474.9000000000005</v>
      </c>
      <c r="I166" s="18" t="s">
        <v>15</v>
      </c>
    </row>
    <row r="167" spans="1:9" x14ac:dyDescent="0.25">
      <c r="A167" s="29" t="s">
        <v>33</v>
      </c>
      <c r="B167" s="30" t="s">
        <v>200</v>
      </c>
      <c r="C167" s="31">
        <v>43249</v>
      </c>
      <c r="D167" s="31" t="s">
        <v>20</v>
      </c>
      <c r="E167" s="30" t="s">
        <v>143</v>
      </c>
      <c r="F167" s="32">
        <v>38.92</v>
      </c>
      <c r="G167" s="30" t="s">
        <v>35</v>
      </c>
      <c r="H167" s="33">
        <v>5133.3300000000008</v>
      </c>
      <c r="I167" s="18" t="s">
        <v>203</v>
      </c>
    </row>
    <row r="168" spans="1:9" x14ac:dyDescent="0.25">
      <c r="A168" t="s">
        <v>33</v>
      </c>
      <c r="B168" t="s">
        <v>200</v>
      </c>
      <c r="C168" s="3">
        <v>43249</v>
      </c>
      <c r="D168" s="3" t="s">
        <v>17</v>
      </c>
      <c r="E168" t="s">
        <v>144</v>
      </c>
      <c r="F168" s="5">
        <v>13.78</v>
      </c>
      <c r="G168" t="s">
        <v>35</v>
      </c>
      <c r="H168" s="5">
        <f t="shared" si="7"/>
        <v>5546.3300000000008</v>
      </c>
      <c r="I168" s="18"/>
    </row>
    <row r="169" spans="1:9" x14ac:dyDescent="0.25">
      <c r="A169" t="s">
        <v>33</v>
      </c>
      <c r="B169" t="s">
        <v>200</v>
      </c>
      <c r="C169" s="3">
        <v>43249</v>
      </c>
      <c r="D169" s="3" t="s">
        <v>18</v>
      </c>
      <c r="E169" t="s">
        <v>145</v>
      </c>
      <c r="F169" s="5">
        <v>5.25</v>
      </c>
      <c r="G169" t="s">
        <v>35</v>
      </c>
      <c r="H169" s="5">
        <f t="shared" si="7"/>
        <v>5560.1100000000006</v>
      </c>
      <c r="I169" s="18"/>
    </row>
    <row r="170" spans="1:9" x14ac:dyDescent="0.25">
      <c r="A170" t="s">
        <v>33</v>
      </c>
      <c r="B170" t="s">
        <v>200</v>
      </c>
      <c r="C170" s="3">
        <v>43249</v>
      </c>
      <c r="D170" s="3" t="s">
        <v>16</v>
      </c>
      <c r="E170" t="s">
        <v>146</v>
      </c>
      <c r="F170" s="5">
        <v>25.04</v>
      </c>
      <c r="G170" t="s">
        <v>35</v>
      </c>
      <c r="H170" s="5">
        <f t="shared" si="7"/>
        <v>5565.3600000000006</v>
      </c>
      <c r="I170" s="18"/>
    </row>
    <row r="171" spans="1:9" x14ac:dyDescent="0.25">
      <c r="A171" t="s">
        <v>33</v>
      </c>
      <c r="B171" t="s">
        <v>200</v>
      </c>
      <c r="C171" s="3">
        <v>43249</v>
      </c>
      <c r="D171" s="3" t="s">
        <v>17</v>
      </c>
      <c r="E171" t="s">
        <v>147</v>
      </c>
      <c r="F171" s="5">
        <v>11.77</v>
      </c>
      <c r="G171" t="s">
        <v>35</v>
      </c>
      <c r="H171" s="5">
        <f t="shared" si="7"/>
        <v>5590.4000000000005</v>
      </c>
      <c r="I171" s="18"/>
    </row>
    <row r="172" spans="1:9" x14ac:dyDescent="0.25">
      <c r="A172" t="s">
        <v>33</v>
      </c>
      <c r="B172" t="s">
        <v>200</v>
      </c>
      <c r="C172" s="3">
        <v>43249</v>
      </c>
      <c r="D172" s="3" t="s">
        <v>19</v>
      </c>
      <c r="E172" t="s">
        <v>43</v>
      </c>
      <c r="F172" s="5">
        <v>4.55</v>
      </c>
      <c r="G172" t="s">
        <v>35</v>
      </c>
      <c r="H172" s="5">
        <f t="shared" si="7"/>
        <v>5602.170000000001</v>
      </c>
      <c r="I172" s="18"/>
    </row>
    <row r="173" spans="1:9" x14ac:dyDescent="0.25">
      <c r="A173" s="20" t="s">
        <v>33</v>
      </c>
      <c r="B173" s="20" t="s">
        <v>200</v>
      </c>
      <c r="C173" s="21">
        <v>43249</v>
      </c>
      <c r="D173" s="21" t="s">
        <v>193</v>
      </c>
      <c r="E173" s="20" t="s">
        <v>148</v>
      </c>
      <c r="F173" s="22">
        <v>75</v>
      </c>
      <c r="G173" s="20" t="s">
        <v>35</v>
      </c>
      <c r="H173" s="22">
        <f>H175-F173</f>
        <v>5606.7200000000012</v>
      </c>
      <c r="I173" s="18"/>
    </row>
    <row r="174" spans="1:9" x14ac:dyDescent="0.25">
      <c r="A174" s="14" t="s">
        <v>33</v>
      </c>
      <c r="B174" s="14" t="s">
        <v>200</v>
      </c>
      <c r="C174" s="16">
        <v>43249</v>
      </c>
      <c r="D174" s="16" t="s">
        <v>194</v>
      </c>
      <c r="E174" s="14" t="s">
        <v>148</v>
      </c>
      <c r="F174" s="17">
        <v>15</v>
      </c>
      <c r="G174" s="14" t="s">
        <v>35</v>
      </c>
      <c r="H174" s="17">
        <v>5591.7200000000012</v>
      </c>
      <c r="I174" s="18"/>
    </row>
    <row r="175" spans="1:9" x14ac:dyDescent="0.25">
      <c r="A175" s="20" t="s">
        <v>33</v>
      </c>
      <c r="B175" s="20" t="s">
        <v>200</v>
      </c>
      <c r="C175" s="21">
        <v>43249</v>
      </c>
      <c r="D175" s="21" t="s">
        <v>193</v>
      </c>
      <c r="E175" s="20" t="s">
        <v>149</v>
      </c>
      <c r="F175" s="19">
        <v>5</v>
      </c>
      <c r="G175" s="20" t="s">
        <v>35</v>
      </c>
      <c r="H175" s="22">
        <f t="shared" si="7"/>
        <v>5681.7200000000012</v>
      </c>
      <c r="I175" s="18"/>
    </row>
    <row r="176" spans="1:9" x14ac:dyDescent="0.25">
      <c r="A176" s="20" t="s">
        <v>33</v>
      </c>
      <c r="B176" s="20" t="s">
        <v>200</v>
      </c>
      <c r="C176" s="21">
        <v>43249</v>
      </c>
      <c r="D176" s="21" t="s">
        <v>193</v>
      </c>
      <c r="E176" s="20" t="s">
        <v>149</v>
      </c>
      <c r="F176" s="22">
        <v>28.66</v>
      </c>
      <c r="G176" s="20" t="s">
        <v>35</v>
      </c>
      <c r="H176" s="22">
        <f t="shared" si="7"/>
        <v>5686.7200000000012</v>
      </c>
      <c r="I176" s="18"/>
    </row>
    <row r="177" spans="1:9" x14ac:dyDescent="0.25">
      <c r="A177" s="14" t="s">
        <v>33</v>
      </c>
      <c r="B177" s="14" t="s">
        <v>200</v>
      </c>
      <c r="C177" s="16">
        <v>43249</v>
      </c>
      <c r="D177" s="16" t="s">
        <v>194</v>
      </c>
      <c r="E177" s="14" t="s">
        <v>150</v>
      </c>
      <c r="F177" s="17">
        <v>10.75</v>
      </c>
      <c r="G177" s="14" t="s">
        <v>35</v>
      </c>
      <c r="H177" s="17">
        <f t="shared" si="7"/>
        <v>5715.380000000001</v>
      </c>
      <c r="I177" s="18"/>
    </row>
    <row r="178" spans="1:9" x14ac:dyDescent="0.25">
      <c r="A178" s="14" t="s">
        <v>33</v>
      </c>
      <c r="B178" s="14" t="s">
        <v>200</v>
      </c>
      <c r="C178" s="16">
        <v>43249</v>
      </c>
      <c r="D178" s="16" t="s">
        <v>194</v>
      </c>
      <c r="E178" s="14" t="s">
        <v>149</v>
      </c>
      <c r="F178" s="17">
        <v>1</v>
      </c>
      <c r="G178" s="14" t="s">
        <v>35</v>
      </c>
      <c r="H178" s="17">
        <f t="shared" si="7"/>
        <v>5726.130000000001</v>
      </c>
      <c r="I178" s="18"/>
    </row>
    <row r="179" spans="1:9" x14ac:dyDescent="0.25">
      <c r="A179" s="14" t="s">
        <v>33</v>
      </c>
      <c r="B179" s="14" t="s">
        <v>200</v>
      </c>
      <c r="C179" s="16">
        <v>43249</v>
      </c>
      <c r="D179" s="16" t="s">
        <v>194</v>
      </c>
      <c r="E179" s="14" t="s">
        <v>149</v>
      </c>
      <c r="F179" s="17">
        <v>7.03</v>
      </c>
      <c r="G179" s="14" t="s">
        <v>35</v>
      </c>
      <c r="H179" s="17">
        <f t="shared" si="7"/>
        <v>5727.130000000001</v>
      </c>
      <c r="I179" s="18"/>
    </row>
    <row r="180" spans="1:9" x14ac:dyDescent="0.25">
      <c r="A180" s="14" t="s">
        <v>33</v>
      </c>
      <c r="B180" s="14" t="s">
        <v>200</v>
      </c>
      <c r="C180" s="16">
        <v>43249</v>
      </c>
      <c r="D180" s="16" t="s">
        <v>194</v>
      </c>
      <c r="E180" s="14" t="s">
        <v>149</v>
      </c>
      <c r="F180" s="17">
        <v>1</v>
      </c>
      <c r="G180" s="14" t="s">
        <v>35</v>
      </c>
      <c r="H180" s="17">
        <f t="shared" si="7"/>
        <v>5734.1600000000008</v>
      </c>
      <c r="I180" s="18"/>
    </row>
    <row r="181" spans="1:9" x14ac:dyDescent="0.25">
      <c r="A181" s="14" t="s">
        <v>33</v>
      </c>
      <c r="B181" s="14" t="s">
        <v>200</v>
      </c>
      <c r="C181" s="16">
        <v>43249</v>
      </c>
      <c r="D181" s="16" t="s">
        <v>194</v>
      </c>
      <c r="E181" s="14" t="s">
        <v>151</v>
      </c>
      <c r="F181" s="17">
        <v>32.4</v>
      </c>
      <c r="G181" s="14" t="s">
        <v>35</v>
      </c>
      <c r="H181" s="17">
        <f t="shared" si="7"/>
        <v>5735.1600000000008</v>
      </c>
      <c r="I181" s="18"/>
    </row>
    <row r="182" spans="1:9" x14ac:dyDescent="0.25">
      <c r="A182" s="14" t="s">
        <v>33</v>
      </c>
      <c r="B182" s="14" t="s">
        <v>200</v>
      </c>
      <c r="C182" s="16">
        <v>43249</v>
      </c>
      <c r="D182" s="16" t="s">
        <v>194</v>
      </c>
      <c r="E182" s="14" t="s">
        <v>149</v>
      </c>
      <c r="F182" s="17">
        <v>8.2799999999999994</v>
      </c>
      <c r="G182" s="14" t="s">
        <v>35</v>
      </c>
      <c r="H182" s="17">
        <f t="shared" si="7"/>
        <v>5767.56</v>
      </c>
      <c r="I182" s="18"/>
    </row>
    <row r="183" spans="1:9" x14ac:dyDescent="0.25">
      <c r="A183" s="14" t="s">
        <v>33</v>
      </c>
      <c r="B183" s="14" t="s">
        <v>200</v>
      </c>
      <c r="C183" s="16">
        <v>43249</v>
      </c>
      <c r="D183" s="16" t="s">
        <v>194</v>
      </c>
      <c r="E183" s="14" t="s">
        <v>152</v>
      </c>
      <c r="F183" s="17">
        <v>6</v>
      </c>
      <c r="G183" s="14" t="s">
        <v>35</v>
      </c>
      <c r="H183" s="17">
        <f t="shared" si="7"/>
        <v>5775.84</v>
      </c>
      <c r="I183" s="18"/>
    </row>
    <row r="184" spans="1:9" x14ac:dyDescent="0.25">
      <c r="A184" s="14" t="s">
        <v>33</v>
      </c>
      <c r="B184" s="14" t="s">
        <v>200</v>
      </c>
      <c r="C184" s="16">
        <v>43249</v>
      </c>
      <c r="D184" s="16" t="s">
        <v>194</v>
      </c>
      <c r="E184" s="14" t="s">
        <v>153</v>
      </c>
      <c r="F184" s="17">
        <v>6.18</v>
      </c>
      <c r="G184" s="14" t="s">
        <v>35</v>
      </c>
      <c r="H184" s="17">
        <f t="shared" si="7"/>
        <v>5781.84</v>
      </c>
      <c r="I184" s="18"/>
    </row>
    <row r="185" spans="1:9" x14ac:dyDescent="0.25">
      <c r="A185" s="14" t="s">
        <v>33</v>
      </c>
      <c r="B185" s="14" t="s">
        <v>200</v>
      </c>
      <c r="C185" s="16">
        <v>43249</v>
      </c>
      <c r="D185" s="16" t="s">
        <v>194</v>
      </c>
      <c r="E185" s="14" t="s">
        <v>154</v>
      </c>
      <c r="F185" s="17">
        <v>2.35</v>
      </c>
      <c r="G185" s="14" t="s">
        <v>35</v>
      </c>
      <c r="H185" s="17">
        <f t="shared" si="7"/>
        <v>5788.02</v>
      </c>
      <c r="I185" s="18"/>
    </row>
    <row r="186" spans="1:9" x14ac:dyDescent="0.25">
      <c r="A186" s="14" t="s">
        <v>33</v>
      </c>
      <c r="B186" s="14" t="s">
        <v>200</v>
      </c>
      <c r="C186" s="16">
        <v>43249</v>
      </c>
      <c r="D186" s="16" t="s">
        <v>194</v>
      </c>
      <c r="E186" s="14" t="s">
        <v>155</v>
      </c>
      <c r="F186" s="17">
        <v>5.94</v>
      </c>
      <c r="G186" s="14" t="s">
        <v>35</v>
      </c>
      <c r="H186" s="17">
        <f t="shared" si="7"/>
        <v>5790.3700000000008</v>
      </c>
      <c r="I186" s="18"/>
    </row>
    <row r="187" spans="1:9" x14ac:dyDescent="0.25">
      <c r="A187" s="20" t="s">
        <v>33</v>
      </c>
      <c r="B187" s="20" t="s">
        <v>200</v>
      </c>
      <c r="C187" s="21">
        <v>43249</v>
      </c>
      <c r="D187" s="21" t="s">
        <v>193</v>
      </c>
      <c r="E187" s="20" t="s">
        <v>156</v>
      </c>
      <c r="F187" s="22">
        <v>7.7</v>
      </c>
      <c r="G187" s="20" t="s">
        <v>35</v>
      </c>
      <c r="H187" s="22">
        <f t="shared" si="7"/>
        <v>5796.31</v>
      </c>
      <c r="I187" s="18"/>
    </row>
    <row r="188" spans="1:9" x14ac:dyDescent="0.25">
      <c r="A188" s="14" t="s">
        <v>33</v>
      </c>
      <c r="B188" s="14" t="s">
        <v>200</v>
      </c>
      <c r="C188" s="16">
        <v>43249</v>
      </c>
      <c r="D188" s="16" t="s">
        <v>194</v>
      </c>
      <c r="E188" s="14" t="s">
        <v>157</v>
      </c>
      <c r="F188" s="17">
        <v>7</v>
      </c>
      <c r="G188" s="14" t="s">
        <v>35</v>
      </c>
      <c r="H188" s="17">
        <f t="shared" si="7"/>
        <v>5804.01</v>
      </c>
      <c r="I188" s="18"/>
    </row>
    <row r="189" spans="1:9" x14ac:dyDescent="0.25">
      <c r="A189" s="14" t="s">
        <v>33</v>
      </c>
      <c r="B189" s="14" t="s">
        <v>200</v>
      </c>
      <c r="C189" s="16">
        <v>43249</v>
      </c>
      <c r="D189" s="16" t="s">
        <v>194</v>
      </c>
      <c r="E189" s="14" t="s">
        <v>158</v>
      </c>
      <c r="F189" s="17">
        <v>11.88</v>
      </c>
      <c r="G189" s="14" t="s">
        <v>35</v>
      </c>
      <c r="H189" s="17">
        <f t="shared" si="7"/>
        <v>5811.01</v>
      </c>
      <c r="I189" s="18"/>
    </row>
    <row r="190" spans="1:9" x14ac:dyDescent="0.25">
      <c r="A190" s="14" t="s">
        <v>33</v>
      </c>
      <c r="B190" s="14" t="s">
        <v>200</v>
      </c>
      <c r="C190" s="16">
        <v>43249</v>
      </c>
      <c r="D190" s="16" t="s">
        <v>194</v>
      </c>
      <c r="E190" s="14" t="s">
        <v>152</v>
      </c>
      <c r="F190" s="17">
        <v>6.4</v>
      </c>
      <c r="G190" s="14" t="s">
        <v>35</v>
      </c>
      <c r="H190" s="17">
        <f t="shared" si="7"/>
        <v>5822.89</v>
      </c>
      <c r="I190" s="18"/>
    </row>
    <row r="191" spans="1:9" x14ac:dyDescent="0.25">
      <c r="A191" s="14" t="s">
        <v>33</v>
      </c>
      <c r="B191" s="14" t="s">
        <v>200</v>
      </c>
      <c r="C191" s="16">
        <v>43249</v>
      </c>
      <c r="D191" s="16" t="s">
        <v>194</v>
      </c>
      <c r="E191" s="14" t="s">
        <v>153</v>
      </c>
      <c r="F191" s="17">
        <v>12</v>
      </c>
      <c r="G191" s="14" t="s">
        <v>35</v>
      </c>
      <c r="H191" s="17">
        <f t="shared" si="7"/>
        <v>5829.29</v>
      </c>
      <c r="I191" s="18"/>
    </row>
    <row r="192" spans="1:9" x14ac:dyDescent="0.25">
      <c r="A192" s="14" t="s">
        <v>33</v>
      </c>
      <c r="B192" s="14" t="s">
        <v>200</v>
      </c>
      <c r="C192" s="16">
        <v>43249</v>
      </c>
      <c r="D192" s="16" t="s">
        <v>194</v>
      </c>
      <c r="E192" s="14" t="s">
        <v>159</v>
      </c>
      <c r="F192" s="17">
        <v>23</v>
      </c>
      <c r="G192" s="14" t="s">
        <v>35</v>
      </c>
      <c r="H192" s="17">
        <f t="shared" si="7"/>
        <v>5841.29</v>
      </c>
      <c r="I192" s="18"/>
    </row>
    <row r="193" spans="1:9" x14ac:dyDescent="0.25">
      <c r="A193" s="14" t="s">
        <v>33</v>
      </c>
      <c r="B193" s="14" t="s">
        <v>200</v>
      </c>
      <c r="C193" s="16">
        <v>43249</v>
      </c>
      <c r="D193" s="16" t="s">
        <v>194</v>
      </c>
      <c r="E193" s="14" t="s">
        <v>160</v>
      </c>
      <c r="F193" s="17">
        <v>3.66</v>
      </c>
      <c r="G193" s="14" t="s">
        <v>35</v>
      </c>
      <c r="H193" s="17">
        <f t="shared" si="7"/>
        <v>5864.29</v>
      </c>
      <c r="I193" s="18"/>
    </row>
    <row r="194" spans="1:9" x14ac:dyDescent="0.25">
      <c r="A194" s="14" t="s">
        <v>33</v>
      </c>
      <c r="B194" s="14" t="s">
        <v>200</v>
      </c>
      <c r="C194" s="16">
        <v>43249</v>
      </c>
      <c r="D194" s="16" t="s">
        <v>194</v>
      </c>
      <c r="E194" s="14" t="s">
        <v>161</v>
      </c>
      <c r="F194" s="17">
        <v>20</v>
      </c>
      <c r="G194" s="14" t="s">
        <v>35</v>
      </c>
      <c r="H194" s="17">
        <f t="shared" si="7"/>
        <v>5867.95</v>
      </c>
      <c r="I194" s="18"/>
    </row>
    <row r="195" spans="1:9" x14ac:dyDescent="0.25">
      <c r="A195" s="14" t="s">
        <v>33</v>
      </c>
      <c r="B195" s="14" t="s">
        <v>200</v>
      </c>
      <c r="C195" s="16">
        <v>43249</v>
      </c>
      <c r="D195" s="16" t="s">
        <v>194</v>
      </c>
      <c r="E195" s="14" t="s">
        <v>162</v>
      </c>
      <c r="F195" s="17">
        <v>3.25</v>
      </c>
      <c r="G195" s="14" t="s">
        <v>35</v>
      </c>
      <c r="H195" s="17">
        <f t="shared" si="7"/>
        <v>5887.95</v>
      </c>
      <c r="I195" s="18"/>
    </row>
    <row r="196" spans="1:9" x14ac:dyDescent="0.25">
      <c r="A196" s="14" t="s">
        <v>33</v>
      </c>
      <c r="B196" s="14" t="s">
        <v>200</v>
      </c>
      <c r="C196" s="16">
        <v>43249</v>
      </c>
      <c r="D196" s="16" t="s">
        <v>194</v>
      </c>
      <c r="E196" s="14" t="s">
        <v>152</v>
      </c>
      <c r="F196" s="17">
        <v>6.4</v>
      </c>
      <c r="G196" s="14" t="s">
        <v>35</v>
      </c>
      <c r="H196" s="17">
        <f t="shared" si="7"/>
        <v>5891.2</v>
      </c>
      <c r="I196" s="18"/>
    </row>
    <row r="197" spans="1:9" x14ac:dyDescent="0.25">
      <c r="A197" s="14" t="s">
        <v>33</v>
      </c>
      <c r="B197" s="14" t="s">
        <v>200</v>
      </c>
      <c r="C197" s="16">
        <v>43249</v>
      </c>
      <c r="D197" s="16" t="s">
        <v>194</v>
      </c>
      <c r="E197" s="14" t="s">
        <v>150</v>
      </c>
      <c r="F197" s="17">
        <v>10.75</v>
      </c>
      <c r="G197" s="14" t="s">
        <v>35</v>
      </c>
      <c r="H197" s="17">
        <f t="shared" si="7"/>
        <v>5897.5999999999995</v>
      </c>
      <c r="I197" s="18"/>
    </row>
    <row r="198" spans="1:9" x14ac:dyDescent="0.25">
      <c r="A198" s="14" t="s">
        <v>33</v>
      </c>
      <c r="B198" s="14" t="s">
        <v>200</v>
      </c>
      <c r="C198" s="16">
        <v>43249</v>
      </c>
      <c r="D198" s="16" t="s">
        <v>194</v>
      </c>
      <c r="E198" s="14" t="s">
        <v>162</v>
      </c>
      <c r="F198" s="17">
        <v>6.5</v>
      </c>
      <c r="G198" s="14" t="s">
        <v>35</v>
      </c>
      <c r="H198" s="17">
        <f t="shared" si="7"/>
        <v>5908.3499999999995</v>
      </c>
      <c r="I198" s="18"/>
    </row>
    <row r="199" spans="1:9" x14ac:dyDescent="0.25">
      <c r="A199" s="14" t="s">
        <v>33</v>
      </c>
      <c r="B199" s="14" t="s">
        <v>200</v>
      </c>
      <c r="C199" s="16">
        <v>43249</v>
      </c>
      <c r="D199" s="16" t="s">
        <v>194</v>
      </c>
      <c r="E199" s="14" t="s">
        <v>152</v>
      </c>
      <c r="F199" s="17">
        <v>6</v>
      </c>
      <c r="G199" s="14" t="s">
        <v>35</v>
      </c>
      <c r="H199" s="17">
        <f t="shared" si="7"/>
        <v>5914.8499999999995</v>
      </c>
      <c r="I199" s="18"/>
    </row>
    <row r="200" spans="1:9" x14ac:dyDescent="0.25">
      <c r="A200" s="14" t="s">
        <v>33</v>
      </c>
      <c r="B200" s="14" t="s">
        <v>200</v>
      </c>
      <c r="C200" s="16">
        <v>43249</v>
      </c>
      <c r="D200" s="16" t="s">
        <v>194</v>
      </c>
      <c r="E200" s="14" t="s">
        <v>163</v>
      </c>
      <c r="F200" s="17">
        <v>8.9700000000000006</v>
      </c>
      <c r="G200" s="14" t="s">
        <v>35</v>
      </c>
      <c r="H200" s="17">
        <f t="shared" si="7"/>
        <v>5920.8499999999995</v>
      </c>
      <c r="I200" s="18"/>
    </row>
    <row r="201" spans="1:9" x14ac:dyDescent="0.25">
      <c r="A201" s="14" t="s">
        <v>33</v>
      </c>
      <c r="B201" s="14" t="s">
        <v>200</v>
      </c>
      <c r="C201" s="16">
        <v>43249</v>
      </c>
      <c r="D201" s="16" t="s">
        <v>194</v>
      </c>
      <c r="E201" s="14" t="s">
        <v>164</v>
      </c>
      <c r="F201" s="17">
        <v>3.5</v>
      </c>
      <c r="G201" s="14" t="s">
        <v>35</v>
      </c>
      <c r="H201" s="17">
        <f t="shared" si="7"/>
        <v>5929.82</v>
      </c>
      <c r="I201" s="18"/>
    </row>
    <row r="202" spans="1:9" x14ac:dyDescent="0.25">
      <c r="A202" s="41" t="s">
        <v>33</v>
      </c>
      <c r="B202" s="42" t="s">
        <v>200</v>
      </c>
      <c r="C202" s="43">
        <v>43246</v>
      </c>
      <c r="D202" s="43" t="s">
        <v>193</v>
      </c>
      <c r="E202" s="42" t="s">
        <v>165</v>
      </c>
      <c r="F202" s="44">
        <f>862.95-287.65</f>
        <v>575.30000000000007</v>
      </c>
      <c r="G202" s="42" t="s">
        <v>35</v>
      </c>
      <c r="H202" s="45">
        <f>H204-F202</f>
        <v>5933.32</v>
      </c>
      <c r="I202" s="18" t="s">
        <v>217</v>
      </c>
    </row>
    <row r="203" spans="1:9" x14ac:dyDescent="0.25">
      <c r="A203" s="34" t="s">
        <v>33</v>
      </c>
      <c r="B203" s="35" t="s">
        <v>200</v>
      </c>
      <c r="C203" s="36">
        <v>43246</v>
      </c>
      <c r="D203" s="36" t="s">
        <v>194</v>
      </c>
      <c r="E203" s="35" t="s">
        <v>165</v>
      </c>
      <c r="F203" s="37">
        <v>287.64999999999998</v>
      </c>
      <c r="G203" s="35" t="s">
        <v>35</v>
      </c>
      <c r="H203" s="38">
        <v>5645.67</v>
      </c>
      <c r="I203" s="18"/>
    </row>
    <row r="204" spans="1:9" x14ac:dyDescent="0.25">
      <c r="A204" s="20" t="s">
        <v>33</v>
      </c>
      <c r="B204" s="20" t="s">
        <v>200</v>
      </c>
      <c r="C204" s="21">
        <v>43246</v>
      </c>
      <c r="D204" s="21" t="s">
        <v>193</v>
      </c>
      <c r="E204" s="62" t="s">
        <v>166</v>
      </c>
      <c r="F204" s="63">
        <v>19.809999999999999</v>
      </c>
      <c r="G204" s="62" t="s">
        <v>35</v>
      </c>
      <c r="H204" s="63">
        <f t="shared" si="7"/>
        <v>6508.62</v>
      </c>
      <c r="I204" s="18"/>
    </row>
    <row r="205" spans="1:9" x14ac:dyDescent="0.25">
      <c r="A205" s="20" t="s">
        <v>33</v>
      </c>
      <c r="B205" s="20" t="s">
        <v>200</v>
      </c>
      <c r="C205" s="21">
        <v>43246</v>
      </c>
      <c r="D205" s="21" t="s">
        <v>193</v>
      </c>
      <c r="E205" s="62" t="s">
        <v>166</v>
      </c>
      <c r="F205" s="63">
        <v>19.75</v>
      </c>
      <c r="G205" s="62" t="s">
        <v>35</v>
      </c>
      <c r="H205" s="63">
        <f t="shared" si="7"/>
        <v>6528.43</v>
      </c>
      <c r="I205" s="18"/>
    </row>
    <row r="206" spans="1:9" x14ac:dyDescent="0.25">
      <c r="A206" s="20" t="s">
        <v>33</v>
      </c>
      <c r="B206" s="20" t="s">
        <v>200</v>
      </c>
      <c r="C206" s="21">
        <v>43246</v>
      </c>
      <c r="D206" s="21" t="s">
        <v>193</v>
      </c>
      <c r="E206" s="20" t="s">
        <v>165</v>
      </c>
      <c r="F206" s="22">
        <v>13.99</v>
      </c>
      <c r="G206" s="20" t="s">
        <v>35</v>
      </c>
      <c r="H206" s="22">
        <f t="shared" si="7"/>
        <v>6548.18</v>
      </c>
      <c r="I206" s="18"/>
    </row>
    <row r="207" spans="1:9" x14ac:dyDescent="0.25">
      <c r="A207" s="20" t="s">
        <v>33</v>
      </c>
      <c r="B207" s="20" t="s">
        <v>200</v>
      </c>
      <c r="C207" s="21">
        <v>43246</v>
      </c>
      <c r="D207" s="21" t="s">
        <v>193</v>
      </c>
      <c r="E207" s="62" t="s">
        <v>166</v>
      </c>
      <c r="F207" s="63">
        <v>12.38</v>
      </c>
      <c r="G207" s="62" t="s">
        <v>35</v>
      </c>
      <c r="H207" s="63">
        <f t="shared" si="7"/>
        <v>6562.17</v>
      </c>
      <c r="I207" s="18"/>
    </row>
    <row r="208" spans="1:9" x14ac:dyDescent="0.25">
      <c r="A208" s="20" t="s">
        <v>33</v>
      </c>
      <c r="B208" s="20" t="s">
        <v>200</v>
      </c>
      <c r="C208" s="21">
        <v>43246</v>
      </c>
      <c r="D208" s="21" t="s">
        <v>193</v>
      </c>
      <c r="E208" s="62" t="s">
        <v>167</v>
      </c>
      <c r="F208" s="63">
        <v>12</v>
      </c>
      <c r="G208" s="62" t="s">
        <v>35</v>
      </c>
      <c r="H208" s="63">
        <f t="shared" si="7"/>
        <v>6574.55</v>
      </c>
      <c r="I208" s="18" t="s">
        <v>222</v>
      </c>
    </row>
    <row r="209" spans="1:9" x14ac:dyDescent="0.25">
      <c r="A209" s="20" t="s">
        <v>33</v>
      </c>
      <c r="B209" s="20" t="s">
        <v>200</v>
      </c>
      <c r="C209" s="21">
        <v>43246</v>
      </c>
      <c r="D209" s="21" t="s">
        <v>193</v>
      </c>
      <c r="E209" s="20" t="s">
        <v>166</v>
      </c>
      <c r="F209" s="22">
        <v>11.36</v>
      </c>
      <c r="G209" s="20" t="s">
        <v>35</v>
      </c>
      <c r="H209" s="22">
        <f t="shared" si="7"/>
        <v>6586.55</v>
      </c>
      <c r="I209" s="18"/>
    </row>
    <row r="210" spans="1:9" x14ac:dyDescent="0.25">
      <c r="A210" s="20" t="s">
        <v>33</v>
      </c>
      <c r="B210" s="20" t="s">
        <v>200</v>
      </c>
      <c r="C210" s="21">
        <v>43246</v>
      </c>
      <c r="D210" s="21" t="s">
        <v>193</v>
      </c>
      <c r="E210" s="62" t="s">
        <v>166</v>
      </c>
      <c r="F210" s="63">
        <v>8.59</v>
      </c>
      <c r="G210" s="20" t="s">
        <v>35</v>
      </c>
      <c r="H210" s="22">
        <f t="shared" si="7"/>
        <v>6597.91</v>
      </c>
      <c r="I210" s="18" t="s">
        <v>217</v>
      </c>
    </row>
    <row r="211" spans="1:9" x14ac:dyDescent="0.25">
      <c r="A211" s="20" t="s">
        <v>33</v>
      </c>
      <c r="B211" s="20" t="s">
        <v>200</v>
      </c>
      <c r="C211" s="21">
        <v>43246</v>
      </c>
      <c r="D211" s="21" t="s">
        <v>193</v>
      </c>
      <c r="E211" s="62" t="s">
        <v>166</v>
      </c>
      <c r="F211" s="63">
        <v>7.27</v>
      </c>
      <c r="G211" s="20" t="s">
        <v>35</v>
      </c>
      <c r="H211" s="22">
        <f t="shared" si="7"/>
        <v>6606.5</v>
      </c>
      <c r="I211" s="18" t="s">
        <v>217</v>
      </c>
    </row>
    <row r="212" spans="1:9" x14ac:dyDescent="0.25">
      <c r="A212" s="20" t="s">
        <v>33</v>
      </c>
      <c r="B212" s="20" t="s">
        <v>200</v>
      </c>
      <c r="C212" s="21">
        <v>43246</v>
      </c>
      <c r="D212" s="21" t="s">
        <v>193</v>
      </c>
      <c r="E212" s="20" t="s">
        <v>168</v>
      </c>
      <c r="F212" s="22">
        <v>6.07</v>
      </c>
      <c r="G212" s="20" t="s">
        <v>35</v>
      </c>
      <c r="H212" s="22">
        <f t="shared" si="7"/>
        <v>6613.77</v>
      </c>
      <c r="I212" s="18" t="s">
        <v>217</v>
      </c>
    </row>
    <row r="213" spans="1:9" x14ac:dyDescent="0.25">
      <c r="A213" s="20" t="s">
        <v>33</v>
      </c>
      <c r="B213" s="20" t="s">
        <v>200</v>
      </c>
      <c r="C213" s="21">
        <v>43246</v>
      </c>
      <c r="D213" s="21" t="s">
        <v>193</v>
      </c>
      <c r="E213" s="20" t="s">
        <v>169</v>
      </c>
      <c r="F213" s="19">
        <v>5</v>
      </c>
      <c r="G213" s="20" t="s">
        <v>35</v>
      </c>
      <c r="H213" s="22">
        <f t="shared" si="7"/>
        <v>6619.84</v>
      </c>
      <c r="I213" s="18"/>
    </row>
    <row r="214" spans="1:9" x14ac:dyDescent="0.25">
      <c r="A214" s="14" t="s">
        <v>33</v>
      </c>
      <c r="B214" s="14" t="s">
        <v>200</v>
      </c>
      <c r="C214" s="16">
        <v>43246</v>
      </c>
      <c r="D214" s="16" t="s">
        <v>194</v>
      </c>
      <c r="E214" s="14" t="s">
        <v>170</v>
      </c>
      <c r="F214" s="17">
        <v>4.09</v>
      </c>
      <c r="G214" s="14" t="s">
        <v>35</v>
      </c>
      <c r="H214" s="17">
        <f t="shared" si="7"/>
        <v>6624.84</v>
      </c>
      <c r="I214" s="18" t="s">
        <v>223</v>
      </c>
    </row>
    <row r="215" spans="1:9" x14ac:dyDescent="0.25">
      <c r="A215" s="20" t="s">
        <v>33</v>
      </c>
      <c r="B215" s="20" t="s">
        <v>200</v>
      </c>
      <c r="C215" s="21">
        <v>43246</v>
      </c>
      <c r="D215" s="21" t="s">
        <v>193</v>
      </c>
      <c r="E215" s="62" t="s">
        <v>166</v>
      </c>
      <c r="F215" s="63">
        <v>2</v>
      </c>
      <c r="G215" s="20" t="s">
        <v>35</v>
      </c>
      <c r="H215" s="22">
        <f t="shared" si="7"/>
        <v>6628.93</v>
      </c>
      <c r="I215" s="18" t="s">
        <v>217</v>
      </c>
    </row>
    <row r="216" spans="1:9" x14ac:dyDescent="0.25">
      <c r="A216" s="20" t="s">
        <v>33</v>
      </c>
      <c r="B216" s="20" t="s">
        <v>200</v>
      </c>
      <c r="C216" s="21">
        <v>43246</v>
      </c>
      <c r="D216" s="21" t="s">
        <v>193</v>
      </c>
      <c r="E216" s="62" t="s">
        <v>166</v>
      </c>
      <c r="F216" s="63">
        <v>2</v>
      </c>
      <c r="G216" s="20" t="s">
        <v>35</v>
      </c>
      <c r="H216" s="22">
        <f t="shared" si="7"/>
        <v>6630.93</v>
      </c>
      <c r="I216" s="18" t="s">
        <v>217</v>
      </c>
    </row>
    <row r="217" spans="1:9" x14ac:dyDescent="0.25">
      <c r="A217" s="20" t="s">
        <v>33</v>
      </c>
      <c r="B217" s="20" t="s">
        <v>200</v>
      </c>
      <c r="C217" s="21">
        <v>43246</v>
      </c>
      <c r="D217" s="21" t="s">
        <v>193</v>
      </c>
      <c r="E217" s="62" t="s">
        <v>166</v>
      </c>
      <c r="F217" s="63">
        <v>2</v>
      </c>
      <c r="G217" s="20" t="s">
        <v>35</v>
      </c>
      <c r="H217" s="22">
        <f t="shared" si="7"/>
        <v>6632.93</v>
      </c>
      <c r="I217" s="18" t="s">
        <v>217</v>
      </c>
    </row>
    <row r="218" spans="1:9" x14ac:dyDescent="0.25">
      <c r="A218" s="20" t="s">
        <v>33</v>
      </c>
      <c r="B218" s="20" t="s">
        <v>200</v>
      </c>
      <c r="C218" s="21">
        <v>43246</v>
      </c>
      <c r="D218" s="21" t="s">
        <v>193</v>
      </c>
      <c r="E218" s="62" t="s">
        <v>166</v>
      </c>
      <c r="F218" s="63">
        <v>2</v>
      </c>
      <c r="G218" s="20" t="s">
        <v>35</v>
      </c>
      <c r="H218" s="22">
        <f t="shared" si="7"/>
        <v>6634.93</v>
      </c>
      <c r="I218" s="18" t="s">
        <v>217</v>
      </c>
    </row>
    <row r="219" spans="1:9" x14ac:dyDescent="0.25">
      <c r="A219" s="20" t="s">
        <v>33</v>
      </c>
      <c r="B219" s="20" t="s">
        <v>200</v>
      </c>
      <c r="C219" s="21">
        <v>43246</v>
      </c>
      <c r="D219" s="21" t="s">
        <v>193</v>
      </c>
      <c r="E219" s="20" t="s">
        <v>168</v>
      </c>
      <c r="F219" s="22">
        <v>1.98</v>
      </c>
      <c r="G219" s="20" t="s">
        <v>35</v>
      </c>
      <c r="H219" s="22">
        <f>H220-F219</f>
        <v>6636.93</v>
      </c>
      <c r="I219" s="18" t="s">
        <v>217</v>
      </c>
    </row>
    <row r="220" spans="1:9" x14ac:dyDescent="0.25">
      <c r="A220" s="20" t="s">
        <v>33</v>
      </c>
      <c r="B220" s="20" t="s">
        <v>200</v>
      </c>
      <c r="C220" s="21">
        <v>43245</v>
      </c>
      <c r="D220" s="21" t="s">
        <v>193</v>
      </c>
      <c r="E220" s="20" t="s">
        <v>171</v>
      </c>
      <c r="F220" s="22">
        <v>41.23</v>
      </c>
      <c r="G220" s="20" t="s">
        <v>46</v>
      </c>
      <c r="H220" s="22">
        <v>6638.91</v>
      </c>
      <c r="I220" s="18" t="s">
        <v>217</v>
      </c>
    </row>
    <row r="221" spans="1:9" x14ac:dyDescent="0.25">
      <c r="A221" s="20" t="s">
        <v>33</v>
      </c>
      <c r="B221" s="20" t="s">
        <v>200</v>
      </c>
      <c r="C221" s="21">
        <v>43245</v>
      </c>
      <c r="D221" s="21" t="s">
        <v>193</v>
      </c>
      <c r="E221" s="20" t="s">
        <v>172</v>
      </c>
      <c r="F221" s="22">
        <v>1.7</v>
      </c>
      <c r="G221" s="20" t="s">
        <v>46</v>
      </c>
      <c r="H221" s="22">
        <v>6680.14</v>
      </c>
      <c r="I221" s="18" t="s">
        <v>217</v>
      </c>
    </row>
    <row r="222" spans="1:9" x14ac:dyDescent="0.25">
      <c r="A222" s="20" t="s">
        <v>33</v>
      </c>
      <c r="B222" s="20" t="s">
        <v>200</v>
      </c>
      <c r="C222" s="21">
        <v>43245</v>
      </c>
      <c r="D222" s="21" t="s">
        <v>193</v>
      </c>
      <c r="E222" s="20" t="s">
        <v>172</v>
      </c>
      <c r="F222" s="22">
        <v>5.61</v>
      </c>
      <c r="G222" s="20" t="s">
        <v>46</v>
      </c>
      <c r="H222" s="22">
        <v>6681.84</v>
      </c>
      <c r="I222" s="18" t="s">
        <v>217</v>
      </c>
    </row>
    <row r="223" spans="1:9" x14ac:dyDescent="0.25">
      <c r="A223" s="20" t="s">
        <v>33</v>
      </c>
      <c r="B223" s="20" t="s">
        <v>200</v>
      </c>
      <c r="C223" s="21">
        <v>43245</v>
      </c>
      <c r="D223" s="21" t="s">
        <v>193</v>
      </c>
      <c r="E223" s="62" t="s">
        <v>173</v>
      </c>
      <c r="F223" s="63">
        <v>2</v>
      </c>
      <c r="G223" s="62" t="s">
        <v>46</v>
      </c>
      <c r="H223" s="63">
        <v>6687.45</v>
      </c>
      <c r="I223" s="65" t="s">
        <v>221</v>
      </c>
    </row>
    <row r="224" spans="1:9" x14ac:dyDescent="0.25">
      <c r="A224" s="20" t="s">
        <v>33</v>
      </c>
      <c r="B224" s="20" t="s">
        <v>200</v>
      </c>
      <c r="C224" s="21">
        <v>43245</v>
      </c>
      <c r="D224" s="21" t="s">
        <v>193</v>
      </c>
      <c r="E224" s="62" t="s">
        <v>173</v>
      </c>
      <c r="F224" s="63">
        <v>19.48</v>
      </c>
      <c r="G224" s="62" t="s">
        <v>46</v>
      </c>
      <c r="H224" s="63">
        <v>6689.45</v>
      </c>
      <c r="I224" s="65" t="s">
        <v>221</v>
      </c>
    </row>
    <row r="225" spans="1:9" x14ac:dyDescent="0.25">
      <c r="A225" s="20" t="s">
        <v>33</v>
      </c>
      <c r="B225" s="20" t="s">
        <v>200</v>
      </c>
      <c r="C225" s="21">
        <v>43245</v>
      </c>
      <c r="D225" s="21" t="s">
        <v>193</v>
      </c>
      <c r="E225" s="20" t="s">
        <v>174</v>
      </c>
      <c r="F225" s="22">
        <v>16.09</v>
      </c>
      <c r="G225" s="20" t="s">
        <v>46</v>
      </c>
      <c r="H225" s="22">
        <v>6708.93</v>
      </c>
      <c r="I225" s="18" t="s">
        <v>217</v>
      </c>
    </row>
    <row r="226" spans="1:9" x14ac:dyDescent="0.25">
      <c r="A226" s="20" t="s">
        <v>33</v>
      </c>
      <c r="B226" s="20" t="s">
        <v>200</v>
      </c>
      <c r="C226" s="21">
        <v>43245</v>
      </c>
      <c r="D226" s="21" t="s">
        <v>193</v>
      </c>
      <c r="E226" s="20" t="s">
        <v>175</v>
      </c>
      <c r="F226" s="22">
        <v>575.29999999999995</v>
      </c>
      <c r="G226" s="20" t="s">
        <v>46</v>
      </c>
      <c r="H226" s="22">
        <v>6725.02</v>
      </c>
      <c r="I226" s="18" t="s">
        <v>217</v>
      </c>
    </row>
    <row r="227" spans="1:9" x14ac:dyDescent="0.25">
      <c r="A227" s="20" t="s">
        <v>33</v>
      </c>
      <c r="B227" s="20" t="s">
        <v>200</v>
      </c>
      <c r="C227" s="21">
        <v>43244</v>
      </c>
      <c r="D227" s="21" t="s">
        <v>193</v>
      </c>
      <c r="E227" s="20" t="s">
        <v>176</v>
      </c>
      <c r="F227" s="22">
        <v>33.43</v>
      </c>
      <c r="G227" s="20" t="s">
        <v>46</v>
      </c>
      <c r="H227" s="22">
        <v>7300.32</v>
      </c>
      <c r="I227" s="18" t="s">
        <v>217</v>
      </c>
    </row>
    <row r="228" spans="1:9" x14ac:dyDescent="0.25">
      <c r="A228" s="20" t="s">
        <v>33</v>
      </c>
      <c r="B228" s="20" t="s">
        <v>200</v>
      </c>
      <c r="C228" s="21">
        <v>43244</v>
      </c>
      <c r="D228" s="21" t="s">
        <v>193</v>
      </c>
      <c r="E228" s="62" t="s">
        <v>177</v>
      </c>
      <c r="F228" s="63">
        <v>5</v>
      </c>
      <c r="G228" s="62" t="s">
        <v>46</v>
      </c>
      <c r="H228" s="63">
        <v>7333.75</v>
      </c>
      <c r="I228" s="65" t="s">
        <v>220</v>
      </c>
    </row>
    <row r="229" spans="1:9" x14ac:dyDescent="0.25">
      <c r="A229" s="20" t="s">
        <v>33</v>
      </c>
      <c r="B229" s="20" t="s">
        <v>200</v>
      </c>
      <c r="C229" s="21">
        <v>43244</v>
      </c>
      <c r="D229" s="21" t="s">
        <v>193</v>
      </c>
      <c r="E229" s="62" t="s">
        <v>177</v>
      </c>
      <c r="F229" s="63">
        <v>20.41</v>
      </c>
      <c r="G229" s="62" t="s">
        <v>46</v>
      </c>
      <c r="H229" s="63">
        <v>7338.75</v>
      </c>
      <c r="I229" s="65" t="s">
        <v>220</v>
      </c>
    </row>
    <row r="230" spans="1:9" x14ac:dyDescent="0.25">
      <c r="A230" s="20" t="s">
        <v>33</v>
      </c>
      <c r="B230" s="20" t="s">
        <v>200</v>
      </c>
      <c r="C230" s="21">
        <v>43244</v>
      </c>
      <c r="D230" s="21" t="s">
        <v>193</v>
      </c>
      <c r="E230" s="20" t="s">
        <v>178</v>
      </c>
      <c r="F230" s="22">
        <v>1.7</v>
      </c>
      <c r="G230" s="20" t="s">
        <v>46</v>
      </c>
      <c r="H230" s="22">
        <v>7359.16</v>
      </c>
      <c r="I230" s="18" t="s">
        <v>216</v>
      </c>
    </row>
    <row r="231" spans="1:9" x14ac:dyDescent="0.25">
      <c r="A231" s="14" t="s">
        <v>33</v>
      </c>
      <c r="B231" s="14" t="s">
        <v>200</v>
      </c>
      <c r="C231" s="16">
        <v>43244</v>
      </c>
      <c r="D231" s="16" t="s">
        <v>194</v>
      </c>
      <c r="E231" s="14" t="s">
        <v>179</v>
      </c>
      <c r="F231" s="17">
        <v>3</v>
      </c>
      <c r="G231" s="14" t="s">
        <v>46</v>
      </c>
      <c r="H231" s="17">
        <v>7360.86</v>
      </c>
      <c r="I231" s="18"/>
    </row>
    <row r="232" spans="1:9" x14ac:dyDescent="0.25">
      <c r="A232" s="20" t="s">
        <v>33</v>
      </c>
      <c r="B232" s="20" t="s">
        <v>200</v>
      </c>
      <c r="C232" s="21">
        <v>43244</v>
      </c>
      <c r="D232" s="21" t="s">
        <v>193</v>
      </c>
      <c r="E232" s="20" t="s">
        <v>178</v>
      </c>
      <c r="F232" s="22">
        <v>14.59</v>
      </c>
      <c r="G232" s="20" t="s">
        <v>46</v>
      </c>
      <c r="H232" s="22">
        <v>7363.86</v>
      </c>
      <c r="I232" s="18" t="s">
        <v>216</v>
      </c>
    </row>
    <row r="233" spans="1:9" x14ac:dyDescent="0.25">
      <c r="A233" s="20" t="s">
        <v>33</v>
      </c>
      <c r="B233" s="20" t="s">
        <v>200</v>
      </c>
      <c r="C233" s="21">
        <v>43244</v>
      </c>
      <c r="D233" s="21" t="s">
        <v>193</v>
      </c>
      <c r="E233" s="62" t="s">
        <v>180</v>
      </c>
      <c r="F233" s="63">
        <v>19.05</v>
      </c>
      <c r="G233" s="62" t="s">
        <v>46</v>
      </c>
      <c r="H233" s="63">
        <v>7378.45</v>
      </c>
      <c r="I233" s="65" t="s">
        <v>219</v>
      </c>
    </row>
    <row r="234" spans="1:9" x14ac:dyDescent="0.25">
      <c r="A234" s="20" t="s">
        <v>33</v>
      </c>
      <c r="B234" s="20" t="s">
        <v>200</v>
      </c>
      <c r="C234" s="21">
        <v>43244</v>
      </c>
      <c r="D234" s="21" t="s">
        <v>193</v>
      </c>
      <c r="E234" s="20" t="s">
        <v>181</v>
      </c>
      <c r="F234" s="22">
        <v>16.489999999999998</v>
      </c>
      <c r="G234" s="20" t="s">
        <v>46</v>
      </c>
      <c r="H234" s="22">
        <v>7397.5</v>
      </c>
      <c r="I234" s="18" t="s">
        <v>217</v>
      </c>
    </row>
    <row r="235" spans="1:9" x14ac:dyDescent="0.25">
      <c r="A235" s="20" t="s">
        <v>33</v>
      </c>
      <c r="B235" s="20" t="s">
        <v>200</v>
      </c>
      <c r="C235" s="21">
        <v>43244</v>
      </c>
      <c r="D235" s="21" t="s">
        <v>193</v>
      </c>
      <c r="E235" s="62" t="s">
        <v>182</v>
      </c>
      <c r="F235" s="63">
        <v>10.81</v>
      </c>
      <c r="G235" s="62" t="s">
        <v>46</v>
      </c>
      <c r="H235" s="63">
        <v>7413.99</v>
      </c>
      <c r="I235" s="65" t="s">
        <v>218</v>
      </c>
    </row>
    <row r="236" spans="1:9" x14ac:dyDescent="0.25">
      <c r="A236" s="20" t="s">
        <v>33</v>
      </c>
      <c r="B236" s="20" t="s">
        <v>200</v>
      </c>
      <c r="C236" s="21">
        <v>43244</v>
      </c>
      <c r="D236" s="21" t="s">
        <v>193</v>
      </c>
      <c r="E236" s="62" t="s">
        <v>183</v>
      </c>
      <c r="F236" s="63">
        <v>8.16</v>
      </c>
      <c r="G236" s="62" t="s">
        <v>46</v>
      </c>
      <c r="H236" s="63">
        <v>7424.8</v>
      </c>
      <c r="I236" s="65" t="s">
        <v>218</v>
      </c>
    </row>
    <row r="237" spans="1:9" x14ac:dyDescent="0.25">
      <c r="A237" t="s">
        <v>33</v>
      </c>
      <c r="B237" t="s">
        <v>200</v>
      </c>
      <c r="C237" s="3">
        <v>43243</v>
      </c>
      <c r="D237" s="3" t="s">
        <v>20</v>
      </c>
      <c r="E237" t="s">
        <v>184</v>
      </c>
      <c r="F237" s="5">
        <v>14.99</v>
      </c>
      <c r="G237" t="s">
        <v>46</v>
      </c>
      <c r="H237" s="5">
        <v>7432.96</v>
      </c>
      <c r="I237" s="18" t="s">
        <v>215</v>
      </c>
    </row>
    <row r="238" spans="1:9" x14ac:dyDescent="0.25">
      <c r="A238" s="20" t="s">
        <v>33</v>
      </c>
      <c r="B238" s="20" t="s">
        <v>200</v>
      </c>
      <c r="C238" s="21">
        <v>43243</v>
      </c>
      <c r="D238" s="21" t="s">
        <v>193</v>
      </c>
      <c r="E238" s="62" t="s">
        <v>185</v>
      </c>
      <c r="F238" s="64">
        <v>5</v>
      </c>
      <c r="G238" s="62" t="s">
        <v>46</v>
      </c>
      <c r="H238" s="63">
        <v>7447.95</v>
      </c>
      <c r="I238" s="65" t="s">
        <v>218</v>
      </c>
    </row>
    <row r="239" spans="1:9" x14ac:dyDescent="0.25">
      <c r="A239" s="20" t="s">
        <v>33</v>
      </c>
      <c r="B239" s="20" t="s">
        <v>200</v>
      </c>
      <c r="C239" s="21">
        <v>43243</v>
      </c>
      <c r="D239" s="21" t="s">
        <v>193</v>
      </c>
      <c r="E239" s="62" t="s">
        <v>183</v>
      </c>
      <c r="F239" s="63">
        <v>3.61</v>
      </c>
      <c r="G239" s="62" t="s">
        <v>46</v>
      </c>
      <c r="H239" s="63">
        <v>7452.95</v>
      </c>
      <c r="I239" s="65" t="s">
        <v>218</v>
      </c>
    </row>
    <row r="240" spans="1:9" x14ac:dyDescent="0.25">
      <c r="A240" s="20" t="s">
        <v>33</v>
      </c>
      <c r="B240" s="20" t="s">
        <v>200</v>
      </c>
      <c r="C240" s="21">
        <v>43243</v>
      </c>
      <c r="D240" s="21" t="s">
        <v>193</v>
      </c>
      <c r="E240" s="62" t="s">
        <v>186</v>
      </c>
      <c r="F240" s="63">
        <v>2</v>
      </c>
      <c r="G240" s="62" t="s">
        <v>46</v>
      </c>
      <c r="H240" s="63">
        <v>7456.56</v>
      </c>
      <c r="I240" s="65" t="s">
        <v>218</v>
      </c>
    </row>
    <row r="241" spans="1:9" x14ac:dyDescent="0.25">
      <c r="A241" s="20" t="s">
        <v>33</v>
      </c>
      <c r="B241" s="20" t="s">
        <v>200</v>
      </c>
      <c r="C241" s="21">
        <v>43243</v>
      </c>
      <c r="D241" s="21" t="s">
        <v>193</v>
      </c>
      <c r="E241" s="62" t="s">
        <v>186</v>
      </c>
      <c r="F241" s="63">
        <v>15.26</v>
      </c>
      <c r="G241" s="62" t="s">
        <v>46</v>
      </c>
      <c r="H241" s="63">
        <v>7458.56</v>
      </c>
      <c r="I241" s="65" t="s">
        <v>218</v>
      </c>
    </row>
    <row r="242" spans="1:9" x14ac:dyDescent="0.25">
      <c r="A242" s="20" t="s">
        <v>33</v>
      </c>
      <c r="B242" s="20" t="s">
        <v>200</v>
      </c>
      <c r="C242" s="21">
        <v>43243</v>
      </c>
      <c r="D242" s="21" t="s">
        <v>193</v>
      </c>
      <c r="E242" s="20" t="s">
        <v>187</v>
      </c>
      <c r="F242" s="22">
        <v>18.190000000000001</v>
      </c>
      <c r="G242" s="20" t="s">
        <v>46</v>
      </c>
      <c r="H242" s="22">
        <v>7473.82</v>
      </c>
      <c r="I242" s="18" t="s">
        <v>217</v>
      </c>
    </row>
    <row r="243" spans="1:9" x14ac:dyDescent="0.25">
      <c r="A243" t="s">
        <v>33</v>
      </c>
      <c r="B243" t="s">
        <v>200</v>
      </c>
      <c r="C243" s="3">
        <v>43243</v>
      </c>
      <c r="D243" s="3" t="s">
        <v>195</v>
      </c>
      <c r="E243" t="s">
        <v>188</v>
      </c>
      <c r="F243" s="5">
        <v>6.65</v>
      </c>
      <c r="G243" t="s">
        <v>46</v>
      </c>
      <c r="H243" s="5">
        <v>7492.01</v>
      </c>
      <c r="I243" s="18"/>
    </row>
    <row r="244" spans="1:9" x14ac:dyDescent="0.25">
      <c r="A244" t="s">
        <v>33</v>
      </c>
      <c r="B244" t="s">
        <v>200</v>
      </c>
      <c r="C244" s="3">
        <v>43242</v>
      </c>
      <c r="D244" s="3" t="s">
        <v>17</v>
      </c>
      <c r="E244" t="s">
        <v>189</v>
      </c>
      <c r="F244" s="5">
        <v>33</v>
      </c>
      <c r="G244" t="s">
        <v>46</v>
      </c>
      <c r="H244" s="5">
        <v>7498.66</v>
      </c>
      <c r="I244" s="18"/>
    </row>
    <row r="245" spans="1:9" x14ac:dyDescent="0.25">
      <c r="A245" t="s">
        <v>33</v>
      </c>
      <c r="B245" t="s">
        <v>200</v>
      </c>
      <c r="C245" s="3">
        <v>43241</v>
      </c>
      <c r="D245" s="3" t="s">
        <v>20</v>
      </c>
      <c r="E245" t="s">
        <v>190</v>
      </c>
      <c r="F245" s="5">
        <v>42.78</v>
      </c>
      <c r="G245" t="s">
        <v>46</v>
      </c>
      <c r="H245" s="5">
        <v>7531.66</v>
      </c>
      <c r="I245" s="18"/>
    </row>
    <row r="246" spans="1:9" x14ac:dyDescent="0.25">
      <c r="A246" t="s">
        <v>33</v>
      </c>
      <c r="B246" t="s">
        <v>200</v>
      </c>
      <c r="C246" s="3">
        <v>43241</v>
      </c>
      <c r="D246" s="3" t="s">
        <v>20</v>
      </c>
      <c r="E246" t="s">
        <v>34</v>
      </c>
      <c r="F246" s="5">
        <v>41.38</v>
      </c>
      <c r="G246" t="s">
        <v>35</v>
      </c>
      <c r="H246" s="5">
        <v>7552.82</v>
      </c>
    </row>
    <row r="247" spans="1:9" x14ac:dyDescent="0.25">
      <c r="A247" t="s">
        <v>33</v>
      </c>
      <c r="B247" t="s">
        <v>200</v>
      </c>
      <c r="C247" s="3">
        <v>43241</v>
      </c>
      <c r="D247" s="3" t="s">
        <v>207</v>
      </c>
      <c r="E247" t="s">
        <v>36</v>
      </c>
      <c r="F247" s="5">
        <v>52.96</v>
      </c>
      <c r="G247" t="s">
        <v>35</v>
      </c>
      <c r="H247" s="5">
        <v>7594.2</v>
      </c>
    </row>
    <row r="248" spans="1:9" x14ac:dyDescent="0.25">
      <c r="A248" t="s">
        <v>33</v>
      </c>
      <c r="B248" t="s">
        <v>200</v>
      </c>
      <c r="C248" s="3">
        <v>43241</v>
      </c>
      <c r="D248" s="3" t="s">
        <v>207</v>
      </c>
      <c r="E248" t="s">
        <v>37</v>
      </c>
      <c r="F248" s="5">
        <v>5.89</v>
      </c>
      <c r="G248" t="s">
        <v>35</v>
      </c>
      <c r="H248" s="5">
        <v>7647.16</v>
      </c>
    </row>
    <row r="249" spans="1:9" x14ac:dyDescent="0.25">
      <c r="A249" t="s">
        <v>33</v>
      </c>
      <c r="B249" t="s">
        <v>200</v>
      </c>
      <c r="C249" s="3">
        <v>43241</v>
      </c>
      <c r="D249" s="3" t="s">
        <v>207</v>
      </c>
      <c r="E249" t="s">
        <v>38</v>
      </c>
      <c r="F249" s="5">
        <v>50.24</v>
      </c>
      <c r="G249" t="s">
        <v>35</v>
      </c>
      <c r="H249" s="5">
        <v>7653.05</v>
      </c>
    </row>
    <row r="250" spans="1:9" x14ac:dyDescent="0.25">
      <c r="A250" t="s">
        <v>33</v>
      </c>
      <c r="B250" t="s">
        <v>200</v>
      </c>
      <c r="C250" s="3">
        <v>43241</v>
      </c>
      <c r="D250" s="3" t="s">
        <v>17</v>
      </c>
      <c r="E250" t="s">
        <v>39</v>
      </c>
      <c r="F250" s="5">
        <v>28.62</v>
      </c>
      <c r="G250" t="s">
        <v>35</v>
      </c>
      <c r="H250" s="5">
        <v>7703.29</v>
      </c>
    </row>
    <row r="251" spans="1:9" x14ac:dyDescent="0.25">
      <c r="A251" t="s">
        <v>33</v>
      </c>
      <c r="B251" t="s">
        <v>200</v>
      </c>
      <c r="C251" s="3">
        <v>43241</v>
      </c>
      <c r="D251" s="3" t="s">
        <v>18</v>
      </c>
      <c r="E251" t="s">
        <v>40</v>
      </c>
      <c r="F251" s="5">
        <v>2.25</v>
      </c>
      <c r="G251" t="s">
        <v>35</v>
      </c>
      <c r="H251" s="5">
        <v>7731.91</v>
      </c>
    </row>
    <row r="252" spans="1:9" x14ac:dyDescent="0.25">
      <c r="A252" t="s">
        <v>33</v>
      </c>
      <c r="B252" t="s">
        <v>200</v>
      </c>
      <c r="C252" s="3">
        <v>43241</v>
      </c>
      <c r="D252" s="3" t="s">
        <v>16</v>
      </c>
      <c r="E252" t="s">
        <v>41</v>
      </c>
      <c r="F252" s="5">
        <v>30.11</v>
      </c>
      <c r="G252" t="s">
        <v>35</v>
      </c>
      <c r="H252" s="5">
        <v>7734.16</v>
      </c>
    </row>
    <row r="253" spans="1:9" x14ac:dyDescent="0.25">
      <c r="A253" t="s">
        <v>33</v>
      </c>
      <c r="B253" t="s">
        <v>200</v>
      </c>
      <c r="C253" s="3">
        <v>43241</v>
      </c>
      <c r="D253" s="3" t="s">
        <v>19</v>
      </c>
      <c r="E253" t="s">
        <v>42</v>
      </c>
      <c r="F253" s="5">
        <v>4.8499999999999996</v>
      </c>
      <c r="G253" t="s">
        <v>35</v>
      </c>
      <c r="H253" s="5">
        <v>7764.2699999999995</v>
      </c>
    </row>
    <row r="254" spans="1:9" x14ac:dyDescent="0.25">
      <c r="A254" t="s">
        <v>33</v>
      </c>
      <c r="B254" t="s">
        <v>200</v>
      </c>
      <c r="C254" s="3">
        <v>43241</v>
      </c>
      <c r="D254" s="3" t="s">
        <v>19</v>
      </c>
      <c r="E254" t="s">
        <v>43</v>
      </c>
      <c r="F254" s="5">
        <v>4.55</v>
      </c>
      <c r="G254" t="s">
        <v>35</v>
      </c>
      <c r="H254" s="5">
        <v>7769.12</v>
      </c>
    </row>
    <row r="255" spans="1:9" x14ac:dyDescent="0.25">
      <c r="A255" t="s">
        <v>33</v>
      </c>
      <c r="B255" t="s">
        <v>200</v>
      </c>
      <c r="C255" s="3">
        <v>43239</v>
      </c>
      <c r="D255" s="3" t="s">
        <v>20</v>
      </c>
      <c r="E255" t="s">
        <v>44</v>
      </c>
      <c r="F255" s="5">
        <v>28</v>
      </c>
      <c r="G255" t="s">
        <v>35</v>
      </c>
      <c r="H255" s="5">
        <v>7773.67</v>
      </c>
    </row>
    <row r="256" spans="1:9" x14ac:dyDescent="0.25">
      <c r="A256" t="s">
        <v>33</v>
      </c>
      <c r="B256" t="s">
        <v>200</v>
      </c>
      <c r="C256" s="3">
        <v>43238</v>
      </c>
      <c r="D256" s="3" t="s">
        <v>19</v>
      </c>
      <c r="E256" t="s">
        <v>45</v>
      </c>
      <c r="F256" s="5">
        <v>3.48</v>
      </c>
      <c r="G256" t="s">
        <v>46</v>
      </c>
      <c r="H256" s="5">
        <v>7801.67</v>
      </c>
    </row>
    <row r="257" spans="1:8" x14ac:dyDescent="0.25">
      <c r="A257" t="s">
        <v>33</v>
      </c>
      <c r="B257" t="s">
        <v>200</v>
      </c>
      <c r="C257" s="3">
        <v>43238</v>
      </c>
      <c r="D257" s="3" t="s">
        <v>17</v>
      </c>
      <c r="E257" t="s">
        <v>47</v>
      </c>
      <c r="F257" s="5">
        <v>27.52</v>
      </c>
      <c r="G257" t="s">
        <v>46</v>
      </c>
      <c r="H257" s="5">
        <v>7805.15</v>
      </c>
    </row>
    <row r="258" spans="1:8" x14ac:dyDescent="0.25">
      <c r="A258" t="s">
        <v>33</v>
      </c>
      <c r="B258" t="s">
        <v>200</v>
      </c>
      <c r="C258" s="3">
        <v>43238</v>
      </c>
      <c r="D258" s="3" t="s">
        <v>19</v>
      </c>
      <c r="E258" t="s">
        <v>48</v>
      </c>
      <c r="F258" s="5">
        <v>1.86</v>
      </c>
      <c r="G258" t="s">
        <v>46</v>
      </c>
      <c r="H258" s="5">
        <v>7832.67</v>
      </c>
    </row>
    <row r="259" spans="1:8" x14ac:dyDescent="0.25">
      <c r="A259" s="9" t="s">
        <v>49</v>
      </c>
      <c r="B259" s="9" t="s">
        <v>200</v>
      </c>
      <c r="C259" s="10">
        <v>43238</v>
      </c>
      <c r="D259" s="10" t="s">
        <v>196</v>
      </c>
      <c r="E259" s="9" t="s">
        <v>50</v>
      </c>
      <c r="F259" s="11">
        <v>-3455.28</v>
      </c>
      <c r="G259" s="9" t="s">
        <v>51</v>
      </c>
      <c r="H259" s="11">
        <v>7834.53</v>
      </c>
    </row>
    <row r="260" spans="1:8" x14ac:dyDescent="0.25">
      <c r="A260" t="s">
        <v>33</v>
      </c>
      <c r="B260" t="s">
        <v>200</v>
      </c>
      <c r="C260" s="3">
        <v>43237</v>
      </c>
      <c r="D260" s="3" t="s">
        <v>15</v>
      </c>
      <c r="E260" t="s">
        <v>52</v>
      </c>
      <c r="F260" s="5">
        <v>18.97</v>
      </c>
      <c r="G260" t="s">
        <v>46</v>
      </c>
      <c r="H260" s="5">
        <v>4379.25</v>
      </c>
    </row>
    <row r="261" spans="1:8" x14ac:dyDescent="0.25">
      <c r="A261" t="s">
        <v>33</v>
      </c>
      <c r="B261" t="s">
        <v>200</v>
      </c>
      <c r="C261" s="3">
        <v>43237</v>
      </c>
      <c r="D261" s="3" t="s">
        <v>207</v>
      </c>
      <c r="E261" t="s">
        <v>53</v>
      </c>
      <c r="F261" s="5">
        <v>16.55</v>
      </c>
      <c r="G261" t="s">
        <v>46</v>
      </c>
      <c r="H261" s="5">
        <v>4398.22</v>
      </c>
    </row>
    <row r="262" spans="1:8" x14ac:dyDescent="0.25">
      <c r="A262" t="s">
        <v>33</v>
      </c>
      <c r="B262" t="s">
        <v>200</v>
      </c>
      <c r="C262" s="3">
        <v>43237</v>
      </c>
      <c r="D262" s="3" t="s">
        <v>207</v>
      </c>
      <c r="E262" t="s">
        <v>54</v>
      </c>
      <c r="F262" s="5">
        <v>7</v>
      </c>
      <c r="G262" t="s">
        <v>46</v>
      </c>
      <c r="H262" s="5">
        <v>4414.7700000000004</v>
      </c>
    </row>
    <row r="263" spans="1:8" x14ac:dyDescent="0.25">
      <c r="A263" t="s">
        <v>33</v>
      </c>
      <c r="B263" t="s">
        <v>200</v>
      </c>
      <c r="C263" s="3">
        <v>43236</v>
      </c>
      <c r="D263" s="3" t="s">
        <v>20</v>
      </c>
      <c r="E263" t="s">
        <v>55</v>
      </c>
      <c r="F263" s="5">
        <v>24.44</v>
      </c>
      <c r="G263" t="s">
        <v>46</v>
      </c>
      <c r="H263" s="5">
        <v>4421.7700000000004</v>
      </c>
    </row>
    <row r="264" spans="1:8" x14ac:dyDescent="0.25">
      <c r="A264" t="s">
        <v>33</v>
      </c>
      <c r="B264" t="s">
        <v>200</v>
      </c>
      <c r="C264" s="3">
        <v>43236</v>
      </c>
      <c r="D264" s="3" t="s">
        <v>193</v>
      </c>
      <c r="E264" t="s">
        <v>56</v>
      </c>
      <c r="F264" s="5">
        <v>4.3499999999999996</v>
      </c>
      <c r="G264" t="s">
        <v>46</v>
      </c>
      <c r="H264" s="5">
        <v>4446.21</v>
      </c>
    </row>
    <row r="265" spans="1:8" x14ac:dyDescent="0.25">
      <c r="A265" t="s">
        <v>33</v>
      </c>
      <c r="B265" t="s">
        <v>200</v>
      </c>
      <c r="C265" s="3">
        <v>43236</v>
      </c>
      <c r="D265" s="3" t="s">
        <v>193</v>
      </c>
      <c r="E265" t="s">
        <v>56</v>
      </c>
      <c r="F265" s="5">
        <v>1.6</v>
      </c>
      <c r="G265" t="s">
        <v>46</v>
      </c>
      <c r="H265" s="5">
        <v>4450.5600000000004</v>
      </c>
    </row>
    <row r="266" spans="1:8" x14ac:dyDescent="0.25">
      <c r="A266" t="s">
        <v>33</v>
      </c>
      <c r="B266" t="s">
        <v>200</v>
      </c>
      <c r="C266" s="3">
        <v>43235</v>
      </c>
      <c r="D266" s="3" t="s">
        <v>12</v>
      </c>
      <c r="E266" t="s">
        <v>57</v>
      </c>
      <c r="F266" s="5">
        <v>100</v>
      </c>
      <c r="G266" t="s">
        <v>58</v>
      </c>
      <c r="H266" s="5">
        <v>4452.16</v>
      </c>
    </row>
    <row r="267" spans="1:8" x14ac:dyDescent="0.25">
      <c r="A267" t="s">
        <v>33</v>
      </c>
      <c r="B267" t="s">
        <v>200</v>
      </c>
      <c r="C267" s="3">
        <v>43235</v>
      </c>
      <c r="D267" s="3" t="s">
        <v>15</v>
      </c>
      <c r="E267" t="s">
        <v>59</v>
      </c>
      <c r="F267" s="5">
        <v>40.380000000000003</v>
      </c>
      <c r="G267" t="s">
        <v>46</v>
      </c>
      <c r="H267" s="5">
        <v>4552.16</v>
      </c>
    </row>
    <row r="268" spans="1:8" x14ac:dyDescent="0.25">
      <c r="A268" t="s">
        <v>33</v>
      </c>
      <c r="B268" t="s">
        <v>200</v>
      </c>
      <c r="C268" s="3">
        <v>43235</v>
      </c>
      <c r="D268" s="3" t="s">
        <v>193</v>
      </c>
      <c r="E268" t="s">
        <v>60</v>
      </c>
      <c r="F268" s="5">
        <v>30</v>
      </c>
      <c r="G268" t="s">
        <v>46</v>
      </c>
      <c r="H268" s="5">
        <v>4592.54</v>
      </c>
    </row>
    <row r="269" spans="1:8" x14ac:dyDescent="0.25">
      <c r="A269" t="s">
        <v>33</v>
      </c>
      <c r="B269" t="s">
        <v>200</v>
      </c>
      <c r="C269" s="3">
        <v>43235</v>
      </c>
      <c r="D269" s="3" t="s">
        <v>193</v>
      </c>
      <c r="E269" t="s">
        <v>61</v>
      </c>
      <c r="F269" s="5">
        <v>34.14</v>
      </c>
      <c r="G269" t="s">
        <v>46</v>
      </c>
      <c r="H269" s="5">
        <v>4622.54</v>
      </c>
    </row>
    <row r="270" spans="1:8" x14ac:dyDescent="0.25">
      <c r="A270" t="s">
        <v>33</v>
      </c>
      <c r="B270" t="s">
        <v>200</v>
      </c>
      <c r="C270" s="3">
        <v>43235</v>
      </c>
      <c r="D270" s="3" t="s">
        <v>193</v>
      </c>
      <c r="E270" t="s">
        <v>62</v>
      </c>
      <c r="F270" s="5">
        <v>149.47999999999999</v>
      </c>
      <c r="G270" t="s">
        <v>46</v>
      </c>
      <c r="H270" s="5">
        <v>4656.68</v>
      </c>
    </row>
    <row r="271" spans="1:8" x14ac:dyDescent="0.25">
      <c r="A271" t="s">
        <v>33</v>
      </c>
      <c r="B271" t="s">
        <v>200</v>
      </c>
      <c r="C271" s="3">
        <v>43235</v>
      </c>
      <c r="D271" s="3" t="s">
        <v>17</v>
      </c>
      <c r="E271" t="s">
        <v>63</v>
      </c>
      <c r="F271" s="5">
        <v>34.68</v>
      </c>
      <c r="G271" t="s">
        <v>46</v>
      </c>
      <c r="H271" s="5">
        <v>4806.16</v>
      </c>
    </row>
    <row r="272" spans="1:8" x14ac:dyDescent="0.25">
      <c r="A272" t="s">
        <v>33</v>
      </c>
      <c r="B272" t="s">
        <v>200</v>
      </c>
      <c r="C272" s="3">
        <v>43234</v>
      </c>
      <c r="D272" s="3" t="s">
        <v>193</v>
      </c>
      <c r="E272" t="s">
        <v>64</v>
      </c>
      <c r="F272" s="5">
        <v>2.73</v>
      </c>
      <c r="G272" t="s">
        <v>46</v>
      </c>
      <c r="H272" s="5">
        <v>4840.84</v>
      </c>
    </row>
    <row r="273" spans="1:8" x14ac:dyDescent="0.25">
      <c r="A273" t="s">
        <v>33</v>
      </c>
      <c r="B273" t="s">
        <v>200</v>
      </c>
      <c r="C273" s="3">
        <v>43234</v>
      </c>
      <c r="D273" s="3" t="s">
        <v>193</v>
      </c>
      <c r="E273" t="s">
        <v>65</v>
      </c>
      <c r="F273" s="5">
        <v>12.69</v>
      </c>
      <c r="G273" t="s">
        <v>46</v>
      </c>
      <c r="H273" s="5">
        <v>4843.57</v>
      </c>
    </row>
    <row r="274" spans="1:8" x14ac:dyDescent="0.25">
      <c r="A274" t="s">
        <v>33</v>
      </c>
      <c r="B274" t="s">
        <v>200</v>
      </c>
      <c r="C274" s="3">
        <v>43234</v>
      </c>
      <c r="D274" s="3" t="s">
        <v>16</v>
      </c>
      <c r="E274" t="s">
        <v>66</v>
      </c>
      <c r="F274" s="5">
        <v>36.700000000000003</v>
      </c>
      <c r="G274" t="s">
        <v>46</v>
      </c>
      <c r="H274" s="5">
        <v>4856.26</v>
      </c>
    </row>
    <row r="275" spans="1:8" x14ac:dyDescent="0.25">
      <c r="A275" t="s">
        <v>33</v>
      </c>
      <c r="B275" t="s">
        <v>200</v>
      </c>
      <c r="C275" s="3">
        <v>43234</v>
      </c>
      <c r="D275" s="3" t="s">
        <v>19</v>
      </c>
      <c r="E275" t="s">
        <v>67</v>
      </c>
      <c r="F275" s="5">
        <v>2.6</v>
      </c>
      <c r="G275" t="s">
        <v>46</v>
      </c>
      <c r="H275" s="5">
        <v>4892.96</v>
      </c>
    </row>
    <row r="276" spans="1:8" x14ac:dyDescent="0.25">
      <c r="A276" t="s">
        <v>33</v>
      </c>
      <c r="B276" t="s">
        <v>200</v>
      </c>
      <c r="C276" s="3">
        <v>43234</v>
      </c>
      <c r="D276" s="3" t="s">
        <v>15</v>
      </c>
      <c r="E276" t="s">
        <v>68</v>
      </c>
      <c r="F276" s="5">
        <v>35.51</v>
      </c>
      <c r="G276" t="s">
        <v>46</v>
      </c>
      <c r="H276" s="5">
        <v>4895.5600000000004</v>
      </c>
    </row>
    <row r="277" spans="1:8" x14ac:dyDescent="0.25">
      <c r="A277" t="s">
        <v>33</v>
      </c>
      <c r="B277" t="s">
        <v>200</v>
      </c>
      <c r="C277" s="3">
        <v>43234</v>
      </c>
      <c r="D277" s="3" t="s">
        <v>207</v>
      </c>
      <c r="E277" t="s">
        <v>69</v>
      </c>
      <c r="F277" s="5">
        <v>6.95</v>
      </c>
      <c r="G277" t="s">
        <v>46</v>
      </c>
      <c r="H277" s="5">
        <v>4931.07</v>
      </c>
    </row>
    <row r="278" spans="1:8" x14ac:dyDescent="0.25">
      <c r="A278" t="s">
        <v>33</v>
      </c>
      <c r="B278" t="s">
        <v>200</v>
      </c>
      <c r="C278" s="3">
        <v>43234</v>
      </c>
      <c r="D278" s="3" t="s">
        <v>19</v>
      </c>
      <c r="E278" t="s">
        <v>70</v>
      </c>
      <c r="F278" s="5">
        <v>4.55</v>
      </c>
      <c r="G278" t="s">
        <v>46</v>
      </c>
      <c r="H278" s="5">
        <v>4938.0200000000004</v>
      </c>
    </row>
    <row r="279" spans="1:8" x14ac:dyDescent="0.25">
      <c r="A279" t="s">
        <v>33</v>
      </c>
      <c r="B279" t="s">
        <v>200</v>
      </c>
      <c r="C279" s="3">
        <v>43231</v>
      </c>
      <c r="D279" s="3" t="s">
        <v>198</v>
      </c>
      <c r="E279" t="s">
        <v>71</v>
      </c>
      <c r="F279" s="5">
        <v>22.75</v>
      </c>
      <c r="G279" t="s">
        <v>46</v>
      </c>
      <c r="H279" s="5">
        <v>4942.57</v>
      </c>
    </row>
    <row r="280" spans="1:8" x14ac:dyDescent="0.25">
      <c r="A280" t="s">
        <v>33</v>
      </c>
      <c r="B280" t="s">
        <v>200</v>
      </c>
      <c r="C280" s="3">
        <v>43231</v>
      </c>
      <c r="D280" s="3" t="s">
        <v>17</v>
      </c>
      <c r="E280" t="s">
        <v>72</v>
      </c>
      <c r="F280" s="5">
        <v>27.94</v>
      </c>
      <c r="G280" t="s">
        <v>46</v>
      </c>
      <c r="H280" s="5">
        <v>4965.32</v>
      </c>
    </row>
    <row r="281" spans="1:8" x14ac:dyDescent="0.25">
      <c r="A281" t="s">
        <v>33</v>
      </c>
      <c r="B281" t="s">
        <v>200</v>
      </c>
      <c r="C281" s="3">
        <v>43230</v>
      </c>
      <c r="D281" s="3" t="s">
        <v>15</v>
      </c>
      <c r="E281" t="s">
        <v>73</v>
      </c>
      <c r="F281" s="5">
        <v>23.67</v>
      </c>
      <c r="G281" t="s">
        <v>46</v>
      </c>
      <c r="H281" s="5">
        <v>4993.26</v>
      </c>
    </row>
    <row r="282" spans="1:8" x14ac:dyDescent="0.25">
      <c r="A282" t="s">
        <v>33</v>
      </c>
      <c r="B282" t="s">
        <v>200</v>
      </c>
      <c r="C282" s="3">
        <v>43230</v>
      </c>
      <c r="D282" s="3" t="s">
        <v>207</v>
      </c>
      <c r="E282" t="s">
        <v>74</v>
      </c>
      <c r="F282" s="5">
        <v>16.55</v>
      </c>
      <c r="G282" t="s">
        <v>46</v>
      </c>
      <c r="H282" s="5">
        <v>5016.93</v>
      </c>
    </row>
    <row r="283" spans="1:8" x14ac:dyDescent="0.25">
      <c r="A283" t="s">
        <v>33</v>
      </c>
      <c r="B283" t="s">
        <v>200</v>
      </c>
      <c r="C283" s="3">
        <v>43229</v>
      </c>
      <c r="D283" s="3" t="s">
        <v>12</v>
      </c>
      <c r="E283" t="s">
        <v>75</v>
      </c>
      <c r="F283" s="5">
        <v>100</v>
      </c>
      <c r="G283" t="s">
        <v>58</v>
      </c>
      <c r="H283" s="5">
        <v>5033.4799999999996</v>
      </c>
    </row>
    <row r="284" spans="1:8" x14ac:dyDescent="0.25">
      <c r="A284" t="s">
        <v>33</v>
      </c>
      <c r="B284" t="s">
        <v>200</v>
      </c>
      <c r="C284" s="3">
        <v>43229</v>
      </c>
      <c r="D284" s="3" t="s">
        <v>17</v>
      </c>
      <c r="E284" t="s">
        <v>76</v>
      </c>
      <c r="F284" s="5">
        <v>42.16</v>
      </c>
      <c r="G284" t="s">
        <v>46</v>
      </c>
      <c r="H284" s="5">
        <v>5133.4799999999996</v>
      </c>
    </row>
    <row r="285" spans="1:8" x14ac:dyDescent="0.25">
      <c r="A285" t="s">
        <v>33</v>
      </c>
      <c r="B285" t="s">
        <v>200</v>
      </c>
      <c r="C285" s="3">
        <v>43229</v>
      </c>
      <c r="D285" s="3" t="s">
        <v>17</v>
      </c>
      <c r="E285" t="s">
        <v>77</v>
      </c>
      <c r="F285" s="5">
        <v>14</v>
      </c>
      <c r="G285" t="s">
        <v>46</v>
      </c>
      <c r="H285" s="5">
        <v>5175.6400000000003</v>
      </c>
    </row>
    <row r="286" spans="1:8" x14ac:dyDescent="0.25">
      <c r="A286" t="s">
        <v>33</v>
      </c>
      <c r="B286" t="s">
        <v>200</v>
      </c>
      <c r="C286" s="3">
        <v>43228</v>
      </c>
      <c r="D286" s="3" t="s">
        <v>197</v>
      </c>
      <c r="E286" t="s">
        <v>78</v>
      </c>
      <c r="F286" s="5">
        <v>40</v>
      </c>
      <c r="G286" t="s">
        <v>46</v>
      </c>
      <c r="H286" s="5">
        <v>5189.6400000000003</v>
      </c>
    </row>
    <row r="287" spans="1:8" x14ac:dyDescent="0.25">
      <c r="A287" t="s">
        <v>33</v>
      </c>
      <c r="B287" t="s">
        <v>200</v>
      </c>
      <c r="C287" s="3">
        <v>43228</v>
      </c>
      <c r="D287" s="3" t="s">
        <v>15</v>
      </c>
      <c r="E287" t="s">
        <v>79</v>
      </c>
      <c r="F287" s="5">
        <v>11.34</v>
      </c>
      <c r="G287" t="s">
        <v>46</v>
      </c>
      <c r="H287" s="5">
        <v>5229.6400000000003</v>
      </c>
    </row>
    <row r="288" spans="1:8" x14ac:dyDescent="0.25">
      <c r="A288" t="s">
        <v>33</v>
      </c>
      <c r="B288" t="s">
        <v>200</v>
      </c>
      <c r="C288" s="3">
        <v>43228</v>
      </c>
      <c r="D288" s="3" t="s">
        <v>17</v>
      </c>
      <c r="E288" t="s">
        <v>80</v>
      </c>
      <c r="F288" s="5">
        <v>14.92</v>
      </c>
      <c r="G288" t="s">
        <v>46</v>
      </c>
      <c r="H288" s="5">
        <v>5240.9799999999996</v>
      </c>
    </row>
    <row r="289" spans="1:8" x14ac:dyDescent="0.25">
      <c r="A289" t="s">
        <v>33</v>
      </c>
      <c r="B289" t="s">
        <v>200</v>
      </c>
      <c r="C289" s="3">
        <v>43228</v>
      </c>
      <c r="D289" s="3" t="s">
        <v>17</v>
      </c>
      <c r="E289" t="s">
        <v>81</v>
      </c>
      <c r="F289" s="5">
        <v>31.56</v>
      </c>
      <c r="G289" t="s">
        <v>46</v>
      </c>
      <c r="H289" s="5">
        <v>5255.9</v>
      </c>
    </row>
    <row r="290" spans="1:8" x14ac:dyDescent="0.25">
      <c r="A290" s="24" t="s">
        <v>33</v>
      </c>
      <c r="B290" s="25" t="s">
        <v>200</v>
      </c>
      <c r="C290" s="26">
        <v>43227</v>
      </c>
      <c r="D290" s="26" t="s">
        <v>15</v>
      </c>
      <c r="E290" s="25" t="s">
        <v>82</v>
      </c>
      <c r="F290" s="27">
        <f>45.01-20</f>
        <v>25.009999999999998</v>
      </c>
      <c r="G290" s="25" t="s">
        <v>46</v>
      </c>
      <c r="H290" s="28">
        <v>5287.46</v>
      </c>
    </row>
    <row r="291" spans="1:8" x14ac:dyDescent="0.25">
      <c r="A291" s="29" t="s">
        <v>33</v>
      </c>
      <c r="B291" s="30" t="s">
        <v>200</v>
      </c>
      <c r="C291" s="31">
        <v>43227</v>
      </c>
      <c r="D291" s="31" t="s">
        <v>197</v>
      </c>
      <c r="E291" s="30" t="s">
        <v>82</v>
      </c>
      <c r="F291" s="32">
        <v>20</v>
      </c>
      <c r="G291" s="30" t="s">
        <v>46</v>
      </c>
      <c r="H291" s="33">
        <v>5287.46</v>
      </c>
    </row>
    <row r="292" spans="1:8" x14ac:dyDescent="0.25">
      <c r="A292" t="s">
        <v>33</v>
      </c>
      <c r="B292" t="s">
        <v>200</v>
      </c>
      <c r="C292" s="3">
        <v>43227</v>
      </c>
      <c r="D292" s="3" t="s">
        <v>18</v>
      </c>
      <c r="E292" t="s">
        <v>83</v>
      </c>
      <c r="F292" s="5">
        <v>4</v>
      </c>
      <c r="G292" t="s">
        <v>46</v>
      </c>
      <c r="H292" s="5">
        <v>5332.47</v>
      </c>
    </row>
    <row r="293" spans="1:8" x14ac:dyDescent="0.25">
      <c r="A293" t="s">
        <v>33</v>
      </c>
      <c r="B293" t="s">
        <v>200</v>
      </c>
      <c r="C293" s="3">
        <v>43227</v>
      </c>
      <c r="D293" s="3" t="s">
        <v>19</v>
      </c>
      <c r="E293" t="s">
        <v>84</v>
      </c>
      <c r="F293" s="5">
        <v>2.6</v>
      </c>
      <c r="G293" t="s">
        <v>46</v>
      </c>
      <c r="H293" s="5">
        <v>5336.47</v>
      </c>
    </row>
    <row r="294" spans="1:8" x14ac:dyDescent="0.25">
      <c r="A294" t="s">
        <v>33</v>
      </c>
      <c r="B294" t="s">
        <v>200</v>
      </c>
      <c r="C294" s="3">
        <v>43227</v>
      </c>
      <c r="D294" s="3" t="s">
        <v>19</v>
      </c>
      <c r="E294" t="s">
        <v>84</v>
      </c>
      <c r="F294" s="5">
        <v>2.6</v>
      </c>
      <c r="G294" t="s">
        <v>46</v>
      </c>
      <c r="H294" s="5">
        <v>5339.07</v>
      </c>
    </row>
    <row r="295" spans="1:8" x14ac:dyDescent="0.25">
      <c r="A295" t="s">
        <v>33</v>
      </c>
      <c r="B295" t="s">
        <v>200</v>
      </c>
      <c r="C295" s="3">
        <v>43227</v>
      </c>
      <c r="D295" s="3" t="s">
        <v>207</v>
      </c>
      <c r="E295" t="s">
        <v>85</v>
      </c>
      <c r="F295" s="5">
        <v>26.81</v>
      </c>
      <c r="G295" t="s">
        <v>46</v>
      </c>
      <c r="H295" s="5">
        <v>5341.67</v>
      </c>
    </row>
    <row r="296" spans="1:8" x14ac:dyDescent="0.25">
      <c r="A296" s="24" t="s">
        <v>33</v>
      </c>
      <c r="B296" s="25" t="s">
        <v>200</v>
      </c>
      <c r="C296" s="26">
        <v>43227</v>
      </c>
      <c r="D296" s="26" t="s">
        <v>15</v>
      </c>
      <c r="E296" s="25" t="s">
        <v>86</v>
      </c>
      <c r="F296" s="27">
        <f>52.09-20</f>
        <v>32.090000000000003</v>
      </c>
      <c r="G296" s="25" t="s">
        <v>46</v>
      </c>
      <c r="H296" s="28">
        <v>5368.48</v>
      </c>
    </row>
    <row r="297" spans="1:8" x14ac:dyDescent="0.25">
      <c r="A297" s="29" t="s">
        <v>33</v>
      </c>
      <c r="B297" s="30" t="s">
        <v>200</v>
      </c>
      <c r="C297" s="31">
        <v>43227</v>
      </c>
      <c r="D297" s="31" t="s">
        <v>197</v>
      </c>
      <c r="E297" s="30" t="s">
        <v>86</v>
      </c>
      <c r="F297" s="32">
        <v>20</v>
      </c>
      <c r="G297" s="30" t="s">
        <v>46</v>
      </c>
      <c r="H297" s="33">
        <v>5368.48</v>
      </c>
    </row>
    <row r="298" spans="1:8" x14ac:dyDescent="0.25">
      <c r="A298" t="s">
        <v>33</v>
      </c>
      <c r="B298" t="s">
        <v>200</v>
      </c>
      <c r="C298" s="3">
        <v>43227</v>
      </c>
      <c r="D298" s="3" t="s">
        <v>19</v>
      </c>
      <c r="E298" t="s">
        <v>87</v>
      </c>
      <c r="F298" s="5">
        <v>3.75</v>
      </c>
      <c r="G298" t="s">
        <v>46</v>
      </c>
      <c r="H298" s="5">
        <v>5420.57</v>
      </c>
    </row>
    <row r="299" spans="1:8" x14ac:dyDescent="0.25">
      <c r="A299" t="s">
        <v>33</v>
      </c>
      <c r="B299" t="s">
        <v>200</v>
      </c>
      <c r="C299" s="3">
        <v>43227</v>
      </c>
      <c r="D299" s="3" t="s">
        <v>19</v>
      </c>
      <c r="E299" t="s">
        <v>88</v>
      </c>
      <c r="F299" s="5">
        <v>4.55</v>
      </c>
      <c r="G299" t="s">
        <v>46</v>
      </c>
      <c r="H299" s="5">
        <v>5424.32</v>
      </c>
    </row>
    <row r="300" spans="1:8" x14ac:dyDescent="0.25">
      <c r="A300" t="s">
        <v>33</v>
      </c>
      <c r="B300" t="s">
        <v>200</v>
      </c>
      <c r="C300" s="3">
        <v>43227</v>
      </c>
      <c r="D300" s="3" t="s">
        <v>17</v>
      </c>
      <c r="E300" t="s">
        <v>89</v>
      </c>
      <c r="F300" s="5">
        <v>46.13</v>
      </c>
      <c r="G300" t="s">
        <v>46</v>
      </c>
      <c r="H300" s="5">
        <v>5428.87</v>
      </c>
    </row>
    <row r="301" spans="1:8" x14ac:dyDescent="0.25">
      <c r="A301" t="s">
        <v>33</v>
      </c>
      <c r="B301" t="s">
        <v>200</v>
      </c>
      <c r="C301" s="3">
        <v>43224</v>
      </c>
      <c r="D301" s="3" t="s">
        <v>16</v>
      </c>
      <c r="E301" t="s">
        <v>90</v>
      </c>
      <c r="F301" s="5">
        <v>40.04</v>
      </c>
      <c r="G301" t="s">
        <v>46</v>
      </c>
      <c r="H301" s="5">
        <v>5475</v>
      </c>
    </row>
    <row r="302" spans="1:8" x14ac:dyDescent="0.25">
      <c r="A302" s="24" t="s">
        <v>33</v>
      </c>
      <c r="B302" s="25" t="s">
        <v>200</v>
      </c>
      <c r="C302" s="26">
        <v>43224</v>
      </c>
      <c r="D302" s="26" t="s">
        <v>15</v>
      </c>
      <c r="E302" s="25" t="s">
        <v>91</v>
      </c>
      <c r="F302" s="27">
        <f>29.36-20</f>
        <v>9.36</v>
      </c>
      <c r="G302" s="25" t="s">
        <v>46</v>
      </c>
      <c r="H302" s="28">
        <v>5515.04</v>
      </c>
    </row>
    <row r="303" spans="1:8" x14ac:dyDescent="0.25">
      <c r="A303" s="29" t="s">
        <v>33</v>
      </c>
      <c r="B303" s="30" t="s">
        <v>200</v>
      </c>
      <c r="C303" s="31">
        <v>43224</v>
      </c>
      <c r="D303" s="31" t="s">
        <v>197</v>
      </c>
      <c r="E303" s="30" t="s">
        <v>91</v>
      </c>
      <c r="F303" s="32">
        <v>20</v>
      </c>
      <c r="G303" s="30" t="s">
        <v>46</v>
      </c>
      <c r="H303" s="33">
        <v>5515.04</v>
      </c>
    </row>
    <row r="304" spans="1:8" x14ac:dyDescent="0.25">
      <c r="A304" t="s">
        <v>33</v>
      </c>
      <c r="B304" t="s">
        <v>200</v>
      </c>
      <c r="C304" s="3">
        <v>43224</v>
      </c>
      <c r="D304" s="3" t="s">
        <v>207</v>
      </c>
      <c r="E304" t="s">
        <v>92</v>
      </c>
      <c r="F304" s="5">
        <v>77.3</v>
      </c>
      <c r="G304" t="s">
        <v>46</v>
      </c>
      <c r="H304" s="5">
        <v>5544.4</v>
      </c>
    </row>
    <row r="305" spans="1:9" x14ac:dyDescent="0.25">
      <c r="A305" s="6" t="s">
        <v>93</v>
      </c>
      <c r="B305" s="6" t="s">
        <v>200</v>
      </c>
      <c r="C305" s="7">
        <v>43224</v>
      </c>
      <c r="D305" s="7" t="s">
        <v>196</v>
      </c>
      <c r="E305" s="6" t="s">
        <v>94</v>
      </c>
      <c r="F305" s="8">
        <v>-1000</v>
      </c>
      <c r="G305" s="6" t="s">
        <v>95</v>
      </c>
      <c r="H305" s="8">
        <v>5621.7</v>
      </c>
    </row>
    <row r="306" spans="1:9" x14ac:dyDescent="0.25">
      <c r="A306" t="s">
        <v>33</v>
      </c>
      <c r="B306" t="s">
        <v>200</v>
      </c>
      <c r="C306" s="3">
        <v>43222</v>
      </c>
      <c r="D306" s="3" t="s">
        <v>19</v>
      </c>
      <c r="E306" t="s">
        <v>96</v>
      </c>
      <c r="F306" s="5">
        <v>3.48</v>
      </c>
      <c r="G306" t="s">
        <v>46</v>
      </c>
      <c r="H306" s="5">
        <v>4621.7</v>
      </c>
    </row>
    <row r="307" spans="1:9" x14ac:dyDescent="0.25">
      <c r="A307" t="s">
        <v>33</v>
      </c>
      <c r="B307" t="s">
        <v>200</v>
      </c>
      <c r="C307" s="3">
        <v>43222</v>
      </c>
      <c r="D307" s="3" t="s">
        <v>20</v>
      </c>
      <c r="E307" t="s">
        <v>97</v>
      </c>
      <c r="F307" s="5">
        <v>2</v>
      </c>
      <c r="G307" t="s">
        <v>46</v>
      </c>
      <c r="H307" s="5">
        <v>4625.18</v>
      </c>
    </row>
    <row r="308" spans="1:9" x14ac:dyDescent="0.25">
      <c r="A308" t="s">
        <v>33</v>
      </c>
      <c r="B308" t="s">
        <v>200</v>
      </c>
      <c r="C308" s="3">
        <v>43221</v>
      </c>
      <c r="D308" s="3" t="s">
        <v>19</v>
      </c>
      <c r="E308" t="s">
        <v>98</v>
      </c>
      <c r="F308" s="5">
        <v>5.83</v>
      </c>
      <c r="G308" t="s">
        <v>46</v>
      </c>
      <c r="H308" s="5">
        <v>4627.18</v>
      </c>
    </row>
    <row r="309" spans="1:9" x14ac:dyDescent="0.25">
      <c r="A309" t="s">
        <v>33</v>
      </c>
      <c r="B309" t="s">
        <v>200</v>
      </c>
      <c r="C309" s="3">
        <v>43221</v>
      </c>
      <c r="D309" s="3" t="s">
        <v>17</v>
      </c>
      <c r="E309" t="s">
        <v>99</v>
      </c>
      <c r="F309" s="5">
        <v>17</v>
      </c>
      <c r="G309" t="s">
        <v>46</v>
      </c>
      <c r="H309" s="5">
        <v>4633.01</v>
      </c>
    </row>
    <row r="310" spans="1:9" x14ac:dyDescent="0.25">
      <c r="A310" t="s">
        <v>33</v>
      </c>
      <c r="B310" t="s">
        <v>200</v>
      </c>
      <c r="C310" s="3">
        <v>43221</v>
      </c>
      <c r="D310" s="3" t="s">
        <v>19</v>
      </c>
      <c r="E310" t="s">
        <v>100</v>
      </c>
      <c r="F310" s="5">
        <v>2.6</v>
      </c>
      <c r="G310" t="s">
        <v>46</v>
      </c>
      <c r="H310" s="5">
        <v>4650.01</v>
      </c>
    </row>
    <row r="311" spans="1:9" x14ac:dyDescent="0.25">
      <c r="A311" t="s">
        <v>33</v>
      </c>
      <c r="B311" t="s">
        <v>200</v>
      </c>
      <c r="C311" s="3">
        <v>43221</v>
      </c>
      <c r="D311" s="3" t="s">
        <v>19</v>
      </c>
      <c r="E311" t="s">
        <v>101</v>
      </c>
      <c r="F311" s="5">
        <v>5.09</v>
      </c>
      <c r="G311" t="s">
        <v>46</v>
      </c>
      <c r="H311" s="5">
        <v>4652.6099999999997</v>
      </c>
    </row>
    <row r="312" spans="1:9" x14ac:dyDescent="0.25">
      <c r="A312" t="s">
        <v>33</v>
      </c>
      <c r="B312" t="s">
        <v>200</v>
      </c>
      <c r="C312" s="3">
        <v>43221</v>
      </c>
      <c r="D312" s="3" t="s">
        <v>18</v>
      </c>
      <c r="E312" t="s">
        <v>102</v>
      </c>
      <c r="F312" s="5">
        <v>12</v>
      </c>
      <c r="G312" t="s">
        <v>46</v>
      </c>
      <c r="H312" s="5">
        <v>4657.7</v>
      </c>
    </row>
    <row r="313" spans="1:9" x14ac:dyDescent="0.25">
      <c r="A313" t="s">
        <v>33</v>
      </c>
      <c r="B313" t="s">
        <v>200</v>
      </c>
      <c r="C313" s="3">
        <v>43221</v>
      </c>
      <c r="D313" s="3" t="s">
        <v>17</v>
      </c>
      <c r="E313" t="s">
        <v>103</v>
      </c>
      <c r="F313" s="5">
        <v>24</v>
      </c>
      <c r="G313" t="s">
        <v>46</v>
      </c>
      <c r="H313" s="5">
        <v>4669.7</v>
      </c>
    </row>
    <row r="314" spans="1:9" x14ac:dyDescent="0.25">
      <c r="A314" s="6" t="s">
        <v>49</v>
      </c>
      <c r="B314" s="6" t="s">
        <v>201</v>
      </c>
      <c r="C314" s="7">
        <v>43220</v>
      </c>
      <c r="D314" s="7" t="s">
        <v>210</v>
      </c>
      <c r="E314" s="6" t="s">
        <v>104</v>
      </c>
      <c r="F314" s="8">
        <v>-0.01</v>
      </c>
      <c r="G314" s="6" t="s">
        <v>105</v>
      </c>
      <c r="H314" s="8">
        <v>4693.7</v>
      </c>
    </row>
    <row r="315" spans="1:9" x14ac:dyDescent="0.25">
      <c r="A315" t="s">
        <v>33</v>
      </c>
      <c r="B315" t="s">
        <v>201</v>
      </c>
      <c r="C315" s="3">
        <v>43220</v>
      </c>
      <c r="D315" s="3" t="s">
        <v>192</v>
      </c>
      <c r="E315" t="s">
        <v>106</v>
      </c>
      <c r="F315" s="5">
        <v>437.54</v>
      </c>
      <c r="G315" t="s">
        <v>107</v>
      </c>
      <c r="H315" s="5">
        <v>4693.6899999999996</v>
      </c>
    </row>
    <row r="316" spans="1:9" x14ac:dyDescent="0.25">
      <c r="A316" t="s">
        <v>33</v>
      </c>
      <c r="B316" t="s">
        <v>201</v>
      </c>
      <c r="C316" s="3">
        <v>43220</v>
      </c>
      <c r="D316" s="3" t="s">
        <v>15</v>
      </c>
      <c r="E316" t="s">
        <v>108</v>
      </c>
      <c r="F316" s="5">
        <v>47.11</v>
      </c>
      <c r="G316" t="s">
        <v>46</v>
      </c>
      <c r="H316" s="5">
        <v>5131.2299999999996</v>
      </c>
    </row>
    <row r="317" spans="1:9" x14ac:dyDescent="0.25">
      <c r="A317" t="s">
        <v>33</v>
      </c>
      <c r="B317" t="s">
        <v>201</v>
      </c>
      <c r="C317" s="3">
        <v>43220</v>
      </c>
      <c r="D317" s="3" t="s">
        <v>17</v>
      </c>
      <c r="E317" t="s">
        <v>109</v>
      </c>
      <c r="F317" s="5">
        <v>21.02</v>
      </c>
      <c r="G317" t="s">
        <v>46</v>
      </c>
      <c r="H317" s="5">
        <v>5178.34</v>
      </c>
    </row>
    <row r="318" spans="1:9" x14ac:dyDescent="0.25">
      <c r="A318" s="24" t="s">
        <v>33</v>
      </c>
      <c r="B318" s="25" t="s">
        <v>201</v>
      </c>
      <c r="C318" s="26">
        <v>43220</v>
      </c>
      <c r="D318" s="26" t="s">
        <v>12</v>
      </c>
      <c r="E318" s="25" t="s">
        <v>110</v>
      </c>
      <c r="F318" s="27">
        <v>100</v>
      </c>
      <c r="G318" s="25" t="s">
        <v>58</v>
      </c>
      <c r="H318" s="28">
        <v>5199.3599999999997</v>
      </c>
      <c r="I318" t="s">
        <v>12</v>
      </c>
    </row>
    <row r="319" spans="1:9" x14ac:dyDescent="0.25">
      <c r="A319" s="29" t="s">
        <v>33</v>
      </c>
      <c r="B319" s="30" t="s">
        <v>201</v>
      </c>
      <c r="C319" s="31">
        <v>43220</v>
      </c>
      <c r="D319" s="31" t="s">
        <v>12</v>
      </c>
      <c r="E319" s="30" t="s">
        <v>110</v>
      </c>
      <c r="F319" s="32">
        <v>20</v>
      </c>
      <c r="G319" s="30" t="s">
        <v>58</v>
      </c>
      <c r="H319" s="33">
        <v>5199.3599999999997</v>
      </c>
      <c r="I319" t="s">
        <v>202</v>
      </c>
    </row>
    <row r="320" spans="1:9" x14ac:dyDescent="0.25">
      <c r="A320" t="s">
        <v>33</v>
      </c>
      <c r="B320" t="s">
        <v>201</v>
      </c>
      <c r="C320" s="3">
        <v>43220</v>
      </c>
      <c r="D320" s="3" t="s">
        <v>16</v>
      </c>
      <c r="E320" t="s">
        <v>111</v>
      </c>
      <c r="F320" s="5">
        <v>36.82</v>
      </c>
      <c r="G320" t="s">
        <v>46</v>
      </c>
      <c r="H320" s="5">
        <v>5319.36</v>
      </c>
    </row>
    <row r="321" spans="1:8" x14ac:dyDescent="0.25">
      <c r="A321" t="s">
        <v>33</v>
      </c>
      <c r="B321" t="s">
        <v>201</v>
      </c>
      <c r="C321" s="3">
        <v>43220</v>
      </c>
      <c r="D321" s="3" t="s">
        <v>17</v>
      </c>
      <c r="E321" t="s">
        <v>112</v>
      </c>
      <c r="F321" s="5">
        <v>35.74</v>
      </c>
      <c r="G321" t="s">
        <v>46</v>
      </c>
      <c r="H321" s="5">
        <v>5356.18</v>
      </c>
    </row>
    <row r="322" spans="1:8" x14ac:dyDescent="0.25">
      <c r="A322" t="s">
        <v>33</v>
      </c>
      <c r="B322" t="s">
        <v>201</v>
      </c>
      <c r="C322" s="3">
        <v>43220</v>
      </c>
      <c r="D322" s="3" t="s">
        <v>16</v>
      </c>
      <c r="E322" t="s">
        <v>113</v>
      </c>
      <c r="F322" s="5">
        <v>7.42</v>
      </c>
      <c r="G322" t="s">
        <v>46</v>
      </c>
      <c r="H322" s="5">
        <v>5391.92</v>
      </c>
    </row>
    <row r="323" spans="1:8" x14ac:dyDescent="0.25">
      <c r="A323" t="s">
        <v>33</v>
      </c>
      <c r="B323" t="s">
        <v>201</v>
      </c>
      <c r="C323" s="3">
        <v>43220</v>
      </c>
      <c r="D323" s="3" t="s">
        <v>19</v>
      </c>
      <c r="E323" t="s">
        <v>114</v>
      </c>
      <c r="F323" s="5">
        <v>3.75</v>
      </c>
      <c r="G323" t="s">
        <v>46</v>
      </c>
      <c r="H323" s="5">
        <v>5399.34</v>
      </c>
    </row>
    <row r="324" spans="1:8" x14ac:dyDescent="0.25">
      <c r="A324" t="s">
        <v>33</v>
      </c>
      <c r="B324" t="s">
        <v>201</v>
      </c>
      <c r="C324" s="3">
        <v>43220</v>
      </c>
      <c r="D324" s="3" t="s">
        <v>19</v>
      </c>
      <c r="E324" t="s">
        <v>115</v>
      </c>
      <c r="F324" s="5">
        <v>3.75</v>
      </c>
      <c r="G324" t="s">
        <v>46</v>
      </c>
      <c r="H324" s="5">
        <v>5403.09</v>
      </c>
    </row>
    <row r="325" spans="1:8" x14ac:dyDescent="0.25">
      <c r="A325" t="s">
        <v>33</v>
      </c>
      <c r="B325" t="s">
        <v>201</v>
      </c>
      <c r="C325" s="3">
        <v>43220</v>
      </c>
      <c r="D325" s="3" t="s">
        <v>19</v>
      </c>
      <c r="E325" t="s">
        <v>116</v>
      </c>
      <c r="F325" s="5">
        <v>4.01</v>
      </c>
      <c r="G325" t="s">
        <v>46</v>
      </c>
      <c r="H325" s="5">
        <v>5406.84</v>
      </c>
    </row>
    <row r="326" spans="1:8" x14ac:dyDescent="0.25">
      <c r="A326" t="s">
        <v>33</v>
      </c>
      <c r="B326" t="s">
        <v>201</v>
      </c>
      <c r="C326" s="3">
        <v>43220</v>
      </c>
      <c r="D326" s="3" t="s">
        <v>19</v>
      </c>
      <c r="E326" t="s">
        <v>117</v>
      </c>
      <c r="F326" s="5">
        <v>4.76</v>
      </c>
      <c r="G326" t="s">
        <v>46</v>
      </c>
      <c r="H326" s="5">
        <v>5410.85</v>
      </c>
    </row>
    <row r="327" spans="1:8" x14ac:dyDescent="0.25">
      <c r="A327" t="s">
        <v>33</v>
      </c>
      <c r="B327" t="s">
        <v>201</v>
      </c>
      <c r="C327" s="3">
        <v>43217</v>
      </c>
      <c r="D327" s="3" t="s">
        <v>17</v>
      </c>
      <c r="E327" t="s">
        <v>118</v>
      </c>
      <c r="F327" s="5">
        <v>38.92</v>
      </c>
      <c r="G327" t="s">
        <v>46</v>
      </c>
      <c r="H327" s="5">
        <v>5415.61</v>
      </c>
    </row>
    <row r="328" spans="1:8" x14ac:dyDescent="0.25">
      <c r="A328" t="s">
        <v>33</v>
      </c>
      <c r="B328" t="s">
        <v>201</v>
      </c>
      <c r="C328" s="3">
        <v>43216</v>
      </c>
      <c r="D328" s="3" t="s">
        <v>207</v>
      </c>
      <c r="E328" t="s">
        <v>119</v>
      </c>
      <c r="F328" s="5">
        <v>24.38</v>
      </c>
      <c r="G328" t="s">
        <v>46</v>
      </c>
      <c r="H328" s="5">
        <v>5454.53</v>
      </c>
    </row>
    <row r="329" spans="1:8" x14ac:dyDescent="0.25">
      <c r="A329" t="s">
        <v>33</v>
      </c>
      <c r="B329" t="s">
        <v>201</v>
      </c>
      <c r="C329" s="3">
        <v>43215</v>
      </c>
      <c r="D329" s="3" t="s">
        <v>16</v>
      </c>
      <c r="E329" t="s">
        <v>120</v>
      </c>
      <c r="F329" s="5">
        <v>26.43</v>
      </c>
      <c r="G329" t="s">
        <v>46</v>
      </c>
      <c r="H329" s="5">
        <v>5478.91</v>
      </c>
    </row>
    <row r="330" spans="1:8" x14ac:dyDescent="0.25">
      <c r="A330" t="s">
        <v>33</v>
      </c>
      <c r="B330" t="s">
        <v>201</v>
      </c>
      <c r="C330" s="3">
        <v>43215</v>
      </c>
      <c r="D330" s="3" t="s">
        <v>20</v>
      </c>
      <c r="E330" t="s">
        <v>121</v>
      </c>
      <c r="F330" s="5">
        <v>24.66</v>
      </c>
      <c r="G330" t="s">
        <v>46</v>
      </c>
      <c r="H330" s="5">
        <v>5505.34</v>
      </c>
    </row>
    <row r="331" spans="1:8" x14ac:dyDescent="0.25">
      <c r="A331" t="s">
        <v>33</v>
      </c>
      <c r="B331" t="s">
        <v>201</v>
      </c>
      <c r="C331" s="3">
        <v>43214</v>
      </c>
      <c r="D331" s="3" t="s">
        <v>197</v>
      </c>
      <c r="E331" t="s">
        <v>122</v>
      </c>
      <c r="F331" s="5">
        <v>62.75</v>
      </c>
      <c r="G331" t="s">
        <v>58</v>
      </c>
      <c r="H331" s="5">
        <v>5530</v>
      </c>
    </row>
    <row r="332" spans="1:8" x14ac:dyDescent="0.25">
      <c r="A332" s="6" t="s">
        <v>49</v>
      </c>
      <c r="B332" s="6" t="s">
        <v>201</v>
      </c>
      <c r="C332" s="7">
        <v>43214</v>
      </c>
      <c r="D332" s="7" t="s">
        <v>20</v>
      </c>
      <c r="E332" s="6" t="s">
        <v>123</v>
      </c>
      <c r="F332" s="8">
        <v>-2.75</v>
      </c>
      <c r="G332" s="6" t="s">
        <v>105</v>
      </c>
      <c r="H332" s="8">
        <v>5592.75</v>
      </c>
    </row>
    <row r="333" spans="1:8" x14ac:dyDescent="0.25">
      <c r="A333" t="s">
        <v>33</v>
      </c>
      <c r="B333" t="s">
        <v>201</v>
      </c>
      <c r="C333" s="3">
        <v>43213</v>
      </c>
      <c r="D333" s="3" t="s">
        <v>197</v>
      </c>
      <c r="E333" t="s">
        <v>124</v>
      </c>
      <c r="F333" s="5">
        <v>60</v>
      </c>
      <c r="G333" t="s">
        <v>58</v>
      </c>
      <c r="H333" s="5">
        <v>5590</v>
      </c>
    </row>
    <row r="334" spans="1:8" x14ac:dyDescent="0.25">
      <c r="A334" t="s">
        <v>33</v>
      </c>
      <c r="B334" t="s">
        <v>201</v>
      </c>
      <c r="C334" s="3">
        <v>43213</v>
      </c>
      <c r="D334" s="3" t="s">
        <v>12</v>
      </c>
      <c r="E334" t="s">
        <v>125</v>
      </c>
      <c r="F334" s="5">
        <v>100</v>
      </c>
      <c r="G334" t="s">
        <v>58</v>
      </c>
      <c r="H334" s="5">
        <v>5650</v>
      </c>
    </row>
    <row r="335" spans="1:8" x14ac:dyDescent="0.25">
      <c r="A335" t="s">
        <v>33</v>
      </c>
      <c r="B335" t="s">
        <v>201</v>
      </c>
      <c r="C335" s="3">
        <v>43213</v>
      </c>
      <c r="D335" s="3" t="s">
        <v>12</v>
      </c>
      <c r="E335" t="s">
        <v>126</v>
      </c>
      <c r="F335" s="5">
        <v>100</v>
      </c>
      <c r="G335" t="s">
        <v>58</v>
      </c>
      <c r="H335" s="5">
        <v>5750</v>
      </c>
    </row>
    <row r="336" spans="1:8" x14ac:dyDescent="0.25">
      <c r="A336" s="6" t="s">
        <v>49</v>
      </c>
      <c r="B336" s="6" t="s">
        <v>201</v>
      </c>
      <c r="C336" s="7">
        <v>43213</v>
      </c>
      <c r="D336" s="7" t="s">
        <v>208</v>
      </c>
      <c r="E336" s="6" t="s">
        <v>127</v>
      </c>
      <c r="F336" s="8">
        <v>-4500</v>
      </c>
      <c r="G336" s="6" t="s">
        <v>128</v>
      </c>
      <c r="H336" s="8">
        <v>5850</v>
      </c>
    </row>
    <row r="337" spans="1:8" x14ac:dyDescent="0.25">
      <c r="A337" s="6" t="s">
        <v>49</v>
      </c>
      <c r="B337" s="6" t="s">
        <v>201</v>
      </c>
      <c r="C337" s="7">
        <v>43213</v>
      </c>
      <c r="D337" s="7" t="s">
        <v>209</v>
      </c>
      <c r="E337" s="6" t="s">
        <v>129</v>
      </c>
      <c r="F337" s="8">
        <v>-1350</v>
      </c>
      <c r="G337" s="6" t="s">
        <v>130</v>
      </c>
      <c r="H337" s="8">
        <v>1350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B8E7-9CC0-438F-A121-AA92E566EBD8}">
  <sheetPr>
    <tabColor theme="1" tint="0.499984740745262"/>
  </sheetPr>
  <dimension ref="A1:H155"/>
  <sheetViews>
    <sheetView zoomScale="90" zoomScaleNormal="90" workbookViewId="0">
      <pane ySplit="1" topLeftCell="A2" activePane="bottomLeft" state="frozen"/>
      <selection activeCell="E26" sqref="E26"/>
      <selection pane="bottomLeft" activeCell="E26" sqref="E26"/>
    </sheetView>
  </sheetViews>
  <sheetFormatPr defaultRowHeight="15" x14ac:dyDescent="0.25"/>
  <cols>
    <col min="2" max="2" width="12.140625" bestFit="1" customWidth="1"/>
    <col min="3" max="3" width="12.140625" customWidth="1"/>
    <col min="4" max="4" width="68.42578125" customWidth="1"/>
    <col min="5" max="5" width="8.7109375" bestFit="1" customWidth="1"/>
    <col min="6" max="6" width="16.5703125" bestFit="1" customWidth="1"/>
    <col min="7" max="7" width="9" bestFit="1" customWidth="1"/>
    <col min="8" max="8" width="13.85546875" bestFit="1" customWidth="1"/>
  </cols>
  <sheetData>
    <row r="1" spans="1:8" x14ac:dyDescent="0.25">
      <c r="A1" s="4" t="s">
        <v>26</v>
      </c>
      <c r="B1" s="4" t="s">
        <v>27</v>
      </c>
      <c r="C1" s="4" t="s">
        <v>30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</row>
    <row r="2" spans="1:8" x14ac:dyDescent="0.25">
      <c r="A2" t="s">
        <v>33</v>
      </c>
      <c r="B2" s="93">
        <v>43319</v>
      </c>
      <c r="C2" s="93"/>
      <c r="D2" t="s">
        <v>43</v>
      </c>
      <c r="E2">
        <v>-4.2300000000000004</v>
      </c>
      <c r="F2" t="s">
        <v>35</v>
      </c>
      <c r="G2">
        <v>8143.8400000000011</v>
      </c>
    </row>
    <row r="3" spans="1:8" x14ac:dyDescent="0.25">
      <c r="A3" t="s">
        <v>33</v>
      </c>
      <c r="B3" s="93">
        <v>43319</v>
      </c>
      <c r="C3" s="93"/>
      <c r="D3" t="s">
        <v>350</v>
      </c>
      <c r="E3">
        <v>-4.49</v>
      </c>
      <c r="F3" t="s">
        <v>35</v>
      </c>
      <c r="G3">
        <v>8148.0700000000006</v>
      </c>
    </row>
    <row r="4" spans="1:8" x14ac:dyDescent="0.25">
      <c r="A4" t="s">
        <v>33</v>
      </c>
      <c r="B4" s="93">
        <v>43319</v>
      </c>
      <c r="C4" s="94"/>
      <c r="D4" s="95" t="s">
        <v>359</v>
      </c>
      <c r="E4" s="96">
        <v>-172.8</v>
      </c>
      <c r="F4" t="s">
        <v>35</v>
      </c>
      <c r="G4">
        <v>8152.56</v>
      </c>
    </row>
    <row r="5" spans="1:8" x14ac:dyDescent="0.25">
      <c r="A5" t="s">
        <v>33</v>
      </c>
      <c r="B5" s="93">
        <v>43319</v>
      </c>
      <c r="C5" s="93"/>
      <c r="D5" t="s">
        <v>360</v>
      </c>
      <c r="E5">
        <v>-30</v>
      </c>
      <c r="F5" t="s">
        <v>35</v>
      </c>
      <c r="G5">
        <v>8325.36</v>
      </c>
    </row>
    <row r="6" spans="1:8" x14ac:dyDescent="0.25">
      <c r="A6" t="s">
        <v>33</v>
      </c>
      <c r="B6" s="93">
        <v>43319</v>
      </c>
      <c r="C6" s="94"/>
      <c r="D6" s="95" t="s">
        <v>361</v>
      </c>
      <c r="E6" s="97">
        <v>-27</v>
      </c>
      <c r="F6" t="s">
        <v>35</v>
      </c>
      <c r="G6">
        <v>8355.36</v>
      </c>
    </row>
    <row r="7" spans="1:8" x14ac:dyDescent="0.25">
      <c r="A7" t="s">
        <v>33</v>
      </c>
      <c r="B7" s="93">
        <v>43319</v>
      </c>
      <c r="C7" s="93"/>
      <c r="D7" t="s">
        <v>362</v>
      </c>
      <c r="E7">
        <v>-22.47</v>
      </c>
      <c r="F7" t="s">
        <v>35</v>
      </c>
      <c r="G7">
        <v>8382.36</v>
      </c>
    </row>
    <row r="8" spans="1:8" x14ac:dyDescent="0.25">
      <c r="A8" t="s">
        <v>33</v>
      </c>
      <c r="B8" s="93">
        <v>43319</v>
      </c>
      <c r="C8" s="93"/>
      <c r="D8" t="s">
        <v>363</v>
      </c>
      <c r="E8">
        <v>-14.72</v>
      </c>
      <c r="F8" t="s">
        <v>35</v>
      </c>
      <c r="G8">
        <v>8404.83</v>
      </c>
    </row>
    <row r="9" spans="1:8" x14ac:dyDescent="0.25">
      <c r="A9" t="s">
        <v>33</v>
      </c>
      <c r="B9" s="93">
        <v>43318</v>
      </c>
      <c r="C9" s="93"/>
      <c r="D9" t="s">
        <v>364</v>
      </c>
      <c r="E9">
        <v>-298</v>
      </c>
      <c r="F9" t="s">
        <v>107</v>
      </c>
      <c r="G9">
        <v>8419.5499999999993</v>
      </c>
    </row>
    <row r="10" spans="1:8" x14ac:dyDescent="0.25">
      <c r="A10" t="s">
        <v>33</v>
      </c>
      <c r="B10" s="93">
        <v>43318</v>
      </c>
      <c r="C10" s="93"/>
      <c r="D10" t="s">
        <v>365</v>
      </c>
      <c r="E10">
        <v>-4.2300000000000004</v>
      </c>
      <c r="F10" t="s">
        <v>46</v>
      </c>
      <c r="G10">
        <v>8717.5499999999993</v>
      </c>
    </row>
    <row r="11" spans="1:8" x14ac:dyDescent="0.25">
      <c r="A11" t="s">
        <v>33</v>
      </c>
      <c r="B11" s="93">
        <v>43318</v>
      </c>
      <c r="C11" s="93"/>
      <c r="D11" t="s">
        <v>366</v>
      </c>
      <c r="E11">
        <v>-26.9</v>
      </c>
      <c r="F11" t="s">
        <v>46</v>
      </c>
      <c r="G11">
        <v>8721.7800000000007</v>
      </c>
    </row>
    <row r="12" spans="1:8" x14ac:dyDescent="0.25">
      <c r="A12" t="s">
        <v>33</v>
      </c>
      <c r="B12" s="93">
        <v>43318</v>
      </c>
      <c r="C12" s="93"/>
      <c r="D12" t="s">
        <v>367</v>
      </c>
      <c r="E12">
        <v>-22.99</v>
      </c>
      <c r="F12" t="s">
        <v>46</v>
      </c>
      <c r="G12">
        <v>8748.68</v>
      </c>
    </row>
    <row r="13" spans="1:8" x14ac:dyDescent="0.25">
      <c r="A13" t="s">
        <v>33</v>
      </c>
      <c r="B13" s="93">
        <v>43318</v>
      </c>
      <c r="C13" s="93"/>
      <c r="D13" t="s">
        <v>368</v>
      </c>
      <c r="E13">
        <v>-80.5</v>
      </c>
      <c r="F13" t="s">
        <v>46</v>
      </c>
      <c r="G13">
        <v>8771.67</v>
      </c>
    </row>
    <row r="14" spans="1:8" x14ac:dyDescent="0.25">
      <c r="A14" t="s">
        <v>33</v>
      </c>
      <c r="B14" s="93">
        <v>43318</v>
      </c>
      <c r="C14" s="93"/>
      <c r="D14" t="s">
        <v>369</v>
      </c>
      <c r="E14">
        <v>-7.96</v>
      </c>
      <c r="F14" t="s">
        <v>46</v>
      </c>
      <c r="G14">
        <v>8852.17</v>
      </c>
    </row>
    <row r="15" spans="1:8" x14ac:dyDescent="0.25">
      <c r="A15" t="s">
        <v>33</v>
      </c>
      <c r="B15" s="93">
        <v>43318</v>
      </c>
      <c r="C15" s="93"/>
      <c r="D15" t="s">
        <v>370</v>
      </c>
      <c r="E15">
        <v>-200</v>
      </c>
      <c r="F15" t="s">
        <v>58</v>
      </c>
      <c r="G15">
        <v>8860.1299999999992</v>
      </c>
    </row>
    <row r="16" spans="1:8" x14ac:dyDescent="0.25">
      <c r="A16" t="s">
        <v>33</v>
      </c>
      <c r="B16" s="93">
        <v>43318</v>
      </c>
      <c r="C16" s="93"/>
      <c r="D16" t="s">
        <v>371</v>
      </c>
      <c r="E16">
        <v>-12.81</v>
      </c>
      <c r="F16" t="s">
        <v>46</v>
      </c>
      <c r="G16">
        <v>9060.1299999999992</v>
      </c>
    </row>
    <row r="17" spans="1:7" x14ac:dyDescent="0.25">
      <c r="A17" t="s">
        <v>33</v>
      </c>
      <c r="B17" s="93">
        <v>43318</v>
      </c>
      <c r="C17" s="93"/>
      <c r="D17" t="s">
        <v>372</v>
      </c>
      <c r="E17">
        <v>-25.67</v>
      </c>
      <c r="F17" t="s">
        <v>46</v>
      </c>
      <c r="G17">
        <v>9072.94</v>
      </c>
    </row>
    <row r="18" spans="1:7" x14ac:dyDescent="0.25">
      <c r="A18" t="s">
        <v>33</v>
      </c>
      <c r="B18" s="93">
        <v>43318</v>
      </c>
      <c r="C18" s="94"/>
      <c r="D18" s="95" t="s">
        <v>373</v>
      </c>
      <c r="E18" s="95">
        <v>-519.17999999999995</v>
      </c>
      <c r="F18" t="s">
        <v>46</v>
      </c>
      <c r="G18">
        <v>9098.61</v>
      </c>
    </row>
    <row r="19" spans="1:7" x14ac:dyDescent="0.25">
      <c r="A19" t="s">
        <v>93</v>
      </c>
      <c r="B19" s="93">
        <v>43318</v>
      </c>
      <c r="C19" s="93"/>
      <c r="D19" t="s">
        <v>374</v>
      </c>
      <c r="E19">
        <v>850</v>
      </c>
      <c r="F19" t="s">
        <v>95</v>
      </c>
      <c r="G19">
        <v>9617.7900000000009</v>
      </c>
    </row>
    <row r="20" spans="1:7" x14ac:dyDescent="0.25">
      <c r="A20" t="s">
        <v>33</v>
      </c>
      <c r="B20" s="93">
        <v>43315</v>
      </c>
      <c r="C20" s="93"/>
      <c r="D20" t="s">
        <v>375</v>
      </c>
      <c r="E20">
        <v>-5.19</v>
      </c>
      <c r="F20" t="s">
        <v>46</v>
      </c>
      <c r="G20">
        <v>8767.7900000000009</v>
      </c>
    </row>
    <row r="21" spans="1:7" x14ac:dyDescent="0.25">
      <c r="A21" t="s">
        <v>33</v>
      </c>
      <c r="B21" s="93">
        <v>43315</v>
      </c>
      <c r="C21" s="93"/>
      <c r="D21" t="s">
        <v>376</v>
      </c>
      <c r="E21">
        <v>-31.95</v>
      </c>
      <c r="F21" t="s">
        <v>46</v>
      </c>
      <c r="G21">
        <v>8772.98</v>
      </c>
    </row>
    <row r="22" spans="1:7" x14ac:dyDescent="0.25">
      <c r="A22" t="s">
        <v>33</v>
      </c>
      <c r="B22" s="93">
        <v>43314</v>
      </c>
      <c r="C22" s="93"/>
      <c r="D22" t="s">
        <v>377</v>
      </c>
      <c r="E22">
        <v>-828.15</v>
      </c>
      <c r="F22" t="s">
        <v>107</v>
      </c>
      <c r="G22">
        <v>8804.93</v>
      </c>
    </row>
    <row r="23" spans="1:7" x14ac:dyDescent="0.25">
      <c r="A23" t="s">
        <v>33</v>
      </c>
      <c r="B23" s="93">
        <v>43314</v>
      </c>
      <c r="C23" s="93"/>
      <c r="D23" t="s">
        <v>378</v>
      </c>
      <c r="E23">
        <v>-11.95</v>
      </c>
      <c r="F23" t="s">
        <v>46</v>
      </c>
      <c r="G23">
        <v>9633.08</v>
      </c>
    </row>
    <row r="24" spans="1:7" x14ac:dyDescent="0.25">
      <c r="A24" t="s">
        <v>33</v>
      </c>
      <c r="B24" s="93">
        <v>43314</v>
      </c>
      <c r="C24" s="93"/>
      <c r="D24" t="s">
        <v>379</v>
      </c>
      <c r="E24">
        <v>-10.8</v>
      </c>
      <c r="F24" t="s">
        <v>46</v>
      </c>
      <c r="G24">
        <v>9645.0300000000007</v>
      </c>
    </row>
    <row r="25" spans="1:7" x14ac:dyDescent="0.25">
      <c r="A25" t="s">
        <v>33</v>
      </c>
      <c r="B25" s="93">
        <v>43313</v>
      </c>
      <c r="C25" s="93"/>
      <c r="D25" t="s">
        <v>380</v>
      </c>
      <c r="E25">
        <v>-40.08</v>
      </c>
      <c r="F25" t="s">
        <v>46</v>
      </c>
      <c r="G25">
        <v>9655.83</v>
      </c>
    </row>
    <row r="26" spans="1:7" x14ac:dyDescent="0.25">
      <c r="A26" t="s">
        <v>33</v>
      </c>
      <c r="B26" s="93">
        <v>43313</v>
      </c>
      <c r="C26" s="93"/>
      <c r="D26" t="s">
        <v>381</v>
      </c>
      <c r="E26">
        <v>-16.3</v>
      </c>
      <c r="F26" t="s">
        <v>46</v>
      </c>
      <c r="G26">
        <v>9695.91</v>
      </c>
    </row>
    <row r="27" spans="1:7" x14ac:dyDescent="0.25">
      <c r="A27" t="s">
        <v>33</v>
      </c>
      <c r="B27" s="93">
        <v>43313</v>
      </c>
      <c r="C27" s="93"/>
      <c r="D27" t="s">
        <v>382</v>
      </c>
      <c r="E27">
        <v>-14.84</v>
      </c>
      <c r="F27" t="s">
        <v>46</v>
      </c>
      <c r="G27">
        <v>9712.2099999999991</v>
      </c>
    </row>
    <row r="28" spans="1:7" x14ac:dyDescent="0.25">
      <c r="A28" t="s">
        <v>49</v>
      </c>
      <c r="B28" s="93">
        <v>43312</v>
      </c>
      <c r="C28" s="93"/>
      <c r="D28" t="s">
        <v>104</v>
      </c>
      <c r="E28">
        <v>0.09</v>
      </c>
      <c r="F28" t="s">
        <v>105</v>
      </c>
      <c r="G28">
        <v>9727.0499999999993</v>
      </c>
    </row>
    <row r="29" spans="1:7" x14ac:dyDescent="0.25">
      <c r="A29" t="s">
        <v>33</v>
      </c>
      <c r="B29" s="93">
        <v>43312</v>
      </c>
      <c r="C29" s="93"/>
      <c r="D29" t="s">
        <v>383</v>
      </c>
      <c r="E29">
        <v>-116.57</v>
      </c>
      <c r="F29" t="s">
        <v>46</v>
      </c>
      <c r="G29">
        <v>9726.9599999999991</v>
      </c>
    </row>
    <row r="30" spans="1:7" x14ac:dyDescent="0.25">
      <c r="A30" t="s">
        <v>33</v>
      </c>
      <c r="B30" s="93">
        <v>43312</v>
      </c>
      <c r="C30" s="93"/>
      <c r="D30" t="s">
        <v>384</v>
      </c>
      <c r="E30">
        <v>-11.08</v>
      </c>
      <c r="F30" t="s">
        <v>46</v>
      </c>
      <c r="G30">
        <v>9843.5300000000007</v>
      </c>
    </row>
    <row r="31" spans="1:7" x14ac:dyDescent="0.25">
      <c r="A31" t="s">
        <v>33</v>
      </c>
      <c r="B31" s="93">
        <v>43312</v>
      </c>
      <c r="C31" s="93"/>
      <c r="D31" t="s">
        <v>385</v>
      </c>
      <c r="E31">
        <v>-33.619999999999997</v>
      </c>
      <c r="F31" t="s">
        <v>46</v>
      </c>
      <c r="G31">
        <v>9854.61</v>
      </c>
    </row>
    <row r="32" spans="1:7" x14ac:dyDescent="0.25">
      <c r="A32" t="s">
        <v>33</v>
      </c>
      <c r="B32" s="93">
        <v>43311</v>
      </c>
      <c r="C32" s="93"/>
      <c r="D32" t="s">
        <v>106</v>
      </c>
      <c r="E32">
        <v>-437.54</v>
      </c>
      <c r="F32" t="s">
        <v>107</v>
      </c>
      <c r="G32">
        <v>9888.23</v>
      </c>
    </row>
    <row r="33" spans="1:7" x14ac:dyDescent="0.25">
      <c r="A33" t="s">
        <v>33</v>
      </c>
      <c r="B33" s="93">
        <v>43311</v>
      </c>
      <c r="C33" s="93"/>
      <c r="D33" t="s">
        <v>386</v>
      </c>
      <c r="E33">
        <v>-20.72</v>
      </c>
      <c r="F33" t="s">
        <v>46</v>
      </c>
      <c r="G33">
        <v>10325.77</v>
      </c>
    </row>
    <row r="34" spans="1:7" x14ac:dyDescent="0.25">
      <c r="A34" t="s">
        <v>33</v>
      </c>
      <c r="B34" s="93">
        <v>43311</v>
      </c>
      <c r="C34" s="93"/>
      <c r="D34" t="s">
        <v>387</v>
      </c>
      <c r="E34">
        <v>-1100</v>
      </c>
      <c r="F34" t="s">
        <v>35</v>
      </c>
      <c r="G34">
        <v>10346.49</v>
      </c>
    </row>
    <row r="35" spans="1:7" x14ac:dyDescent="0.25">
      <c r="A35" t="s">
        <v>33</v>
      </c>
      <c r="B35" s="93">
        <v>43311</v>
      </c>
      <c r="C35" s="93"/>
      <c r="D35" t="s">
        <v>388</v>
      </c>
      <c r="E35">
        <v>-14.96</v>
      </c>
      <c r="F35" t="s">
        <v>46</v>
      </c>
      <c r="G35">
        <v>11446.49</v>
      </c>
    </row>
    <row r="36" spans="1:7" x14ac:dyDescent="0.25">
      <c r="A36" t="s">
        <v>33</v>
      </c>
      <c r="B36" s="93">
        <v>43311</v>
      </c>
      <c r="C36" s="93"/>
      <c r="D36" t="s">
        <v>389</v>
      </c>
      <c r="E36">
        <v>-5.34</v>
      </c>
      <c r="F36" t="s">
        <v>46</v>
      </c>
      <c r="G36">
        <v>11461.45</v>
      </c>
    </row>
    <row r="37" spans="1:7" x14ac:dyDescent="0.25">
      <c r="A37" t="s">
        <v>33</v>
      </c>
      <c r="B37" s="93">
        <v>43311</v>
      </c>
      <c r="C37" s="93"/>
      <c r="D37" t="s">
        <v>390</v>
      </c>
      <c r="E37">
        <v>-31.8</v>
      </c>
      <c r="F37" t="s">
        <v>46</v>
      </c>
      <c r="G37">
        <v>11466.79</v>
      </c>
    </row>
    <row r="38" spans="1:7" x14ac:dyDescent="0.25">
      <c r="A38" t="s">
        <v>33</v>
      </c>
      <c r="B38" s="93">
        <v>43311</v>
      </c>
      <c r="C38" s="93"/>
      <c r="D38" t="s">
        <v>391</v>
      </c>
      <c r="E38">
        <v>-211.92</v>
      </c>
      <c r="F38" t="s">
        <v>46</v>
      </c>
      <c r="G38">
        <v>11498.59</v>
      </c>
    </row>
    <row r="39" spans="1:7" x14ac:dyDescent="0.25">
      <c r="A39" t="s">
        <v>33</v>
      </c>
      <c r="B39" s="93">
        <v>43311</v>
      </c>
      <c r="C39" s="93"/>
      <c r="D39" t="s">
        <v>392</v>
      </c>
      <c r="E39">
        <v>-253.34</v>
      </c>
      <c r="F39" t="s">
        <v>46</v>
      </c>
      <c r="G39">
        <v>11710.51</v>
      </c>
    </row>
    <row r="40" spans="1:7" x14ac:dyDescent="0.25">
      <c r="A40" t="s">
        <v>33</v>
      </c>
      <c r="B40" s="93">
        <v>43311</v>
      </c>
      <c r="C40" s="93"/>
      <c r="D40" t="s">
        <v>393</v>
      </c>
      <c r="E40">
        <v>-13.9</v>
      </c>
      <c r="F40" t="s">
        <v>46</v>
      </c>
      <c r="G40">
        <v>11963.85</v>
      </c>
    </row>
    <row r="41" spans="1:7" x14ac:dyDescent="0.25">
      <c r="A41" t="s">
        <v>33</v>
      </c>
      <c r="B41" s="93">
        <v>43311</v>
      </c>
      <c r="C41" s="93"/>
      <c r="D41" t="s">
        <v>394</v>
      </c>
      <c r="E41">
        <v>-4.2300000000000004</v>
      </c>
      <c r="F41" t="s">
        <v>46</v>
      </c>
      <c r="G41">
        <v>11977.75</v>
      </c>
    </row>
    <row r="42" spans="1:7" x14ac:dyDescent="0.25">
      <c r="A42" t="s">
        <v>33</v>
      </c>
      <c r="B42" s="93">
        <v>43311</v>
      </c>
      <c r="C42" s="93"/>
      <c r="D42" t="s">
        <v>395</v>
      </c>
      <c r="E42">
        <v>-7.96</v>
      </c>
      <c r="F42" t="s">
        <v>46</v>
      </c>
      <c r="G42">
        <v>11981.98</v>
      </c>
    </row>
    <row r="43" spans="1:7" x14ac:dyDescent="0.25">
      <c r="A43" t="s">
        <v>33</v>
      </c>
      <c r="B43" s="93">
        <v>43311</v>
      </c>
      <c r="C43" s="93"/>
      <c r="D43" t="s">
        <v>396</v>
      </c>
      <c r="E43">
        <v>-35.090000000000003</v>
      </c>
      <c r="F43" t="s">
        <v>46</v>
      </c>
      <c r="G43">
        <v>11989.94</v>
      </c>
    </row>
    <row r="44" spans="1:7" x14ac:dyDescent="0.25">
      <c r="A44" t="s">
        <v>33</v>
      </c>
      <c r="B44" s="93">
        <v>43311</v>
      </c>
      <c r="C44" s="93"/>
      <c r="D44" t="s">
        <v>397</v>
      </c>
      <c r="E44">
        <v>-120</v>
      </c>
      <c r="F44" t="s">
        <v>58</v>
      </c>
      <c r="G44">
        <v>12025.03</v>
      </c>
    </row>
    <row r="45" spans="1:7" x14ac:dyDescent="0.25">
      <c r="A45" t="s">
        <v>33</v>
      </c>
      <c r="B45" s="93">
        <v>43311</v>
      </c>
      <c r="C45" s="93"/>
      <c r="D45" t="s">
        <v>398</v>
      </c>
      <c r="E45">
        <v>-34.22</v>
      </c>
      <c r="F45" t="s">
        <v>46</v>
      </c>
      <c r="G45">
        <v>12145.03</v>
      </c>
    </row>
    <row r="46" spans="1:7" x14ac:dyDescent="0.25">
      <c r="A46" t="s">
        <v>33</v>
      </c>
      <c r="B46" s="93">
        <v>43311</v>
      </c>
      <c r="C46" s="93"/>
      <c r="D46" t="s">
        <v>399</v>
      </c>
      <c r="E46">
        <v>-4.2300000000000004</v>
      </c>
      <c r="F46" t="s">
        <v>46</v>
      </c>
      <c r="G46">
        <v>12179.25</v>
      </c>
    </row>
    <row r="47" spans="1:7" x14ac:dyDescent="0.25">
      <c r="A47" t="s">
        <v>33</v>
      </c>
      <c r="B47" s="93">
        <v>43311</v>
      </c>
      <c r="C47" s="93"/>
      <c r="D47" t="s">
        <v>400</v>
      </c>
      <c r="E47">
        <v>-9.6199999999999992</v>
      </c>
      <c r="F47" t="s">
        <v>46</v>
      </c>
      <c r="G47">
        <v>12183.48</v>
      </c>
    </row>
    <row r="48" spans="1:7" x14ac:dyDescent="0.25">
      <c r="A48" t="s">
        <v>93</v>
      </c>
      <c r="B48" s="93">
        <v>43311</v>
      </c>
      <c r="C48" s="93"/>
      <c r="D48" t="s">
        <v>401</v>
      </c>
      <c r="E48">
        <v>400</v>
      </c>
      <c r="F48" t="s">
        <v>95</v>
      </c>
      <c r="G48">
        <v>12193.1</v>
      </c>
    </row>
    <row r="49" spans="1:7" x14ac:dyDescent="0.25">
      <c r="A49" t="s">
        <v>33</v>
      </c>
      <c r="B49" s="93">
        <v>43308</v>
      </c>
      <c r="C49" s="93"/>
      <c r="D49" t="s">
        <v>402</v>
      </c>
      <c r="E49">
        <v>-30.3</v>
      </c>
      <c r="F49" t="s">
        <v>46</v>
      </c>
      <c r="G49">
        <v>11793.1</v>
      </c>
    </row>
    <row r="50" spans="1:7" x14ac:dyDescent="0.25">
      <c r="A50" t="s">
        <v>33</v>
      </c>
      <c r="B50" s="93">
        <v>43308</v>
      </c>
      <c r="C50" s="93"/>
      <c r="D50" t="s">
        <v>403</v>
      </c>
      <c r="E50">
        <v>-30.99</v>
      </c>
      <c r="F50" t="s">
        <v>46</v>
      </c>
      <c r="G50">
        <v>11823.4</v>
      </c>
    </row>
    <row r="51" spans="1:7" x14ac:dyDescent="0.25">
      <c r="A51" t="s">
        <v>33</v>
      </c>
      <c r="B51" s="93">
        <v>43308</v>
      </c>
      <c r="C51" s="93"/>
      <c r="D51" t="s">
        <v>404</v>
      </c>
      <c r="E51">
        <v>-95.35</v>
      </c>
      <c r="F51" t="s">
        <v>46</v>
      </c>
      <c r="G51">
        <v>11854.39</v>
      </c>
    </row>
    <row r="52" spans="1:7" x14ac:dyDescent="0.25">
      <c r="A52" t="s">
        <v>49</v>
      </c>
      <c r="B52" s="93">
        <v>43308</v>
      </c>
      <c r="C52" s="93"/>
      <c r="D52" t="s">
        <v>50</v>
      </c>
      <c r="E52">
        <v>63.31</v>
      </c>
      <c r="F52" t="s">
        <v>51</v>
      </c>
      <c r="G52">
        <v>11949.74</v>
      </c>
    </row>
    <row r="53" spans="1:7" x14ac:dyDescent="0.25">
      <c r="A53" t="s">
        <v>49</v>
      </c>
      <c r="B53" s="93">
        <v>43308</v>
      </c>
      <c r="C53" s="93"/>
      <c r="D53" t="s">
        <v>50</v>
      </c>
      <c r="E53">
        <v>3455.28</v>
      </c>
      <c r="F53" t="s">
        <v>51</v>
      </c>
      <c r="G53">
        <v>11886.43</v>
      </c>
    </row>
    <row r="54" spans="1:7" x14ac:dyDescent="0.25">
      <c r="A54" t="s">
        <v>33</v>
      </c>
      <c r="B54" s="93">
        <v>43307</v>
      </c>
      <c r="C54" s="93"/>
      <c r="D54" t="s">
        <v>405</v>
      </c>
      <c r="E54">
        <v>-6</v>
      </c>
      <c r="F54" t="s">
        <v>46</v>
      </c>
      <c r="G54">
        <v>8431.15</v>
      </c>
    </row>
    <row r="55" spans="1:7" x14ac:dyDescent="0.25">
      <c r="A55" t="s">
        <v>33</v>
      </c>
      <c r="B55" s="93">
        <v>43306</v>
      </c>
      <c r="C55" s="93"/>
      <c r="D55" t="s">
        <v>406</v>
      </c>
      <c r="E55">
        <v>-4.49</v>
      </c>
      <c r="F55" t="s">
        <v>46</v>
      </c>
      <c r="G55">
        <v>8437.15</v>
      </c>
    </row>
    <row r="56" spans="1:7" x14ac:dyDescent="0.25">
      <c r="A56" t="s">
        <v>33</v>
      </c>
      <c r="B56" s="93">
        <v>43306</v>
      </c>
      <c r="C56" s="93"/>
      <c r="D56" t="s">
        <v>407</v>
      </c>
      <c r="E56">
        <v>-3.17</v>
      </c>
      <c r="F56" t="s">
        <v>46</v>
      </c>
      <c r="G56">
        <v>8441.64</v>
      </c>
    </row>
    <row r="57" spans="1:7" x14ac:dyDescent="0.25">
      <c r="A57" t="s">
        <v>33</v>
      </c>
      <c r="B57" s="93">
        <v>43306</v>
      </c>
      <c r="C57" s="93"/>
      <c r="D57" t="s">
        <v>408</v>
      </c>
      <c r="E57">
        <v>-9.3000000000000007</v>
      </c>
      <c r="F57" t="s">
        <v>46</v>
      </c>
      <c r="G57">
        <v>8444.81</v>
      </c>
    </row>
    <row r="58" spans="1:7" x14ac:dyDescent="0.25">
      <c r="A58" t="s">
        <v>33</v>
      </c>
      <c r="B58" s="93">
        <v>43306</v>
      </c>
      <c r="C58" s="93"/>
      <c r="D58" t="s">
        <v>408</v>
      </c>
      <c r="E58">
        <v>-17.309999999999999</v>
      </c>
      <c r="F58" t="s">
        <v>46</v>
      </c>
      <c r="G58">
        <v>8454.11</v>
      </c>
    </row>
    <row r="59" spans="1:7" x14ac:dyDescent="0.25">
      <c r="A59" t="s">
        <v>33</v>
      </c>
      <c r="B59" s="93">
        <v>43306</v>
      </c>
      <c r="C59" s="93"/>
      <c r="D59" t="s">
        <v>409</v>
      </c>
      <c r="E59">
        <v>-13.52</v>
      </c>
      <c r="F59" t="s">
        <v>46</v>
      </c>
      <c r="G59">
        <v>8471.42</v>
      </c>
    </row>
    <row r="60" spans="1:7" x14ac:dyDescent="0.25">
      <c r="A60" t="s">
        <v>33</v>
      </c>
      <c r="B60" s="93">
        <v>43306</v>
      </c>
      <c r="C60" s="93"/>
      <c r="D60" t="s">
        <v>410</v>
      </c>
      <c r="E60">
        <v>-13.31</v>
      </c>
      <c r="F60" t="s">
        <v>46</v>
      </c>
      <c r="G60">
        <v>8484.94</v>
      </c>
    </row>
    <row r="61" spans="1:7" x14ac:dyDescent="0.25">
      <c r="A61" t="s">
        <v>33</v>
      </c>
      <c r="B61" s="93">
        <v>43305</v>
      </c>
      <c r="C61" s="93"/>
      <c r="D61" t="s">
        <v>411</v>
      </c>
      <c r="E61">
        <v>-35</v>
      </c>
      <c r="F61" t="s">
        <v>46</v>
      </c>
      <c r="G61">
        <v>8498.25</v>
      </c>
    </row>
    <row r="62" spans="1:7" x14ac:dyDescent="0.25">
      <c r="A62" t="s">
        <v>33</v>
      </c>
      <c r="B62" s="93">
        <v>43305</v>
      </c>
      <c r="C62" s="93"/>
      <c r="D62" t="s">
        <v>412</v>
      </c>
      <c r="E62">
        <v>-74.069999999999993</v>
      </c>
      <c r="F62" t="s">
        <v>46</v>
      </c>
      <c r="G62">
        <v>8533.25</v>
      </c>
    </row>
    <row r="63" spans="1:7" x14ac:dyDescent="0.25">
      <c r="A63" t="s">
        <v>33</v>
      </c>
      <c r="B63" s="93">
        <v>43305</v>
      </c>
      <c r="C63" s="93"/>
      <c r="D63" t="s">
        <v>413</v>
      </c>
      <c r="E63">
        <v>-37.92</v>
      </c>
      <c r="F63" t="s">
        <v>46</v>
      </c>
      <c r="G63">
        <v>8607.32</v>
      </c>
    </row>
    <row r="64" spans="1:7" x14ac:dyDescent="0.25">
      <c r="A64" t="s">
        <v>33</v>
      </c>
      <c r="B64" s="93">
        <v>43305</v>
      </c>
      <c r="C64" s="93"/>
      <c r="D64" t="s">
        <v>414</v>
      </c>
      <c r="E64">
        <v>-1300</v>
      </c>
      <c r="F64" t="s">
        <v>415</v>
      </c>
      <c r="G64">
        <v>8645.24</v>
      </c>
    </row>
    <row r="65" spans="1:7" x14ac:dyDescent="0.25">
      <c r="A65" t="s">
        <v>33</v>
      </c>
      <c r="B65" s="93">
        <v>43304</v>
      </c>
      <c r="C65" s="93"/>
      <c r="D65" t="s">
        <v>416</v>
      </c>
      <c r="E65">
        <v>-57.15</v>
      </c>
      <c r="F65" t="s">
        <v>46</v>
      </c>
      <c r="G65">
        <v>9945.24</v>
      </c>
    </row>
    <row r="66" spans="1:7" x14ac:dyDescent="0.25">
      <c r="A66" t="s">
        <v>33</v>
      </c>
      <c r="B66" s="93">
        <v>43304</v>
      </c>
      <c r="C66" s="93"/>
      <c r="D66" t="s">
        <v>417</v>
      </c>
      <c r="E66">
        <v>-4.9800000000000004</v>
      </c>
      <c r="F66" t="s">
        <v>46</v>
      </c>
      <c r="G66">
        <v>10002.39</v>
      </c>
    </row>
    <row r="67" spans="1:7" x14ac:dyDescent="0.25">
      <c r="A67" t="s">
        <v>33</v>
      </c>
      <c r="B67" s="93">
        <v>43304</v>
      </c>
      <c r="C67" s="93"/>
      <c r="D67" t="s">
        <v>418</v>
      </c>
      <c r="E67">
        <v>-55.58</v>
      </c>
      <c r="F67" t="s">
        <v>46</v>
      </c>
      <c r="G67">
        <v>10007.370000000001</v>
      </c>
    </row>
    <row r="68" spans="1:7" x14ac:dyDescent="0.25">
      <c r="A68" t="s">
        <v>33</v>
      </c>
      <c r="B68" s="93">
        <v>43304</v>
      </c>
      <c r="C68" s="93"/>
      <c r="D68" t="s">
        <v>419</v>
      </c>
      <c r="E68">
        <v>-87.79</v>
      </c>
      <c r="F68" t="s">
        <v>46</v>
      </c>
      <c r="G68">
        <v>10062.950000000001</v>
      </c>
    </row>
    <row r="69" spans="1:7" x14ac:dyDescent="0.25">
      <c r="A69" t="s">
        <v>33</v>
      </c>
      <c r="B69" s="93">
        <v>43304</v>
      </c>
      <c r="C69" s="93"/>
      <c r="D69" t="s">
        <v>420</v>
      </c>
      <c r="E69">
        <v>-7.42</v>
      </c>
      <c r="F69" t="s">
        <v>46</v>
      </c>
      <c r="G69">
        <v>10150.74</v>
      </c>
    </row>
    <row r="70" spans="1:7" x14ac:dyDescent="0.25">
      <c r="A70" t="s">
        <v>33</v>
      </c>
      <c r="B70" s="93">
        <v>43304</v>
      </c>
      <c r="C70" s="93"/>
      <c r="D70" t="s">
        <v>421</v>
      </c>
      <c r="E70">
        <v>-1020.75</v>
      </c>
      <c r="F70" t="s">
        <v>46</v>
      </c>
      <c r="G70">
        <v>10158.16</v>
      </c>
    </row>
    <row r="71" spans="1:7" x14ac:dyDescent="0.25">
      <c r="A71" t="s">
        <v>33</v>
      </c>
      <c r="B71" s="93">
        <v>43304</v>
      </c>
      <c r="C71" s="93"/>
      <c r="D71" t="s">
        <v>422</v>
      </c>
      <c r="E71">
        <v>-2.23</v>
      </c>
      <c r="F71" t="s">
        <v>46</v>
      </c>
      <c r="G71">
        <v>11178.91</v>
      </c>
    </row>
    <row r="72" spans="1:7" x14ac:dyDescent="0.25">
      <c r="A72" t="s">
        <v>33</v>
      </c>
      <c r="B72" s="93">
        <v>43304</v>
      </c>
      <c r="C72" s="93"/>
      <c r="D72" t="s">
        <v>423</v>
      </c>
      <c r="E72">
        <v>-3.75</v>
      </c>
      <c r="F72" t="s">
        <v>46</v>
      </c>
      <c r="G72">
        <v>11181.14</v>
      </c>
    </row>
    <row r="73" spans="1:7" x14ac:dyDescent="0.25">
      <c r="A73" t="s">
        <v>33</v>
      </c>
      <c r="B73" s="93">
        <v>43304</v>
      </c>
      <c r="C73" s="93"/>
      <c r="D73" t="s">
        <v>424</v>
      </c>
      <c r="E73">
        <v>-4.2300000000000004</v>
      </c>
      <c r="F73" t="s">
        <v>46</v>
      </c>
      <c r="G73">
        <v>11184.89</v>
      </c>
    </row>
    <row r="74" spans="1:7" x14ac:dyDescent="0.25">
      <c r="A74" t="s">
        <v>33</v>
      </c>
      <c r="B74" s="93">
        <v>43304</v>
      </c>
      <c r="C74" s="93"/>
      <c r="D74" t="s">
        <v>425</v>
      </c>
      <c r="E74">
        <v>-33.729999999999997</v>
      </c>
      <c r="F74" t="s">
        <v>46</v>
      </c>
      <c r="G74">
        <v>11189.12</v>
      </c>
    </row>
    <row r="75" spans="1:7" x14ac:dyDescent="0.25">
      <c r="A75" t="s">
        <v>33</v>
      </c>
      <c r="B75" s="93">
        <v>43304</v>
      </c>
      <c r="C75" s="93"/>
      <c r="D75" t="s">
        <v>426</v>
      </c>
      <c r="E75">
        <v>-5</v>
      </c>
      <c r="F75" t="s">
        <v>46</v>
      </c>
      <c r="G75">
        <v>11222.85</v>
      </c>
    </row>
    <row r="76" spans="1:7" x14ac:dyDescent="0.25">
      <c r="A76" t="s">
        <v>33</v>
      </c>
      <c r="B76" s="93">
        <v>43304</v>
      </c>
      <c r="C76" s="93"/>
      <c r="D76" t="s">
        <v>427</v>
      </c>
      <c r="E76">
        <v>11.37</v>
      </c>
      <c r="F76" t="s">
        <v>46</v>
      </c>
      <c r="G76">
        <v>11227.85</v>
      </c>
    </row>
    <row r="77" spans="1:7" x14ac:dyDescent="0.25">
      <c r="A77" t="s">
        <v>33</v>
      </c>
      <c r="B77" s="93">
        <v>43301</v>
      </c>
      <c r="C77" s="93"/>
      <c r="D77" t="s">
        <v>428</v>
      </c>
      <c r="E77">
        <v>-40</v>
      </c>
      <c r="F77" t="s">
        <v>46</v>
      </c>
      <c r="G77">
        <v>11216.48</v>
      </c>
    </row>
    <row r="78" spans="1:7" x14ac:dyDescent="0.25">
      <c r="A78" t="s">
        <v>33</v>
      </c>
      <c r="B78" s="93">
        <v>43301</v>
      </c>
      <c r="C78" s="93"/>
      <c r="D78" t="s">
        <v>429</v>
      </c>
      <c r="E78">
        <v>-29.6</v>
      </c>
      <c r="F78" t="s">
        <v>46</v>
      </c>
      <c r="G78">
        <v>11256.48</v>
      </c>
    </row>
    <row r="79" spans="1:7" x14ac:dyDescent="0.25">
      <c r="A79" t="s">
        <v>49</v>
      </c>
      <c r="B79" s="93">
        <v>43301</v>
      </c>
      <c r="C79" s="93"/>
      <c r="D79" t="s">
        <v>430</v>
      </c>
      <c r="E79">
        <v>1300</v>
      </c>
      <c r="F79" t="s">
        <v>130</v>
      </c>
      <c r="G79">
        <v>11286.08</v>
      </c>
    </row>
    <row r="80" spans="1:7" x14ac:dyDescent="0.25">
      <c r="A80" t="s">
        <v>33</v>
      </c>
      <c r="B80" s="93">
        <v>43300</v>
      </c>
      <c r="C80" s="93"/>
      <c r="D80" t="s">
        <v>431</v>
      </c>
      <c r="E80">
        <v>-5.23</v>
      </c>
      <c r="F80" t="s">
        <v>46</v>
      </c>
      <c r="G80">
        <v>9986.08</v>
      </c>
    </row>
    <row r="81" spans="1:8" x14ac:dyDescent="0.25">
      <c r="A81" t="s">
        <v>432</v>
      </c>
      <c r="B81" s="93">
        <v>43299</v>
      </c>
      <c r="C81" s="93"/>
      <c r="D81" t="s">
        <v>433</v>
      </c>
      <c r="E81">
        <v>-30</v>
      </c>
      <c r="F81" t="s">
        <v>434</v>
      </c>
      <c r="G81">
        <v>9991.31</v>
      </c>
      <c r="H81">
        <v>4102</v>
      </c>
    </row>
    <row r="82" spans="1:8" x14ac:dyDescent="0.25">
      <c r="A82" t="s">
        <v>33</v>
      </c>
      <c r="B82" s="93">
        <v>43299</v>
      </c>
      <c r="C82" s="93"/>
      <c r="D82" t="s">
        <v>435</v>
      </c>
      <c r="E82">
        <v>-10.3</v>
      </c>
      <c r="F82" t="s">
        <v>46</v>
      </c>
      <c r="G82">
        <v>10021.31</v>
      </c>
    </row>
    <row r="83" spans="1:8" x14ac:dyDescent="0.25">
      <c r="A83" t="s">
        <v>33</v>
      </c>
      <c r="B83" s="93">
        <v>43299</v>
      </c>
      <c r="C83" s="93"/>
      <c r="D83" t="s">
        <v>436</v>
      </c>
      <c r="E83">
        <v>-4.2300000000000004</v>
      </c>
      <c r="F83" t="s">
        <v>46</v>
      </c>
      <c r="G83">
        <v>10031.61</v>
      </c>
    </row>
    <row r="84" spans="1:8" x14ac:dyDescent="0.25">
      <c r="A84" t="s">
        <v>33</v>
      </c>
      <c r="B84" s="93">
        <v>43299</v>
      </c>
      <c r="C84" s="93"/>
      <c r="D84" t="s">
        <v>437</v>
      </c>
      <c r="E84">
        <v>-100</v>
      </c>
      <c r="F84" t="s">
        <v>438</v>
      </c>
      <c r="G84">
        <v>10035.84</v>
      </c>
    </row>
    <row r="85" spans="1:8" x14ac:dyDescent="0.25">
      <c r="A85" t="s">
        <v>33</v>
      </c>
      <c r="B85" s="93">
        <v>43299</v>
      </c>
      <c r="C85" s="93"/>
      <c r="D85" t="s">
        <v>439</v>
      </c>
      <c r="E85">
        <v>-25.67</v>
      </c>
      <c r="F85" t="s">
        <v>46</v>
      </c>
      <c r="G85">
        <v>10135.84</v>
      </c>
    </row>
    <row r="86" spans="1:8" x14ac:dyDescent="0.25">
      <c r="A86" t="s">
        <v>33</v>
      </c>
      <c r="B86" s="93">
        <v>43299</v>
      </c>
      <c r="C86" s="93"/>
      <c r="D86" t="s">
        <v>440</v>
      </c>
      <c r="E86">
        <v>-1</v>
      </c>
      <c r="F86" t="s">
        <v>46</v>
      </c>
      <c r="G86">
        <v>10161.51</v>
      </c>
    </row>
    <row r="87" spans="1:8" x14ac:dyDescent="0.25">
      <c r="A87" t="s">
        <v>33</v>
      </c>
      <c r="B87" s="93">
        <v>43299</v>
      </c>
      <c r="C87" s="93"/>
      <c r="D87" t="s">
        <v>441</v>
      </c>
      <c r="E87">
        <v>-13.77</v>
      </c>
      <c r="F87" t="s">
        <v>46</v>
      </c>
      <c r="G87">
        <v>10162.51</v>
      </c>
    </row>
    <row r="88" spans="1:8" x14ac:dyDescent="0.25">
      <c r="A88" t="s">
        <v>33</v>
      </c>
      <c r="B88" s="93">
        <v>43298</v>
      </c>
      <c r="C88" s="93"/>
      <c r="D88" t="s">
        <v>442</v>
      </c>
      <c r="E88">
        <v>-17.510000000000002</v>
      </c>
      <c r="F88" t="s">
        <v>107</v>
      </c>
      <c r="G88">
        <v>10176.280000000001</v>
      </c>
    </row>
    <row r="89" spans="1:8" x14ac:dyDescent="0.25">
      <c r="A89" t="s">
        <v>33</v>
      </c>
      <c r="B89" s="93">
        <v>43298</v>
      </c>
      <c r="C89" s="93"/>
      <c r="D89" t="s">
        <v>443</v>
      </c>
      <c r="E89">
        <v>-39.25</v>
      </c>
      <c r="F89" t="s">
        <v>46</v>
      </c>
      <c r="G89">
        <v>10193.790000000001</v>
      </c>
    </row>
    <row r="90" spans="1:8" x14ac:dyDescent="0.25">
      <c r="A90" t="s">
        <v>33</v>
      </c>
      <c r="B90" s="93">
        <v>43298</v>
      </c>
      <c r="C90" s="93"/>
      <c r="D90" t="s">
        <v>444</v>
      </c>
      <c r="E90">
        <v>-4.2300000000000004</v>
      </c>
      <c r="F90" t="s">
        <v>46</v>
      </c>
      <c r="G90">
        <v>10233.040000000001</v>
      </c>
    </row>
    <row r="91" spans="1:8" x14ac:dyDescent="0.25">
      <c r="A91" t="s">
        <v>33</v>
      </c>
      <c r="B91" s="93">
        <v>43298</v>
      </c>
      <c r="C91" s="93"/>
      <c r="D91" t="s">
        <v>445</v>
      </c>
      <c r="E91">
        <v>-12.45</v>
      </c>
      <c r="F91" t="s">
        <v>46</v>
      </c>
      <c r="G91">
        <v>10237.27</v>
      </c>
    </row>
    <row r="92" spans="1:8" x14ac:dyDescent="0.25">
      <c r="A92" t="s">
        <v>33</v>
      </c>
      <c r="B92" s="93">
        <v>43298</v>
      </c>
      <c r="C92" s="94"/>
      <c r="D92" s="95" t="s">
        <v>446</v>
      </c>
      <c r="E92" s="96">
        <v>-146.19999999999999</v>
      </c>
      <c r="F92" t="s">
        <v>46</v>
      </c>
      <c r="G92">
        <v>10249.719999999999</v>
      </c>
    </row>
    <row r="93" spans="1:8" x14ac:dyDescent="0.25">
      <c r="A93" t="s">
        <v>33</v>
      </c>
      <c r="B93" s="93">
        <v>43298</v>
      </c>
      <c r="C93" s="94"/>
      <c r="D93" s="95" t="s">
        <v>446</v>
      </c>
      <c r="E93" s="96">
        <v>-146.19999999999999</v>
      </c>
      <c r="F93" t="s">
        <v>46</v>
      </c>
      <c r="G93">
        <v>10395.92</v>
      </c>
    </row>
    <row r="94" spans="1:8" x14ac:dyDescent="0.25">
      <c r="A94" t="s">
        <v>33</v>
      </c>
      <c r="B94" s="93">
        <v>43298</v>
      </c>
      <c r="C94" s="94"/>
      <c r="D94" s="95" t="s">
        <v>447</v>
      </c>
      <c r="E94" s="96">
        <v>-194.8</v>
      </c>
      <c r="F94" t="s">
        <v>46</v>
      </c>
      <c r="G94">
        <v>10542.12</v>
      </c>
    </row>
    <row r="95" spans="1:8" x14ac:dyDescent="0.25">
      <c r="A95" t="s">
        <v>33</v>
      </c>
      <c r="B95" s="93">
        <v>43298</v>
      </c>
      <c r="C95" s="94"/>
      <c r="D95" s="95" t="s">
        <v>447</v>
      </c>
      <c r="E95" s="96">
        <v>-194.8</v>
      </c>
      <c r="F95" t="s">
        <v>46</v>
      </c>
      <c r="G95">
        <v>10736.92</v>
      </c>
    </row>
    <row r="96" spans="1:8" x14ac:dyDescent="0.25">
      <c r="A96" t="s">
        <v>33</v>
      </c>
      <c r="B96" s="93">
        <v>43298</v>
      </c>
      <c r="C96" s="93"/>
      <c r="D96" t="s">
        <v>448</v>
      </c>
      <c r="E96">
        <v>-30.5</v>
      </c>
      <c r="F96" t="s">
        <v>46</v>
      </c>
      <c r="G96">
        <v>10931.72</v>
      </c>
    </row>
    <row r="97" spans="1:7" x14ac:dyDescent="0.25">
      <c r="A97" t="s">
        <v>33</v>
      </c>
      <c r="B97" s="93">
        <v>43297</v>
      </c>
      <c r="C97" s="93"/>
      <c r="D97" t="s">
        <v>449</v>
      </c>
      <c r="E97">
        <v>-5.66</v>
      </c>
      <c r="F97" t="s">
        <v>46</v>
      </c>
      <c r="G97">
        <v>10962.22</v>
      </c>
    </row>
    <row r="98" spans="1:7" x14ac:dyDescent="0.25">
      <c r="A98" t="s">
        <v>33</v>
      </c>
      <c r="B98" s="93">
        <v>43297</v>
      </c>
      <c r="C98" s="93"/>
      <c r="D98" t="s">
        <v>449</v>
      </c>
      <c r="E98">
        <v>-48</v>
      </c>
      <c r="F98" t="s">
        <v>46</v>
      </c>
      <c r="G98">
        <v>10967.88</v>
      </c>
    </row>
    <row r="99" spans="1:7" x14ac:dyDescent="0.25">
      <c r="A99" t="s">
        <v>33</v>
      </c>
      <c r="B99" s="93">
        <v>43297</v>
      </c>
      <c r="C99" s="93"/>
      <c r="D99" t="s">
        <v>450</v>
      </c>
      <c r="E99">
        <v>-4.2300000000000004</v>
      </c>
      <c r="F99" t="s">
        <v>46</v>
      </c>
      <c r="G99">
        <v>11015.88</v>
      </c>
    </row>
    <row r="100" spans="1:7" x14ac:dyDescent="0.25">
      <c r="A100" t="s">
        <v>33</v>
      </c>
      <c r="B100" s="93">
        <v>43297</v>
      </c>
      <c r="C100" s="93"/>
      <c r="D100" t="s">
        <v>451</v>
      </c>
      <c r="E100">
        <v>-22.99</v>
      </c>
      <c r="F100" t="s">
        <v>46</v>
      </c>
      <c r="G100">
        <v>11020.11</v>
      </c>
    </row>
    <row r="101" spans="1:7" x14ac:dyDescent="0.25">
      <c r="A101" t="s">
        <v>33</v>
      </c>
      <c r="B101" s="93">
        <v>43297</v>
      </c>
      <c r="C101" s="93"/>
      <c r="D101" t="s">
        <v>452</v>
      </c>
      <c r="E101">
        <v>-40</v>
      </c>
      <c r="F101" t="s">
        <v>46</v>
      </c>
      <c r="G101">
        <v>11043.1</v>
      </c>
    </row>
    <row r="102" spans="1:7" x14ac:dyDescent="0.25">
      <c r="A102" t="s">
        <v>33</v>
      </c>
      <c r="B102" s="93">
        <v>43297</v>
      </c>
      <c r="C102" s="93"/>
      <c r="D102" t="s">
        <v>453</v>
      </c>
      <c r="E102">
        <v>-7.97</v>
      </c>
      <c r="F102" t="s">
        <v>46</v>
      </c>
      <c r="G102">
        <v>11083.1</v>
      </c>
    </row>
    <row r="103" spans="1:7" x14ac:dyDescent="0.25">
      <c r="A103" t="s">
        <v>33</v>
      </c>
      <c r="B103" s="93">
        <v>43297</v>
      </c>
      <c r="C103" s="93"/>
      <c r="D103" t="s">
        <v>454</v>
      </c>
      <c r="E103">
        <v>-7.96</v>
      </c>
      <c r="F103" t="s">
        <v>46</v>
      </c>
      <c r="G103">
        <v>11091.07</v>
      </c>
    </row>
    <row r="104" spans="1:7" x14ac:dyDescent="0.25">
      <c r="A104" t="s">
        <v>33</v>
      </c>
      <c r="B104" s="93">
        <v>43297</v>
      </c>
      <c r="C104" s="93"/>
      <c r="D104" t="s">
        <v>455</v>
      </c>
      <c r="E104">
        <v>-40.78</v>
      </c>
      <c r="F104" t="s">
        <v>46</v>
      </c>
      <c r="G104">
        <v>11099.03</v>
      </c>
    </row>
    <row r="105" spans="1:7" x14ac:dyDescent="0.25">
      <c r="A105" t="s">
        <v>33</v>
      </c>
      <c r="B105" s="93">
        <v>43297</v>
      </c>
      <c r="C105" s="93"/>
      <c r="D105" t="s">
        <v>456</v>
      </c>
      <c r="E105">
        <v>-23</v>
      </c>
      <c r="F105" t="s">
        <v>46</v>
      </c>
      <c r="G105">
        <v>11139.81</v>
      </c>
    </row>
    <row r="106" spans="1:7" x14ac:dyDescent="0.25">
      <c r="A106" t="s">
        <v>33</v>
      </c>
      <c r="B106" s="93">
        <v>43297</v>
      </c>
      <c r="C106" s="93"/>
      <c r="D106" t="s">
        <v>457</v>
      </c>
      <c r="E106">
        <v>-4.2300000000000004</v>
      </c>
      <c r="F106" t="s">
        <v>46</v>
      </c>
      <c r="G106">
        <v>11162.81</v>
      </c>
    </row>
    <row r="107" spans="1:7" x14ac:dyDescent="0.25">
      <c r="A107" t="s">
        <v>33</v>
      </c>
      <c r="B107" s="93">
        <v>43297</v>
      </c>
      <c r="C107" s="93"/>
      <c r="D107" t="s">
        <v>458</v>
      </c>
      <c r="E107">
        <v>-43.45</v>
      </c>
      <c r="F107" t="s">
        <v>46</v>
      </c>
      <c r="G107">
        <v>11167.04</v>
      </c>
    </row>
    <row r="108" spans="1:7" x14ac:dyDescent="0.25">
      <c r="A108" t="s">
        <v>33</v>
      </c>
      <c r="B108" s="93">
        <v>43294</v>
      </c>
      <c r="C108" s="93"/>
      <c r="D108" t="s">
        <v>459</v>
      </c>
      <c r="E108">
        <v>-7.58</v>
      </c>
      <c r="F108" t="s">
        <v>46</v>
      </c>
      <c r="G108">
        <v>11210.49</v>
      </c>
    </row>
    <row r="109" spans="1:7" x14ac:dyDescent="0.25">
      <c r="A109" t="s">
        <v>33</v>
      </c>
      <c r="B109" s="93">
        <v>43294</v>
      </c>
      <c r="C109" s="93"/>
      <c r="D109" t="s">
        <v>460</v>
      </c>
      <c r="E109">
        <v>-5</v>
      </c>
      <c r="F109" t="s">
        <v>35</v>
      </c>
      <c r="G109">
        <v>11218.07</v>
      </c>
    </row>
    <row r="110" spans="1:7" x14ac:dyDescent="0.25">
      <c r="A110" t="s">
        <v>33</v>
      </c>
      <c r="B110" s="93">
        <v>43294</v>
      </c>
      <c r="C110" s="93"/>
      <c r="D110" t="s">
        <v>461</v>
      </c>
      <c r="E110">
        <v>-17.309999999999999</v>
      </c>
      <c r="F110" t="s">
        <v>46</v>
      </c>
      <c r="G110">
        <v>11223.07</v>
      </c>
    </row>
    <row r="111" spans="1:7" x14ac:dyDescent="0.25">
      <c r="A111" t="s">
        <v>49</v>
      </c>
      <c r="B111" s="93">
        <v>43294</v>
      </c>
      <c r="C111" s="93"/>
      <c r="D111" t="s">
        <v>50</v>
      </c>
      <c r="E111">
        <v>3455.28</v>
      </c>
      <c r="F111" t="s">
        <v>51</v>
      </c>
      <c r="G111">
        <v>11240.38</v>
      </c>
    </row>
    <row r="112" spans="1:7" x14ac:dyDescent="0.25">
      <c r="A112" t="s">
        <v>33</v>
      </c>
      <c r="B112" s="93">
        <v>43293</v>
      </c>
      <c r="C112" s="93"/>
      <c r="D112" t="s">
        <v>462</v>
      </c>
      <c r="E112">
        <v>-30.41</v>
      </c>
      <c r="F112" t="s">
        <v>46</v>
      </c>
      <c r="G112">
        <v>7785.1</v>
      </c>
    </row>
    <row r="113" spans="1:7" x14ac:dyDescent="0.25">
      <c r="A113" t="s">
        <v>33</v>
      </c>
      <c r="B113" s="93">
        <v>43293</v>
      </c>
      <c r="C113" s="93"/>
      <c r="D113" t="s">
        <v>463</v>
      </c>
      <c r="E113">
        <v>-27.55</v>
      </c>
      <c r="F113" t="s">
        <v>46</v>
      </c>
      <c r="G113">
        <v>7815.51</v>
      </c>
    </row>
    <row r="114" spans="1:7" x14ac:dyDescent="0.25">
      <c r="A114" t="s">
        <v>33</v>
      </c>
      <c r="B114" s="93">
        <v>43293</v>
      </c>
      <c r="C114" s="93"/>
      <c r="D114" t="s">
        <v>464</v>
      </c>
      <c r="E114">
        <v>-4.82</v>
      </c>
      <c r="F114" t="s">
        <v>46</v>
      </c>
      <c r="G114">
        <v>7843.06</v>
      </c>
    </row>
    <row r="115" spans="1:7" x14ac:dyDescent="0.25">
      <c r="A115" t="s">
        <v>33</v>
      </c>
      <c r="B115" s="93">
        <v>43292</v>
      </c>
      <c r="C115" s="93"/>
      <c r="D115" t="s">
        <v>465</v>
      </c>
      <c r="E115">
        <v>-12.47</v>
      </c>
      <c r="F115" t="s">
        <v>46</v>
      </c>
      <c r="G115">
        <v>7847.88</v>
      </c>
    </row>
    <row r="116" spans="1:7" x14ac:dyDescent="0.25">
      <c r="A116" t="s">
        <v>33</v>
      </c>
      <c r="B116" s="93">
        <v>43292</v>
      </c>
      <c r="C116" s="93"/>
      <c r="D116" t="s">
        <v>466</v>
      </c>
      <c r="E116">
        <v>-65.739999999999995</v>
      </c>
      <c r="F116" t="s">
        <v>46</v>
      </c>
      <c r="G116">
        <v>7860.35</v>
      </c>
    </row>
    <row r="117" spans="1:7" x14ac:dyDescent="0.25">
      <c r="A117" t="s">
        <v>33</v>
      </c>
      <c r="B117" s="93">
        <v>43292</v>
      </c>
      <c r="C117" s="93"/>
      <c r="D117" t="s">
        <v>467</v>
      </c>
      <c r="E117">
        <v>-29.16</v>
      </c>
      <c r="F117" t="s">
        <v>46</v>
      </c>
      <c r="G117">
        <v>7926.09</v>
      </c>
    </row>
    <row r="118" spans="1:7" x14ac:dyDescent="0.25">
      <c r="A118" t="s">
        <v>33</v>
      </c>
      <c r="B118" s="93">
        <v>43291</v>
      </c>
      <c r="C118" s="93"/>
      <c r="D118" t="s">
        <v>468</v>
      </c>
      <c r="E118">
        <v>-14.5</v>
      </c>
      <c r="F118" t="s">
        <v>46</v>
      </c>
      <c r="G118">
        <v>7955.25</v>
      </c>
    </row>
    <row r="119" spans="1:7" x14ac:dyDescent="0.25">
      <c r="A119" t="s">
        <v>33</v>
      </c>
      <c r="B119" s="93">
        <v>43290</v>
      </c>
      <c r="C119" s="93"/>
      <c r="D119" t="s">
        <v>469</v>
      </c>
      <c r="E119">
        <v>-27.91</v>
      </c>
      <c r="F119" t="s">
        <v>46</v>
      </c>
      <c r="G119">
        <v>7969.75</v>
      </c>
    </row>
    <row r="120" spans="1:7" x14ac:dyDescent="0.25">
      <c r="A120" t="s">
        <v>33</v>
      </c>
      <c r="B120" s="93">
        <v>43290</v>
      </c>
      <c r="C120" s="93"/>
      <c r="D120" t="s">
        <v>470</v>
      </c>
      <c r="E120">
        <v>-37.79</v>
      </c>
      <c r="F120" t="s">
        <v>46</v>
      </c>
      <c r="G120">
        <v>7997.66</v>
      </c>
    </row>
    <row r="121" spans="1:7" x14ac:dyDescent="0.25">
      <c r="A121" t="s">
        <v>33</v>
      </c>
      <c r="B121" s="93">
        <v>43290</v>
      </c>
      <c r="C121" s="93"/>
      <c r="D121" t="s">
        <v>471</v>
      </c>
      <c r="E121">
        <v>-906.79</v>
      </c>
      <c r="F121" t="s">
        <v>46</v>
      </c>
      <c r="G121">
        <v>8035.45</v>
      </c>
    </row>
    <row r="122" spans="1:7" x14ac:dyDescent="0.25">
      <c r="A122" t="s">
        <v>33</v>
      </c>
      <c r="B122" s="93">
        <v>43290</v>
      </c>
      <c r="C122" s="93"/>
      <c r="D122" t="s">
        <v>472</v>
      </c>
      <c r="E122">
        <v>-17.45</v>
      </c>
      <c r="F122" t="s">
        <v>46</v>
      </c>
      <c r="G122">
        <v>8942.24</v>
      </c>
    </row>
    <row r="123" spans="1:7" x14ac:dyDescent="0.25">
      <c r="A123" t="s">
        <v>33</v>
      </c>
      <c r="B123" s="93">
        <v>43290</v>
      </c>
      <c r="C123" s="93"/>
      <c r="D123" t="s">
        <v>473</v>
      </c>
      <c r="E123">
        <v>-30.1</v>
      </c>
      <c r="F123" t="s">
        <v>46</v>
      </c>
      <c r="G123">
        <v>8959.69</v>
      </c>
    </row>
    <row r="124" spans="1:7" x14ac:dyDescent="0.25">
      <c r="A124" t="s">
        <v>33</v>
      </c>
      <c r="B124" s="93">
        <v>43290</v>
      </c>
      <c r="C124" s="93"/>
      <c r="D124" t="s">
        <v>474</v>
      </c>
      <c r="E124">
        <v>-41.41</v>
      </c>
      <c r="F124" t="s">
        <v>46</v>
      </c>
      <c r="G124">
        <v>8989.7900000000009</v>
      </c>
    </row>
    <row r="125" spans="1:7" x14ac:dyDescent="0.25">
      <c r="A125" t="s">
        <v>33</v>
      </c>
      <c r="B125" s="93">
        <v>43290</v>
      </c>
      <c r="C125" s="93"/>
      <c r="D125" t="s">
        <v>475</v>
      </c>
      <c r="E125">
        <v>-40</v>
      </c>
      <c r="F125" t="s">
        <v>58</v>
      </c>
      <c r="G125">
        <v>9031.2000000000007</v>
      </c>
    </row>
    <row r="126" spans="1:7" x14ac:dyDescent="0.25">
      <c r="A126" t="s">
        <v>33</v>
      </c>
      <c r="B126" s="93">
        <v>43290</v>
      </c>
      <c r="C126" s="93"/>
      <c r="D126" t="s">
        <v>476</v>
      </c>
      <c r="E126">
        <v>-4.87</v>
      </c>
      <c r="F126" t="s">
        <v>46</v>
      </c>
      <c r="G126">
        <v>9071.2000000000007</v>
      </c>
    </row>
    <row r="127" spans="1:7" x14ac:dyDescent="0.25">
      <c r="A127" t="s">
        <v>33</v>
      </c>
      <c r="B127" s="93">
        <v>43287</v>
      </c>
      <c r="C127" s="93"/>
      <c r="D127" t="s">
        <v>477</v>
      </c>
      <c r="E127">
        <v>-24.64</v>
      </c>
      <c r="F127" t="s">
        <v>46</v>
      </c>
      <c r="G127">
        <v>9076.07</v>
      </c>
    </row>
    <row r="128" spans="1:7" x14ac:dyDescent="0.25">
      <c r="A128" t="s">
        <v>33</v>
      </c>
      <c r="B128" s="93">
        <v>43287</v>
      </c>
      <c r="C128" s="93"/>
      <c r="D128" t="s">
        <v>478</v>
      </c>
      <c r="E128">
        <v>-4.2300000000000004</v>
      </c>
      <c r="F128" t="s">
        <v>46</v>
      </c>
      <c r="G128">
        <v>9100.7099999999991</v>
      </c>
    </row>
    <row r="129" spans="1:7" x14ac:dyDescent="0.25">
      <c r="A129" t="s">
        <v>33</v>
      </c>
      <c r="B129" s="93">
        <v>43287</v>
      </c>
      <c r="C129" s="93"/>
      <c r="D129" t="s">
        <v>479</v>
      </c>
      <c r="E129">
        <v>-25.67</v>
      </c>
      <c r="F129" t="s">
        <v>46</v>
      </c>
      <c r="G129">
        <v>9104.94</v>
      </c>
    </row>
    <row r="130" spans="1:7" x14ac:dyDescent="0.25">
      <c r="A130" t="s">
        <v>33</v>
      </c>
      <c r="B130" s="93">
        <v>43287</v>
      </c>
      <c r="C130" s="93"/>
      <c r="D130" t="s">
        <v>480</v>
      </c>
      <c r="E130">
        <v>-4.82</v>
      </c>
      <c r="F130" t="s">
        <v>46</v>
      </c>
      <c r="G130">
        <v>9130.61</v>
      </c>
    </row>
    <row r="131" spans="1:7" x14ac:dyDescent="0.25">
      <c r="A131" t="s">
        <v>33</v>
      </c>
      <c r="B131" s="93">
        <v>43286</v>
      </c>
      <c r="C131" s="93"/>
      <c r="D131" t="s">
        <v>364</v>
      </c>
      <c r="E131">
        <v>-298</v>
      </c>
      <c r="F131" t="s">
        <v>107</v>
      </c>
      <c r="G131">
        <v>9135.43</v>
      </c>
    </row>
    <row r="132" spans="1:7" x14ac:dyDescent="0.25">
      <c r="A132" t="s">
        <v>33</v>
      </c>
      <c r="B132" s="93">
        <v>43286</v>
      </c>
      <c r="C132" s="93"/>
      <c r="D132" t="s">
        <v>481</v>
      </c>
      <c r="E132">
        <v>-57.19</v>
      </c>
      <c r="F132" t="s">
        <v>46</v>
      </c>
      <c r="G132">
        <v>9433.43</v>
      </c>
    </row>
    <row r="133" spans="1:7" x14ac:dyDescent="0.25">
      <c r="A133" t="s">
        <v>33</v>
      </c>
      <c r="B133" s="93">
        <v>43286</v>
      </c>
      <c r="C133" s="93"/>
      <c r="D133" t="s">
        <v>482</v>
      </c>
      <c r="E133">
        <v>-20.03</v>
      </c>
      <c r="F133" t="s">
        <v>46</v>
      </c>
      <c r="G133">
        <v>9490.6200000000008</v>
      </c>
    </row>
    <row r="134" spans="1:7" x14ac:dyDescent="0.25">
      <c r="A134" t="s">
        <v>33</v>
      </c>
      <c r="B134" s="93">
        <v>43286</v>
      </c>
      <c r="C134" s="93"/>
      <c r="D134" t="s">
        <v>483</v>
      </c>
      <c r="E134">
        <v>-10.55</v>
      </c>
      <c r="F134" t="s">
        <v>46</v>
      </c>
      <c r="G134">
        <v>9510.65</v>
      </c>
    </row>
    <row r="135" spans="1:7" x14ac:dyDescent="0.25">
      <c r="A135" t="s">
        <v>33</v>
      </c>
      <c r="B135" s="93">
        <v>43286</v>
      </c>
      <c r="C135" s="93"/>
      <c r="D135" t="s">
        <v>484</v>
      </c>
      <c r="E135">
        <v>-4.2300000000000004</v>
      </c>
      <c r="F135" t="s">
        <v>46</v>
      </c>
      <c r="G135">
        <v>9521.2000000000007</v>
      </c>
    </row>
    <row r="136" spans="1:7" x14ac:dyDescent="0.25">
      <c r="A136" t="s">
        <v>33</v>
      </c>
      <c r="B136" s="93">
        <v>43286</v>
      </c>
      <c r="C136" s="93"/>
      <c r="D136" t="s">
        <v>485</v>
      </c>
      <c r="E136">
        <v>-12.6</v>
      </c>
      <c r="F136" t="s">
        <v>46</v>
      </c>
      <c r="G136">
        <v>9525.43</v>
      </c>
    </row>
    <row r="137" spans="1:7" x14ac:dyDescent="0.25">
      <c r="A137" t="s">
        <v>33</v>
      </c>
      <c r="B137" s="93">
        <v>43286</v>
      </c>
      <c r="C137" s="93"/>
      <c r="D137" t="s">
        <v>486</v>
      </c>
      <c r="E137">
        <v>-4.2300000000000004</v>
      </c>
      <c r="F137" t="s">
        <v>46</v>
      </c>
      <c r="G137">
        <v>9538.0300000000007</v>
      </c>
    </row>
    <row r="138" spans="1:7" x14ac:dyDescent="0.25">
      <c r="A138" t="s">
        <v>33</v>
      </c>
      <c r="B138" s="93">
        <v>43286</v>
      </c>
      <c r="C138" s="93"/>
      <c r="D138" t="s">
        <v>487</v>
      </c>
      <c r="E138">
        <v>-6.15</v>
      </c>
      <c r="F138" t="s">
        <v>46</v>
      </c>
      <c r="G138">
        <v>9542.26</v>
      </c>
    </row>
    <row r="139" spans="1:7" x14ac:dyDescent="0.25">
      <c r="A139" t="s">
        <v>33</v>
      </c>
      <c r="B139" s="93">
        <v>43286</v>
      </c>
      <c r="C139" s="93"/>
      <c r="D139" t="s">
        <v>488</v>
      </c>
      <c r="E139">
        <v>-25.94</v>
      </c>
      <c r="F139" t="s">
        <v>46</v>
      </c>
      <c r="G139">
        <v>9548.41</v>
      </c>
    </row>
    <row r="140" spans="1:7" x14ac:dyDescent="0.25">
      <c r="A140" t="s">
        <v>33</v>
      </c>
      <c r="B140" s="93">
        <v>43284</v>
      </c>
      <c r="C140" s="93"/>
      <c r="D140" t="s">
        <v>377</v>
      </c>
      <c r="E140">
        <v>-828.15</v>
      </c>
      <c r="F140" t="s">
        <v>107</v>
      </c>
      <c r="G140">
        <v>9574.35</v>
      </c>
    </row>
    <row r="141" spans="1:7" x14ac:dyDescent="0.25">
      <c r="A141" t="s">
        <v>33</v>
      </c>
      <c r="B141" s="93">
        <v>43284</v>
      </c>
      <c r="C141" s="93"/>
      <c r="D141" t="s">
        <v>489</v>
      </c>
      <c r="E141">
        <v>-64.66</v>
      </c>
      <c r="F141" t="s">
        <v>46</v>
      </c>
      <c r="G141">
        <v>10402.5</v>
      </c>
    </row>
    <row r="142" spans="1:7" x14ac:dyDescent="0.25">
      <c r="A142" t="s">
        <v>33</v>
      </c>
      <c r="B142" s="93">
        <v>43284</v>
      </c>
      <c r="C142" s="93"/>
      <c r="D142" t="s">
        <v>490</v>
      </c>
      <c r="E142">
        <v>-43.34</v>
      </c>
      <c r="F142" t="s">
        <v>46</v>
      </c>
      <c r="G142">
        <v>10467.16</v>
      </c>
    </row>
    <row r="143" spans="1:7" x14ac:dyDescent="0.25">
      <c r="A143" t="s">
        <v>33</v>
      </c>
      <c r="B143" s="93">
        <v>43283</v>
      </c>
      <c r="C143" s="93"/>
      <c r="D143" t="s">
        <v>491</v>
      </c>
      <c r="E143">
        <v>-21.21</v>
      </c>
      <c r="F143" t="s">
        <v>46</v>
      </c>
      <c r="G143">
        <v>10510.5</v>
      </c>
    </row>
    <row r="144" spans="1:7" x14ac:dyDescent="0.25">
      <c r="A144" t="s">
        <v>33</v>
      </c>
      <c r="B144" s="93">
        <v>43283</v>
      </c>
      <c r="C144" s="93"/>
      <c r="D144" t="s">
        <v>492</v>
      </c>
      <c r="E144">
        <v>-75</v>
      </c>
      <c r="F144" t="s">
        <v>128</v>
      </c>
      <c r="G144">
        <v>10531.71</v>
      </c>
    </row>
    <row r="145" spans="1:7" x14ac:dyDescent="0.25">
      <c r="A145" t="s">
        <v>33</v>
      </c>
      <c r="B145" s="93">
        <v>43283</v>
      </c>
      <c r="C145" s="93"/>
      <c r="D145" t="s">
        <v>493</v>
      </c>
      <c r="E145">
        <v>-41.41</v>
      </c>
      <c r="F145" t="s">
        <v>46</v>
      </c>
      <c r="G145">
        <v>10606.71</v>
      </c>
    </row>
    <row r="146" spans="1:7" x14ac:dyDescent="0.25">
      <c r="A146" t="s">
        <v>33</v>
      </c>
      <c r="B146" s="93">
        <v>43283</v>
      </c>
      <c r="C146" s="93"/>
      <c r="D146" t="s">
        <v>494</v>
      </c>
      <c r="E146">
        <v>-58.04</v>
      </c>
      <c r="F146" t="s">
        <v>46</v>
      </c>
      <c r="G146">
        <v>10648.12</v>
      </c>
    </row>
    <row r="147" spans="1:7" x14ac:dyDescent="0.25">
      <c r="A147" t="s">
        <v>33</v>
      </c>
      <c r="B147" s="93">
        <v>43283</v>
      </c>
      <c r="C147" s="93"/>
      <c r="D147" t="s">
        <v>495</v>
      </c>
      <c r="E147">
        <v>-21.39</v>
      </c>
      <c r="F147" t="s">
        <v>46</v>
      </c>
      <c r="G147">
        <v>10706.16</v>
      </c>
    </row>
    <row r="148" spans="1:7" x14ac:dyDescent="0.25">
      <c r="A148" t="s">
        <v>33</v>
      </c>
      <c r="B148" s="93">
        <v>43283</v>
      </c>
      <c r="C148" s="93"/>
      <c r="D148" t="s">
        <v>496</v>
      </c>
      <c r="E148">
        <v>-4.2300000000000004</v>
      </c>
      <c r="F148" t="s">
        <v>46</v>
      </c>
      <c r="G148">
        <v>10727.55</v>
      </c>
    </row>
    <row r="149" spans="1:7" x14ac:dyDescent="0.25">
      <c r="A149" t="s">
        <v>33</v>
      </c>
      <c r="B149" s="93">
        <v>43283</v>
      </c>
      <c r="C149" s="93"/>
      <c r="D149" t="s">
        <v>497</v>
      </c>
      <c r="E149">
        <v>-7.99</v>
      </c>
      <c r="F149" t="s">
        <v>46</v>
      </c>
      <c r="G149">
        <v>10731.78</v>
      </c>
    </row>
    <row r="150" spans="1:7" x14ac:dyDescent="0.25">
      <c r="A150" t="s">
        <v>33</v>
      </c>
      <c r="B150" s="93">
        <v>43283</v>
      </c>
      <c r="C150" s="93"/>
      <c r="D150" t="s">
        <v>498</v>
      </c>
      <c r="E150">
        <v>-4.01</v>
      </c>
      <c r="F150" t="s">
        <v>46</v>
      </c>
      <c r="G150">
        <v>10739.77</v>
      </c>
    </row>
    <row r="151" spans="1:7" x14ac:dyDescent="0.25">
      <c r="A151" t="s">
        <v>33</v>
      </c>
      <c r="B151" s="93">
        <v>43283</v>
      </c>
      <c r="C151" s="93"/>
      <c r="D151" t="s">
        <v>499</v>
      </c>
      <c r="E151">
        <v>-284.23</v>
      </c>
      <c r="F151" t="s">
        <v>46</v>
      </c>
      <c r="G151">
        <v>10743.78</v>
      </c>
    </row>
    <row r="152" spans="1:7" x14ac:dyDescent="0.25">
      <c r="A152" t="s">
        <v>33</v>
      </c>
      <c r="B152" s="93">
        <v>43283</v>
      </c>
      <c r="C152" s="93"/>
      <c r="D152" t="s">
        <v>500</v>
      </c>
      <c r="E152">
        <v>-74.650000000000006</v>
      </c>
      <c r="F152" t="s">
        <v>46</v>
      </c>
      <c r="G152">
        <v>11028.01</v>
      </c>
    </row>
    <row r="153" spans="1:7" x14ac:dyDescent="0.25">
      <c r="A153" t="s">
        <v>33</v>
      </c>
      <c r="B153" s="93">
        <v>43283</v>
      </c>
      <c r="C153" s="93"/>
      <c r="D153" t="s">
        <v>501</v>
      </c>
      <c r="E153">
        <v>-1700</v>
      </c>
      <c r="F153" t="s">
        <v>35</v>
      </c>
      <c r="G153">
        <v>11102.66</v>
      </c>
    </row>
    <row r="154" spans="1:7" x14ac:dyDescent="0.25">
      <c r="A154" t="s">
        <v>33</v>
      </c>
      <c r="B154" s="93">
        <v>43283</v>
      </c>
      <c r="C154" s="93"/>
      <c r="D154" t="s">
        <v>502</v>
      </c>
      <c r="E154">
        <v>-25.67</v>
      </c>
      <c r="F154" t="s">
        <v>46</v>
      </c>
      <c r="G154">
        <v>12802.66</v>
      </c>
    </row>
    <row r="155" spans="1:7" x14ac:dyDescent="0.25">
      <c r="A155" t="s">
        <v>49</v>
      </c>
      <c r="B155" s="93">
        <v>43283</v>
      </c>
      <c r="C155" s="93"/>
      <c r="D155" t="s">
        <v>503</v>
      </c>
      <c r="E155">
        <v>1857.84</v>
      </c>
      <c r="F155" t="s">
        <v>130</v>
      </c>
      <c r="G155">
        <v>12828.33</v>
      </c>
    </row>
  </sheetData>
  <autoFilter ref="A1:H155" xr:uid="{DA902554-B428-4DBE-AD51-53A8527FE91D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  <pageSetUpPr fitToPage="1"/>
  </sheetPr>
  <dimension ref="A1:BC57"/>
  <sheetViews>
    <sheetView showGridLines="0" zoomScale="85" zoomScaleNormal="85" workbookViewId="0">
      <selection activeCell="E26" sqref="E26"/>
    </sheetView>
  </sheetViews>
  <sheetFormatPr defaultRowHeight="15" x14ac:dyDescent="0.25"/>
  <cols>
    <col min="1" max="1" width="3.28515625" customWidth="1"/>
    <col min="2" max="2" width="18.7109375" customWidth="1"/>
    <col min="3" max="3" width="8.28515625" customWidth="1"/>
    <col min="4" max="4" width="2.42578125" customWidth="1"/>
    <col min="5" max="5" width="8.28515625" customWidth="1"/>
    <col min="6" max="6" width="2.42578125" customWidth="1"/>
    <col min="7" max="7" width="8.28515625" customWidth="1"/>
    <col min="8" max="8" width="6.42578125" customWidth="1"/>
    <col min="9" max="9" width="8.28515625" customWidth="1"/>
    <col min="10" max="10" width="2.42578125" customWidth="1"/>
    <col min="11" max="11" width="8.28515625" customWidth="1"/>
    <col min="12" max="12" width="2.42578125" customWidth="1"/>
    <col min="13" max="13" width="8.28515625" customWidth="1"/>
    <col min="14" max="14" width="6.42578125" customWidth="1"/>
    <col min="15" max="15" width="8.28515625" customWidth="1"/>
    <col min="16" max="16" width="2.42578125" customWidth="1"/>
    <col min="17" max="17" width="8.28515625" customWidth="1"/>
    <col min="18" max="18" width="2.42578125" customWidth="1"/>
    <col min="19" max="19" width="8.28515625" customWidth="1"/>
    <col min="20" max="20" width="6.42578125" customWidth="1"/>
    <col min="21" max="21" width="8.28515625" customWidth="1"/>
    <col min="22" max="22" width="2.42578125" customWidth="1"/>
    <col min="23" max="23" width="8.28515625" customWidth="1"/>
    <col min="24" max="24" width="2.42578125" customWidth="1"/>
    <col min="25" max="25" width="8.28515625" customWidth="1"/>
    <col min="26" max="26" width="6.42578125" customWidth="1"/>
    <col min="27" max="27" width="8.28515625" customWidth="1"/>
    <col min="28" max="28" width="2.42578125" customWidth="1"/>
    <col min="29" max="29" width="8.28515625" customWidth="1"/>
    <col min="30" max="30" width="2.42578125" customWidth="1"/>
    <col min="31" max="31" width="8.28515625" customWidth="1"/>
    <col min="32" max="32" width="6.42578125" customWidth="1"/>
    <col min="33" max="33" width="8.28515625" customWidth="1"/>
    <col min="34" max="34" width="2.42578125" customWidth="1"/>
    <col min="35" max="35" width="8.28515625" customWidth="1"/>
    <col min="36" max="36" width="2.42578125" customWidth="1"/>
    <col min="37" max="37" width="8.28515625" customWidth="1"/>
    <col min="38" max="38" width="6.42578125" customWidth="1"/>
    <col min="39" max="39" width="8.28515625" customWidth="1"/>
    <col min="40" max="40" width="2.42578125" customWidth="1"/>
    <col min="41" max="41" width="8.28515625" customWidth="1"/>
    <col min="42" max="42" width="2.42578125" customWidth="1"/>
    <col min="43" max="43" width="8.28515625" customWidth="1"/>
    <col min="44" max="44" width="6.42578125" customWidth="1"/>
    <col min="45" max="45" width="8.28515625" customWidth="1"/>
    <col min="46" max="46" width="2.42578125" customWidth="1"/>
    <col min="47" max="47" width="8.28515625" customWidth="1"/>
    <col min="48" max="48" width="2.42578125" customWidth="1"/>
    <col min="49" max="49" width="8.28515625" customWidth="1"/>
    <col min="50" max="50" width="6.42578125" customWidth="1"/>
    <col min="51" max="51" width="8.28515625" customWidth="1"/>
    <col min="52" max="52" width="2.42578125" customWidth="1"/>
    <col min="53" max="53" width="8.28515625" customWidth="1"/>
    <col min="54" max="54" width="2.42578125" customWidth="1"/>
    <col min="55" max="55" width="8.28515625" customWidth="1"/>
  </cols>
  <sheetData>
    <row r="1" spans="1:55" ht="21" x14ac:dyDescent="0.35">
      <c r="A1" s="98" t="s">
        <v>589</v>
      </c>
      <c r="B1" s="98"/>
    </row>
    <row r="3" spans="1:55" ht="21" x14ac:dyDescent="0.45">
      <c r="C3" s="153" t="s">
        <v>0</v>
      </c>
      <c r="D3" s="153"/>
      <c r="E3" s="153"/>
      <c r="F3" s="153"/>
      <c r="G3" s="153"/>
      <c r="I3" s="153" t="s">
        <v>1</v>
      </c>
      <c r="J3" s="153"/>
      <c r="K3" s="153"/>
      <c r="L3" s="153"/>
      <c r="M3" s="153"/>
      <c r="O3" s="153" t="s">
        <v>131</v>
      </c>
      <c r="P3" s="153"/>
      <c r="Q3" s="153"/>
      <c r="R3" s="153"/>
      <c r="S3" s="153"/>
      <c r="U3" s="153" t="s">
        <v>137</v>
      </c>
      <c r="V3" s="153"/>
      <c r="W3" s="153"/>
      <c r="X3" s="153"/>
      <c r="Y3" s="153"/>
      <c r="AA3" s="153" t="s">
        <v>136</v>
      </c>
      <c r="AB3" s="153"/>
      <c r="AC3" s="153"/>
      <c r="AD3" s="153"/>
      <c r="AE3" s="153"/>
      <c r="AG3" s="153" t="s">
        <v>135</v>
      </c>
      <c r="AH3" s="153"/>
      <c r="AI3" s="153"/>
      <c r="AJ3" s="153"/>
      <c r="AK3" s="153"/>
      <c r="AM3" s="153" t="s">
        <v>134</v>
      </c>
      <c r="AN3" s="153"/>
      <c r="AO3" s="153"/>
      <c r="AP3" s="153"/>
      <c r="AQ3" s="153"/>
      <c r="AS3" s="153" t="s">
        <v>133</v>
      </c>
      <c r="AT3" s="153"/>
      <c r="AU3" s="153"/>
      <c r="AV3" s="153"/>
      <c r="AW3" s="153"/>
      <c r="AY3" s="153" t="s">
        <v>212</v>
      </c>
      <c r="AZ3" s="153"/>
      <c r="BA3" s="153"/>
      <c r="BB3" s="153"/>
      <c r="BC3" s="153"/>
    </row>
    <row r="4" spans="1:55" ht="6.75" customHeight="1" x14ac:dyDescent="0.25"/>
    <row r="5" spans="1:55" x14ac:dyDescent="0.25">
      <c r="C5" s="1"/>
      <c r="D5" s="1"/>
      <c r="E5" s="1" t="s">
        <v>2</v>
      </c>
      <c r="F5" s="1"/>
      <c r="G5" s="1"/>
      <c r="H5" s="1"/>
      <c r="I5" s="1"/>
      <c r="J5" s="1"/>
      <c r="K5" s="1" t="s">
        <v>2</v>
      </c>
      <c r="L5" s="1"/>
      <c r="M5" s="1"/>
      <c r="N5" s="1"/>
      <c r="O5" s="1"/>
      <c r="P5" s="1"/>
      <c r="Q5" s="1" t="s">
        <v>2</v>
      </c>
      <c r="R5" s="1"/>
      <c r="S5" s="1"/>
      <c r="T5" s="1"/>
      <c r="U5" s="1"/>
      <c r="V5" s="1"/>
      <c r="W5" s="1" t="s">
        <v>2</v>
      </c>
      <c r="X5" s="1"/>
      <c r="Y5" s="1"/>
      <c r="Z5" s="1"/>
      <c r="AA5" s="1"/>
      <c r="AB5" s="1"/>
      <c r="AC5" s="1" t="s">
        <v>2</v>
      </c>
      <c r="AD5" s="1"/>
      <c r="AE5" s="1"/>
      <c r="AF5" s="1"/>
      <c r="AG5" s="1"/>
      <c r="AH5" s="1"/>
      <c r="AI5" s="1" t="s">
        <v>2</v>
      </c>
      <c r="AJ5" s="1"/>
      <c r="AK5" s="1"/>
      <c r="AL5" s="1"/>
      <c r="AM5" s="1"/>
      <c r="AN5" s="1"/>
      <c r="AO5" s="1" t="s">
        <v>2</v>
      </c>
      <c r="AP5" s="1"/>
      <c r="AQ5" s="1"/>
      <c r="AR5" s="1"/>
      <c r="AS5" s="1"/>
      <c r="AT5" s="1"/>
      <c r="AU5" s="1" t="s">
        <v>2</v>
      </c>
      <c r="AV5" s="1"/>
      <c r="AW5" s="1"/>
      <c r="AX5" s="1"/>
      <c r="AY5" s="1"/>
      <c r="AZ5" s="1"/>
      <c r="BA5" s="1" t="s">
        <v>2</v>
      </c>
      <c r="BB5" s="1"/>
      <c r="BC5" s="1"/>
    </row>
    <row r="6" spans="1:55" ht="17.25" x14ac:dyDescent="0.4">
      <c r="C6" s="2" t="s">
        <v>3</v>
      </c>
      <c r="D6" s="1"/>
      <c r="E6" s="2" t="s">
        <v>4</v>
      </c>
      <c r="F6" s="1"/>
      <c r="G6" s="2" t="s">
        <v>132</v>
      </c>
      <c r="H6" s="1"/>
      <c r="I6" s="2" t="s">
        <v>3</v>
      </c>
      <c r="J6" s="1"/>
      <c r="K6" s="2" t="s">
        <v>4</v>
      </c>
      <c r="L6" s="1"/>
      <c r="M6" s="2" t="s">
        <v>132</v>
      </c>
      <c r="N6" s="1"/>
      <c r="O6" s="2" t="s">
        <v>3</v>
      </c>
      <c r="P6" s="1"/>
      <c r="Q6" s="2" t="s">
        <v>4</v>
      </c>
      <c r="R6" s="1"/>
      <c r="S6" s="2" t="s">
        <v>132</v>
      </c>
      <c r="T6" s="1"/>
      <c r="U6" s="2" t="s">
        <v>3</v>
      </c>
      <c r="V6" s="1"/>
      <c r="W6" s="2" t="s">
        <v>4</v>
      </c>
      <c r="X6" s="1"/>
      <c r="Y6" s="2" t="s">
        <v>132</v>
      </c>
      <c r="Z6" s="1"/>
      <c r="AA6" s="2" t="s">
        <v>3</v>
      </c>
      <c r="AB6" s="1"/>
      <c r="AC6" s="2" t="s">
        <v>4</v>
      </c>
      <c r="AD6" s="1"/>
      <c r="AE6" s="2" t="s">
        <v>132</v>
      </c>
      <c r="AF6" s="1"/>
      <c r="AG6" s="2" t="s">
        <v>3</v>
      </c>
      <c r="AH6" s="1"/>
      <c r="AI6" s="2" t="s">
        <v>4</v>
      </c>
      <c r="AJ6" s="1"/>
      <c r="AK6" s="2" t="s">
        <v>132</v>
      </c>
      <c r="AL6" s="1"/>
      <c r="AM6" s="2" t="s">
        <v>3</v>
      </c>
      <c r="AN6" s="1"/>
      <c r="AO6" s="2" t="s">
        <v>4</v>
      </c>
      <c r="AP6" s="1"/>
      <c r="AQ6" s="2" t="s">
        <v>132</v>
      </c>
      <c r="AR6" s="1"/>
      <c r="AS6" s="2" t="s">
        <v>3</v>
      </c>
      <c r="AT6" s="1"/>
      <c r="AU6" s="2" t="s">
        <v>4</v>
      </c>
      <c r="AV6" s="1"/>
      <c r="AW6" s="2" t="s">
        <v>132</v>
      </c>
      <c r="AX6" s="1"/>
      <c r="AY6" s="2" t="s">
        <v>3</v>
      </c>
      <c r="AZ6" s="1"/>
      <c r="BA6" s="2" t="s">
        <v>4</v>
      </c>
      <c r="BB6" s="1"/>
      <c r="BC6" s="2" t="s">
        <v>132</v>
      </c>
    </row>
    <row r="7" spans="1:55" ht="15.75" x14ac:dyDescent="0.25">
      <c r="A7" s="59" t="s">
        <v>5</v>
      </c>
    </row>
    <row r="8" spans="1:55" x14ac:dyDescent="0.25">
      <c r="B8" t="s">
        <v>6</v>
      </c>
      <c r="C8" s="47">
        <v>4455</v>
      </c>
      <c r="D8" s="47"/>
      <c r="E8" s="47">
        <v>4455</v>
      </c>
      <c r="F8" s="47"/>
      <c r="G8" s="47">
        <f>E8-C8</f>
        <v>0</v>
      </c>
      <c r="H8" s="47"/>
      <c r="I8" s="47">
        <f>SUM(data!N18:N20)</f>
        <v>10365.84</v>
      </c>
      <c r="J8" s="47"/>
      <c r="K8" s="47">
        <v>10365.84</v>
      </c>
      <c r="L8" s="47"/>
      <c r="M8" s="47">
        <f>K8-I8</f>
        <v>0</v>
      </c>
      <c r="N8" s="47"/>
      <c r="O8" s="47">
        <f>SUM(data!N16:N17)</f>
        <v>6910.56</v>
      </c>
      <c r="P8" s="47"/>
      <c r="Q8" s="47">
        <f>3455.28*2</f>
        <v>6910.56</v>
      </c>
      <c r="R8" s="47"/>
      <c r="S8" s="47">
        <f>Q8-O8</f>
        <v>0</v>
      </c>
      <c r="T8" s="47"/>
      <c r="U8" s="47">
        <f>SUM(data!N14:N15)</f>
        <v>6910.56</v>
      </c>
      <c r="V8" s="47"/>
      <c r="W8" s="47">
        <f>3455.28*2</f>
        <v>6910.56</v>
      </c>
      <c r="X8" s="47"/>
      <c r="Y8" s="47">
        <f>W8-U8</f>
        <v>0</v>
      </c>
      <c r="Z8" s="47"/>
      <c r="AA8" s="47">
        <f>SUM(data!N12:N13)</f>
        <v>6910.56</v>
      </c>
      <c r="AB8" s="47"/>
      <c r="AC8" s="47">
        <f>3455.28*2</f>
        <v>6910.56</v>
      </c>
      <c r="AD8" s="47"/>
      <c r="AE8" s="47">
        <f>AC8-AA8</f>
        <v>0</v>
      </c>
      <c r="AF8" s="47"/>
      <c r="AG8" s="47">
        <f>SUM(data!N10:N11)</f>
        <v>6910.56</v>
      </c>
      <c r="AH8" s="47"/>
      <c r="AI8" s="47">
        <f>3455.28*2</f>
        <v>6910.56</v>
      </c>
      <c r="AJ8" s="47"/>
      <c r="AK8" s="47">
        <f>AI8-AG8</f>
        <v>0</v>
      </c>
      <c r="AL8" s="47"/>
      <c r="AM8" s="47">
        <f>SUM(data!N7:N9)</f>
        <v>10365.84</v>
      </c>
      <c r="AN8" s="47"/>
      <c r="AO8" s="47">
        <v>10365.84</v>
      </c>
      <c r="AP8" s="47"/>
      <c r="AQ8" s="47">
        <f>AO8-AM8</f>
        <v>0</v>
      </c>
      <c r="AR8" s="47"/>
      <c r="AS8" s="47">
        <f>SUM(data!N5:N6)</f>
        <v>6910.56</v>
      </c>
      <c r="AT8" s="47"/>
      <c r="AU8" s="47">
        <f>3455.28*2</f>
        <v>6910.56</v>
      </c>
      <c r="AV8" s="47"/>
      <c r="AW8" s="47">
        <f>AU8-AS8</f>
        <v>0</v>
      </c>
      <c r="AX8" s="47"/>
      <c r="AY8" s="47">
        <f>C8+I8+O8+U8+AA8+AG8+AM8+AS8</f>
        <v>59739.479999999996</v>
      </c>
      <c r="AZ8" s="47"/>
      <c r="BA8" s="47">
        <f>E8+K8+Q8+W8+AC8+AI8+AO8+AU8</f>
        <v>59739.479999999996</v>
      </c>
      <c r="BB8" s="47"/>
      <c r="BC8" s="47">
        <f>BA8-AY8</f>
        <v>0</v>
      </c>
    </row>
    <row r="9" spans="1:55" x14ac:dyDescent="0.25">
      <c r="B9" t="s">
        <v>7</v>
      </c>
      <c r="C9" s="47">
        <v>1300</v>
      </c>
      <c r="D9" s="47"/>
      <c r="E9" s="47">
        <v>1300</v>
      </c>
      <c r="F9" s="47"/>
      <c r="G9" s="47">
        <f t="shared" ref="G9:G10" si="0">E9-C9</f>
        <v>0</v>
      </c>
      <c r="H9" s="47"/>
      <c r="I9" s="47">
        <v>1300</v>
      </c>
      <c r="J9" s="47"/>
      <c r="K9" s="47">
        <v>1300</v>
      </c>
      <c r="L9" s="47"/>
      <c r="M9" s="47">
        <f t="shared" ref="M9:M10" si="1">K9-I9</f>
        <v>0</v>
      </c>
      <c r="N9" s="47"/>
      <c r="O9" s="47">
        <v>0</v>
      </c>
      <c r="P9" s="47"/>
      <c r="Q9" s="47">
        <v>0</v>
      </c>
      <c r="R9" s="47"/>
      <c r="S9" s="47">
        <f t="shared" ref="S9:S10" si="2">Q9-O9</f>
        <v>0</v>
      </c>
      <c r="T9" s="47"/>
      <c r="U9" s="47">
        <v>1250</v>
      </c>
      <c r="V9" s="47"/>
      <c r="W9" s="47">
        <v>1250</v>
      </c>
      <c r="X9" s="47"/>
      <c r="Y9" s="47">
        <f t="shared" ref="Y9:Y10" si="3">W9-U9</f>
        <v>0</v>
      </c>
      <c r="Z9" s="47"/>
      <c r="AA9" s="47">
        <v>1250</v>
      </c>
      <c r="AB9" s="47"/>
      <c r="AC9" s="47">
        <v>1250</v>
      </c>
      <c r="AD9" s="47"/>
      <c r="AE9" s="47">
        <f t="shared" ref="AE9:AE10" si="4">AC9-AA9</f>
        <v>0</v>
      </c>
      <c r="AF9" s="47"/>
      <c r="AG9" s="47">
        <v>1250</v>
      </c>
      <c r="AH9" s="47"/>
      <c r="AI9" s="50">
        <v>1250</v>
      </c>
      <c r="AJ9" s="47"/>
      <c r="AK9" s="47">
        <f t="shared" ref="AK9:AK10" si="5">AI9-AG9</f>
        <v>0</v>
      </c>
      <c r="AL9" s="47"/>
      <c r="AM9" s="47">
        <v>1250</v>
      </c>
      <c r="AN9" s="47"/>
      <c r="AO9" s="50">
        <v>1250</v>
      </c>
      <c r="AP9" s="47"/>
      <c r="AQ9" s="47">
        <f t="shared" ref="AQ9:AQ10" si="6">AO9-AM9</f>
        <v>0</v>
      </c>
      <c r="AR9" s="47"/>
      <c r="AS9" s="47">
        <v>1250</v>
      </c>
      <c r="AT9" s="47"/>
      <c r="AU9" s="50">
        <v>1250</v>
      </c>
      <c r="AV9" s="47"/>
      <c r="AW9" s="47">
        <f t="shared" ref="AW9:AW10" si="7">AU9-AS9</f>
        <v>0</v>
      </c>
      <c r="AX9" s="47"/>
      <c r="AY9" s="47">
        <f t="shared" ref="AY9:BA10" si="8">C9+I9+O9+U9+AA9+AG9+AM9+AS9</f>
        <v>8850</v>
      </c>
      <c r="AZ9" s="47"/>
      <c r="BA9" s="47">
        <f t="shared" si="8"/>
        <v>8850</v>
      </c>
      <c r="BB9" s="47"/>
      <c r="BC9" s="47">
        <f t="shared" ref="BC9:BC10" si="9">BA9-AY9</f>
        <v>0</v>
      </c>
    </row>
    <row r="10" spans="1:55" ht="17.25" x14ac:dyDescent="0.4">
      <c r="B10" t="s">
        <v>8</v>
      </c>
      <c r="C10" s="48">
        <v>274</v>
      </c>
      <c r="D10" s="47"/>
      <c r="E10" s="48">
        <v>274</v>
      </c>
      <c r="F10" s="47"/>
      <c r="G10" s="48">
        <f t="shared" si="0"/>
        <v>0</v>
      </c>
      <c r="H10" s="47"/>
      <c r="I10" s="48">
        <f>298+100+N("$100 for hurricane assessment to last through Dec")</f>
        <v>398</v>
      </c>
      <c r="J10" s="47"/>
      <c r="K10" s="48">
        <f>298+100+N("$100 for hurricane assessment to last through Dec")</f>
        <v>398</v>
      </c>
      <c r="L10" s="47"/>
      <c r="M10" s="48">
        <f t="shared" si="1"/>
        <v>0</v>
      </c>
      <c r="N10" s="47"/>
      <c r="O10" s="48">
        <f>298+100+N("$100 for hurricane assessment to last through Dec")</f>
        <v>398</v>
      </c>
      <c r="P10" s="47"/>
      <c r="Q10" s="48">
        <f>298+100+N("$100 for hurricane assessment to last through Dec")</f>
        <v>398</v>
      </c>
      <c r="R10" s="47"/>
      <c r="S10" s="48">
        <f t="shared" si="2"/>
        <v>0</v>
      </c>
      <c r="T10" s="47"/>
      <c r="U10" s="48">
        <f>298+100+N("$100 for hurricane assessment to last through Dec")</f>
        <v>398</v>
      </c>
      <c r="V10" s="47"/>
      <c r="W10" s="54">
        <f>298+100+N("$100 for hurricane assessment to last through Dec")</f>
        <v>398</v>
      </c>
      <c r="X10" s="47"/>
      <c r="Y10" s="48">
        <f t="shared" si="3"/>
        <v>0</v>
      </c>
      <c r="Z10" s="47"/>
      <c r="AA10" s="48">
        <f>298+100+N("$100 for hurricane assessment to last through Dec")</f>
        <v>398</v>
      </c>
      <c r="AB10" s="47"/>
      <c r="AC10" s="54">
        <f>298+100+N("$100 for hurricane assessment to last through Dec")</f>
        <v>398</v>
      </c>
      <c r="AD10" s="47"/>
      <c r="AE10" s="48">
        <f t="shared" si="4"/>
        <v>0</v>
      </c>
      <c r="AF10" s="47"/>
      <c r="AG10" s="48">
        <f>298+100+N("$100 for hurricane assessment to last through Dec")</f>
        <v>398</v>
      </c>
      <c r="AH10" s="47"/>
      <c r="AI10" s="54">
        <f>298+100+N("$100 for hurricane assessment to last through Dec")</f>
        <v>398</v>
      </c>
      <c r="AJ10" s="47"/>
      <c r="AK10" s="48">
        <f t="shared" si="5"/>
        <v>0</v>
      </c>
      <c r="AL10" s="47"/>
      <c r="AM10" s="48">
        <f>298+100+N("$100 for hurricane assessment to last through Dec")</f>
        <v>398</v>
      </c>
      <c r="AN10" s="47"/>
      <c r="AO10" s="54">
        <f>298+100+N("$100 for hurricane assessment to last through Dec")</f>
        <v>398</v>
      </c>
      <c r="AP10" s="47"/>
      <c r="AQ10" s="48">
        <f t="shared" si="6"/>
        <v>0</v>
      </c>
      <c r="AR10" s="47"/>
      <c r="AS10" s="48">
        <f>298</f>
        <v>298</v>
      </c>
      <c r="AT10" s="47"/>
      <c r="AU10" s="54">
        <f>298</f>
        <v>298</v>
      </c>
      <c r="AV10" s="47"/>
      <c r="AW10" s="48">
        <f t="shared" si="7"/>
        <v>0</v>
      </c>
      <c r="AX10" s="47"/>
      <c r="AY10" s="48">
        <f t="shared" si="8"/>
        <v>2960</v>
      </c>
      <c r="AZ10" s="47"/>
      <c r="BA10" s="48">
        <f t="shared" si="8"/>
        <v>2960</v>
      </c>
      <c r="BB10" s="47"/>
      <c r="BC10" s="48">
        <f t="shared" si="9"/>
        <v>0</v>
      </c>
    </row>
    <row r="11" spans="1:55" x14ac:dyDescent="0.25">
      <c r="B11" s="4" t="s">
        <v>9</v>
      </c>
      <c r="C11" s="49">
        <f>C8+C9-C10</f>
        <v>5481</v>
      </c>
      <c r="D11" s="49"/>
      <c r="E11" s="49">
        <f>E8+E9-E10</f>
        <v>5481</v>
      </c>
      <c r="F11" s="49"/>
      <c r="G11" s="49">
        <f>SUM(G8:G10)</f>
        <v>0</v>
      </c>
      <c r="H11" s="49"/>
      <c r="I11" s="49">
        <f>I8+I9-I10</f>
        <v>11267.84</v>
      </c>
      <c r="J11" s="49"/>
      <c r="K11" s="49">
        <f>K8+K9-K10</f>
        <v>11267.84</v>
      </c>
      <c r="L11" s="49"/>
      <c r="M11" s="49">
        <f>SUM(M8:M10)</f>
        <v>0</v>
      </c>
      <c r="N11" s="49"/>
      <c r="O11" s="49">
        <f>O8+O9-O10</f>
        <v>6512.56</v>
      </c>
      <c r="P11" s="49"/>
      <c r="Q11" s="49">
        <f>Q8+Q9-Q10</f>
        <v>6512.56</v>
      </c>
      <c r="R11" s="49"/>
      <c r="S11" s="49">
        <f>SUM(S8:S10)</f>
        <v>0</v>
      </c>
      <c r="T11" s="49"/>
      <c r="U11" s="49">
        <f>U8+U9-U10</f>
        <v>7762.56</v>
      </c>
      <c r="V11" s="49"/>
      <c r="W11" s="49">
        <f>W8+W9-W10</f>
        <v>7762.56</v>
      </c>
      <c r="X11" s="49"/>
      <c r="Y11" s="49">
        <f>SUM(Y8:Y10)</f>
        <v>0</v>
      </c>
      <c r="Z11" s="49"/>
      <c r="AA11" s="49">
        <f>AA8+AA9-AA10</f>
        <v>7762.56</v>
      </c>
      <c r="AB11" s="49"/>
      <c r="AC11" s="49">
        <f>AC8+AC9-AC10</f>
        <v>7762.56</v>
      </c>
      <c r="AD11" s="49"/>
      <c r="AE11" s="49">
        <f>SUM(AE8:AE10)</f>
        <v>0</v>
      </c>
      <c r="AF11" s="49"/>
      <c r="AG11" s="49">
        <f>AG8+AG9-AG10</f>
        <v>7762.56</v>
      </c>
      <c r="AH11" s="49"/>
      <c r="AI11" s="49">
        <f>AI8+AI9-AI10</f>
        <v>7762.56</v>
      </c>
      <c r="AJ11" s="49"/>
      <c r="AK11" s="49">
        <f>SUM(AK8:AK10)</f>
        <v>0</v>
      </c>
      <c r="AL11" s="49"/>
      <c r="AM11" s="49">
        <f>AM8+AM9-AM10</f>
        <v>11217.84</v>
      </c>
      <c r="AN11" s="49"/>
      <c r="AO11" s="49">
        <f>AO8+AO9-AO10</f>
        <v>11217.84</v>
      </c>
      <c r="AP11" s="49"/>
      <c r="AQ11" s="49">
        <f>SUM(AQ8:AQ10)</f>
        <v>0</v>
      </c>
      <c r="AR11" s="49"/>
      <c r="AS11" s="49">
        <f>AS8+AS9-AS10</f>
        <v>7862.56</v>
      </c>
      <c r="AT11" s="49"/>
      <c r="AU11" s="49">
        <f>AU8+AU9-AU10</f>
        <v>7862.56</v>
      </c>
      <c r="AV11" s="49"/>
      <c r="AW11" s="49">
        <f>SUM(AW8:AW10)</f>
        <v>0</v>
      </c>
      <c r="AX11" s="49"/>
      <c r="AY11" s="49">
        <f>AY8+AY9-AY10</f>
        <v>65629.48</v>
      </c>
      <c r="AZ11" s="49"/>
      <c r="BA11" s="49">
        <f>BA8+BA9-BA10</f>
        <v>65629.48</v>
      </c>
      <c r="BB11" s="49"/>
      <c r="BC11" s="49">
        <f>SUM(BC8:BC10)</f>
        <v>0</v>
      </c>
    </row>
    <row r="12" spans="1:55" x14ac:dyDescent="0.25"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</row>
    <row r="13" spans="1:55" ht="15.75" x14ac:dyDescent="0.25">
      <c r="A13" s="59" t="s">
        <v>10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</row>
    <row r="14" spans="1:55" x14ac:dyDescent="0.25">
      <c r="B14" s="55" t="s">
        <v>11</v>
      </c>
      <c r="C14" s="56">
        <v>828.15</v>
      </c>
      <c r="D14" s="56"/>
      <c r="E14" s="56">
        <v>828.15</v>
      </c>
      <c r="F14" s="56"/>
      <c r="G14" s="56">
        <f t="shared" ref="G14:G37" si="10">E14-C14</f>
        <v>0</v>
      </c>
      <c r="H14" s="47"/>
      <c r="I14" s="56">
        <v>828.15</v>
      </c>
      <c r="J14" s="56"/>
      <c r="K14" s="56">
        <f t="array" ref="K14">SUM(IF(Period="Jun",IF(Class=$B14,Amount)))</f>
        <v>828.15</v>
      </c>
      <c r="L14" s="56"/>
      <c r="M14" s="56">
        <f t="shared" ref="M14:M37" si="11">K14-I14</f>
        <v>0</v>
      </c>
      <c r="N14" s="47"/>
      <c r="O14" s="56">
        <v>828.15</v>
      </c>
      <c r="P14" s="56"/>
      <c r="Q14" s="56">
        <v>828.15</v>
      </c>
      <c r="R14" s="56"/>
      <c r="S14" s="56">
        <f t="shared" ref="S14:S37" si="12">Q14-O14</f>
        <v>0</v>
      </c>
      <c r="T14" s="47"/>
      <c r="U14" s="56">
        <v>828.15</v>
      </c>
      <c r="V14" s="56"/>
      <c r="W14" s="56">
        <v>828.15</v>
      </c>
      <c r="X14" s="56"/>
      <c r="Y14" s="56">
        <f t="shared" ref="Y14:Y37" si="13">W14-U14</f>
        <v>0</v>
      </c>
      <c r="Z14" s="47"/>
      <c r="AA14" s="56">
        <v>828.15</v>
      </c>
      <c r="AB14" s="56"/>
      <c r="AC14" s="57">
        <v>828.15</v>
      </c>
      <c r="AD14" s="56"/>
      <c r="AE14" s="56">
        <f t="shared" ref="AE14:AE37" si="14">AC14-AA14</f>
        <v>0</v>
      </c>
      <c r="AF14" s="47"/>
      <c r="AG14" s="56">
        <v>828.15</v>
      </c>
      <c r="AH14" s="56"/>
      <c r="AI14" s="57">
        <v>828.15</v>
      </c>
      <c r="AJ14" s="56"/>
      <c r="AK14" s="56">
        <f t="shared" ref="AK14:AK37" si="15">AI14-AG14</f>
        <v>0</v>
      </c>
      <c r="AL14" s="47"/>
      <c r="AM14" s="56">
        <v>828.15</v>
      </c>
      <c r="AN14" s="56"/>
      <c r="AO14" s="57">
        <v>828.15</v>
      </c>
      <c r="AP14" s="56"/>
      <c r="AQ14" s="56">
        <f t="shared" ref="AQ14:AQ37" si="16">AO14-AM14</f>
        <v>0</v>
      </c>
      <c r="AR14" s="47"/>
      <c r="AS14" s="56">
        <v>828.15</v>
      </c>
      <c r="AT14" s="56"/>
      <c r="AU14" s="57">
        <v>828.15</v>
      </c>
      <c r="AV14" s="56"/>
      <c r="AW14" s="56">
        <f t="shared" ref="AW14:AW37" si="17">AU14-AS14</f>
        <v>0</v>
      </c>
      <c r="AX14" s="47"/>
      <c r="AY14" s="56">
        <f t="shared" ref="AY14:AY37" si="18">C14+I14+O14+U14+AA14+AG14+AM14+AS14</f>
        <v>6625.1999999999989</v>
      </c>
      <c r="AZ14" s="56"/>
      <c r="BA14" s="56">
        <f t="shared" ref="BA14:BA37" si="19">E14+K14+Q14+W14+AC14+AI14+AO14+AU14</f>
        <v>6625.1999999999989</v>
      </c>
      <c r="BB14" s="56"/>
      <c r="BC14" s="56">
        <f t="shared" ref="BC14:BC37" si="20">BA14-AY14</f>
        <v>0</v>
      </c>
    </row>
    <row r="15" spans="1:55" x14ac:dyDescent="0.25">
      <c r="B15" s="55" t="s">
        <v>192</v>
      </c>
      <c r="C15" s="56">
        <v>437.54</v>
      </c>
      <c r="D15" s="56"/>
      <c r="E15" s="56">
        <v>437.54</v>
      </c>
      <c r="F15" s="56"/>
      <c r="G15" s="56">
        <f t="shared" si="10"/>
        <v>0</v>
      </c>
      <c r="H15" s="47"/>
      <c r="I15" s="56">
        <v>437.54</v>
      </c>
      <c r="J15" s="56"/>
      <c r="K15" s="56">
        <f t="array" ref="K15">SUM(IF(Period="May",IF(Class=$B15,Amount)))</f>
        <v>437.54</v>
      </c>
      <c r="L15" s="56"/>
      <c r="M15" s="56">
        <f t="shared" si="11"/>
        <v>0</v>
      </c>
      <c r="N15" s="47"/>
      <c r="O15" s="56">
        <v>437.54</v>
      </c>
      <c r="P15" s="56"/>
      <c r="Q15" s="56">
        <v>437.54</v>
      </c>
      <c r="R15" s="56"/>
      <c r="S15" s="56">
        <f t="shared" si="12"/>
        <v>0</v>
      </c>
      <c r="T15" s="47"/>
      <c r="U15" s="56">
        <v>437.54</v>
      </c>
      <c r="V15" s="56"/>
      <c r="W15" s="56">
        <v>437.54</v>
      </c>
      <c r="X15" s="56"/>
      <c r="Y15" s="56">
        <f t="shared" si="13"/>
        <v>0</v>
      </c>
      <c r="Z15" s="47"/>
      <c r="AA15" s="56">
        <v>437.54</v>
      </c>
      <c r="AB15" s="56"/>
      <c r="AC15" s="56">
        <v>437.54</v>
      </c>
      <c r="AD15" s="56"/>
      <c r="AE15" s="56">
        <f t="shared" si="14"/>
        <v>0</v>
      </c>
      <c r="AF15" s="47"/>
      <c r="AG15" s="56">
        <v>437.54</v>
      </c>
      <c r="AH15" s="56"/>
      <c r="AI15" s="57">
        <v>437.54</v>
      </c>
      <c r="AJ15" s="56"/>
      <c r="AK15" s="56">
        <f t="shared" si="15"/>
        <v>0</v>
      </c>
      <c r="AL15" s="47"/>
      <c r="AM15" s="56">
        <v>437.54</v>
      </c>
      <c r="AN15" s="56"/>
      <c r="AO15" s="57">
        <v>437.54</v>
      </c>
      <c r="AP15" s="56"/>
      <c r="AQ15" s="56">
        <f t="shared" si="16"/>
        <v>0</v>
      </c>
      <c r="AR15" s="47"/>
      <c r="AS15" s="56">
        <v>437.54</v>
      </c>
      <c r="AT15" s="56"/>
      <c r="AU15" s="57">
        <v>437.54</v>
      </c>
      <c r="AV15" s="56"/>
      <c r="AW15" s="56">
        <f t="shared" si="17"/>
        <v>0</v>
      </c>
      <c r="AX15" s="47"/>
      <c r="AY15" s="56">
        <f t="shared" si="18"/>
        <v>3500.32</v>
      </c>
      <c r="AZ15" s="56"/>
      <c r="BA15" s="56">
        <f t="shared" si="19"/>
        <v>3500.32</v>
      </c>
      <c r="BB15" s="56"/>
      <c r="BC15" s="56">
        <f t="shared" si="20"/>
        <v>0</v>
      </c>
    </row>
    <row r="16" spans="1:55" x14ac:dyDescent="0.25">
      <c r="B16" s="55" t="s">
        <v>12</v>
      </c>
      <c r="C16" s="56">
        <v>400</v>
      </c>
      <c r="D16" s="56"/>
      <c r="E16" s="56">
        <v>300</v>
      </c>
      <c r="F16" s="56"/>
      <c r="G16" s="56">
        <f t="shared" si="10"/>
        <v>-100</v>
      </c>
      <c r="H16" s="47"/>
      <c r="I16" s="56">
        <v>800</v>
      </c>
      <c r="J16" s="56"/>
      <c r="K16" s="56">
        <f t="array" ref="K16">SUM(IF(Period="Jun",IF(Class=$B16,Amount)))</f>
        <v>200</v>
      </c>
      <c r="L16" s="56"/>
      <c r="M16" s="56">
        <f t="shared" si="11"/>
        <v>-600</v>
      </c>
      <c r="N16" s="47"/>
      <c r="O16" s="56">
        <v>1100</v>
      </c>
      <c r="P16" s="56"/>
      <c r="Q16" s="56">
        <v>1100</v>
      </c>
      <c r="R16" s="56"/>
      <c r="S16" s="56">
        <f t="shared" si="12"/>
        <v>0</v>
      </c>
      <c r="T16" s="47"/>
      <c r="U16" s="56">
        <v>1100</v>
      </c>
      <c r="V16" s="56"/>
      <c r="W16" s="56">
        <v>1100</v>
      </c>
      <c r="X16" s="56"/>
      <c r="Y16" s="56">
        <f t="shared" si="13"/>
        <v>0</v>
      </c>
      <c r="Z16" s="47"/>
      <c r="AA16" s="56">
        <v>1100</v>
      </c>
      <c r="AB16" s="56"/>
      <c r="AC16" s="56">
        <v>1100</v>
      </c>
      <c r="AD16" s="56"/>
      <c r="AE16" s="56">
        <f t="shared" si="14"/>
        <v>0</v>
      </c>
      <c r="AF16" s="47"/>
      <c r="AG16" s="56">
        <v>1100</v>
      </c>
      <c r="AH16" s="56"/>
      <c r="AI16" s="57">
        <v>1100</v>
      </c>
      <c r="AJ16" s="56"/>
      <c r="AK16" s="56">
        <f t="shared" si="15"/>
        <v>0</v>
      </c>
      <c r="AL16" s="47"/>
      <c r="AM16" s="56">
        <v>1100</v>
      </c>
      <c r="AN16" s="56"/>
      <c r="AO16" s="57">
        <v>1100</v>
      </c>
      <c r="AP16" s="56"/>
      <c r="AQ16" s="56">
        <f t="shared" si="16"/>
        <v>0</v>
      </c>
      <c r="AR16" s="47"/>
      <c r="AS16" s="56">
        <v>1100</v>
      </c>
      <c r="AT16" s="56"/>
      <c r="AU16" s="57">
        <v>1195</v>
      </c>
      <c r="AV16" s="56"/>
      <c r="AW16" s="56">
        <f t="shared" si="17"/>
        <v>95</v>
      </c>
      <c r="AX16" s="47"/>
      <c r="AY16" s="56">
        <f t="shared" si="18"/>
        <v>7800</v>
      </c>
      <c r="AZ16" s="56"/>
      <c r="BA16" s="56">
        <f t="shared" si="19"/>
        <v>7195</v>
      </c>
      <c r="BB16" s="56"/>
      <c r="BC16" s="56">
        <f t="shared" si="20"/>
        <v>-605</v>
      </c>
    </row>
    <row r="17" spans="2:55" x14ac:dyDescent="0.25">
      <c r="B17" s="55" t="s">
        <v>13</v>
      </c>
      <c r="C17" s="56">
        <v>0</v>
      </c>
      <c r="D17" s="56"/>
      <c r="E17" s="56">
        <v>0</v>
      </c>
      <c r="F17" s="56"/>
      <c r="G17" s="56">
        <f t="shared" si="10"/>
        <v>0</v>
      </c>
      <c r="H17" s="47"/>
      <c r="I17" s="56">
        <v>546.5</v>
      </c>
      <c r="J17" s="56"/>
      <c r="K17" s="56">
        <f t="array" ref="K17">SUM(IF(Period="Jun",IF(Class=$B17,Amount)))</f>
        <v>545</v>
      </c>
      <c r="L17" s="56"/>
      <c r="M17" s="56">
        <f t="shared" si="11"/>
        <v>-1.5</v>
      </c>
      <c r="N17" s="47"/>
      <c r="O17" s="56">
        <v>0</v>
      </c>
      <c r="P17" s="56"/>
      <c r="Q17" s="56">
        <v>0</v>
      </c>
      <c r="R17" s="56"/>
      <c r="S17" s="56">
        <f t="shared" si="12"/>
        <v>0</v>
      </c>
      <c r="T17" s="47"/>
      <c r="U17" s="56">
        <v>0</v>
      </c>
      <c r="V17" s="56"/>
      <c r="W17" s="56">
        <v>0</v>
      </c>
      <c r="X17" s="56"/>
      <c r="Y17" s="56">
        <f t="shared" si="13"/>
        <v>0</v>
      </c>
      <c r="Z17" s="47"/>
      <c r="AA17" s="56">
        <v>0</v>
      </c>
      <c r="AB17" s="56"/>
      <c r="AC17" s="56">
        <v>0</v>
      </c>
      <c r="AD17" s="56"/>
      <c r="AE17" s="56">
        <f t="shared" si="14"/>
        <v>0</v>
      </c>
      <c r="AF17" s="47"/>
      <c r="AG17" s="56">
        <v>0</v>
      </c>
      <c r="AH17" s="56"/>
      <c r="AI17" s="56">
        <v>0</v>
      </c>
      <c r="AJ17" s="56"/>
      <c r="AK17" s="56">
        <f t="shared" si="15"/>
        <v>0</v>
      </c>
      <c r="AL17" s="47"/>
      <c r="AM17" s="56">
        <v>0</v>
      </c>
      <c r="AN17" s="56"/>
      <c r="AO17" s="56">
        <v>0</v>
      </c>
      <c r="AP17" s="56"/>
      <c r="AQ17" s="56">
        <f t="shared" si="16"/>
        <v>0</v>
      </c>
      <c r="AR17" s="47"/>
      <c r="AS17" s="56">
        <v>546.5</v>
      </c>
      <c r="AT17" s="56"/>
      <c r="AU17" s="57">
        <v>0</v>
      </c>
      <c r="AV17" s="56"/>
      <c r="AW17" s="56">
        <f t="shared" si="17"/>
        <v>-546.5</v>
      </c>
      <c r="AX17" s="47"/>
      <c r="AY17" s="56">
        <f t="shared" si="18"/>
        <v>1093</v>
      </c>
      <c r="AZ17" s="56"/>
      <c r="BA17" s="56">
        <f t="shared" si="19"/>
        <v>545</v>
      </c>
      <c r="BB17" s="56"/>
      <c r="BC17" s="56">
        <f t="shared" si="20"/>
        <v>-548</v>
      </c>
    </row>
    <row r="18" spans="2:55" x14ac:dyDescent="0.25">
      <c r="B18" s="55" t="s">
        <v>14</v>
      </c>
      <c r="C18" s="56">
        <v>0</v>
      </c>
      <c r="D18" s="56"/>
      <c r="E18" s="56">
        <v>0</v>
      </c>
      <c r="F18" s="56"/>
      <c r="G18" s="56">
        <f t="shared" si="10"/>
        <v>0</v>
      </c>
      <c r="H18" s="47"/>
      <c r="I18" s="56">
        <v>47</v>
      </c>
      <c r="J18" s="56"/>
      <c r="K18" s="56">
        <f t="array" ref="K18">SUM(IF(Period="Jun",IF(Class=$B18,Amount)))</f>
        <v>47</v>
      </c>
      <c r="L18" s="56"/>
      <c r="M18" s="56">
        <f t="shared" si="11"/>
        <v>0</v>
      </c>
      <c r="N18" s="47"/>
      <c r="O18" s="56">
        <v>47</v>
      </c>
      <c r="P18" s="56"/>
      <c r="Q18" s="56">
        <f t="array" ref="Q18">SUM(IF(Period="Jul",IF(Class=$B18,Amount)))</f>
        <v>47</v>
      </c>
      <c r="R18" s="56"/>
      <c r="S18" s="56">
        <f t="shared" si="12"/>
        <v>0</v>
      </c>
      <c r="T18" s="47"/>
      <c r="U18" s="56">
        <v>47</v>
      </c>
      <c r="V18" s="56"/>
      <c r="W18" s="57">
        <v>0</v>
      </c>
      <c r="X18" s="56"/>
      <c r="Y18" s="56">
        <f t="shared" si="13"/>
        <v>-47</v>
      </c>
      <c r="Z18" s="47"/>
      <c r="AA18" s="56">
        <v>151</v>
      </c>
      <c r="AB18" s="56"/>
      <c r="AC18" s="57">
        <v>0</v>
      </c>
      <c r="AD18" s="56"/>
      <c r="AE18" s="56">
        <f t="shared" si="14"/>
        <v>-151</v>
      </c>
      <c r="AF18" s="47"/>
      <c r="AG18" s="56">
        <v>47</v>
      </c>
      <c r="AH18" s="56"/>
      <c r="AI18" s="57">
        <v>0</v>
      </c>
      <c r="AJ18" s="56"/>
      <c r="AK18" s="56">
        <f t="shared" si="15"/>
        <v>-47</v>
      </c>
      <c r="AL18" s="47"/>
      <c r="AM18" s="56">
        <v>47</v>
      </c>
      <c r="AN18" s="56"/>
      <c r="AO18" s="57">
        <v>0</v>
      </c>
      <c r="AP18" s="56"/>
      <c r="AQ18" s="56">
        <f t="shared" si="16"/>
        <v>-47</v>
      </c>
      <c r="AR18" s="47"/>
      <c r="AS18" s="56">
        <v>47</v>
      </c>
      <c r="AT18" s="56"/>
      <c r="AU18" s="57">
        <v>0</v>
      </c>
      <c r="AV18" s="56"/>
      <c r="AW18" s="56">
        <f t="shared" si="17"/>
        <v>-47</v>
      </c>
      <c r="AX18" s="47"/>
      <c r="AY18" s="56">
        <f t="shared" si="18"/>
        <v>433</v>
      </c>
      <c r="AZ18" s="56"/>
      <c r="BA18" s="56">
        <f t="shared" si="19"/>
        <v>94</v>
      </c>
      <c r="BB18" s="56"/>
      <c r="BC18" s="56">
        <f t="shared" si="20"/>
        <v>-339</v>
      </c>
    </row>
    <row r="19" spans="2:55" x14ac:dyDescent="0.25">
      <c r="B19" s="55" t="s">
        <v>15</v>
      </c>
      <c r="C19" s="56">
        <v>250</v>
      </c>
      <c r="D19" s="56"/>
      <c r="E19" s="56">
        <v>288.95999999999998</v>
      </c>
      <c r="F19" s="56"/>
      <c r="G19" s="56">
        <f t="shared" si="10"/>
        <v>38.95999999999998</v>
      </c>
      <c r="H19" s="47"/>
      <c r="I19" s="56">
        <v>250</v>
      </c>
      <c r="J19" s="56"/>
      <c r="K19" s="56">
        <f t="array" ref="K19">SUM(IF(Period="Jun",IF(Class=$B19,Amount)))</f>
        <v>202.97000000000006</v>
      </c>
      <c r="L19" s="56"/>
      <c r="M19" s="56">
        <f t="shared" si="11"/>
        <v>-47.029999999999944</v>
      </c>
      <c r="N19" s="47"/>
      <c r="O19" s="56">
        <v>250</v>
      </c>
      <c r="P19" s="56"/>
      <c r="Q19" s="56">
        <f t="array" ref="Q19">SUM(IF(Period="Jul",IF(Class=$B19,Amount)))</f>
        <v>66.03</v>
      </c>
      <c r="R19" s="56"/>
      <c r="S19" s="56">
        <f t="shared" si="12"/>
        <v>-183.97</v>
      </c>
      <c r="T19" s="47"/>
      <c r="U19" s="56">
        <v>250</v>
      </c>
      <c r="V19" s="56"/>
      <c r="W19" s="57">
        <v>0</v>
      </c>
      <c r="X19" s="56"/>
      <c r="Y19" s="56">
        <f t="shared" si="13"/>
        <v>-250</v>
      </c>
      <c r="Z19" s="47"/>
      <c r="AA19" s="56">
        <v>250</v>
      </c>
      <c r="AB19" s="56"/>
      <c r="AC19" s="57">
        <v>0</v>
      </c>
      <c r="AD19" s="56"/>
      <c r="AE19" s="56">
        <f t="shared" si="14"/>
        <v>-250</v>
      </c>
      <c r="AF19" s="47"/>
      <c r="AG19" s="56">
        <v>250</v>
      </c>
      <c r="AH19" s="56"/>
      <c r="AI19" s="57">
        <v>0</v>
      </c>
      <c r="AJ19" s="56"/>
      <c r="AK19" s="56">
        <f t="shared" si="15"/>
        <v>-250</v>
      </c>
      <c r="AL19" s="47"/>
      <c r="AM19" s="56">
        <v>250</v>
      </c>
      <c r="AN19" s="56"/>
      <c r="AO19" s="57">
        <v>0</v>
      </c>
      <c r="AP19" s="56"/>
      <c r="AQ19" s="56">
        <f t="shared" si="16"/>
        <v>-250</v>
      </c>
      <c r="AR19" s="47"/>
      <c r="AS19" s="56">
        <v>250</v>
      </c>
      <c r="AT19" s="56"/>
      <c r="AU19" s="57">
        <v>0</v>
      </c>
      <c r="AV19" s="56"/>
      <c r="AW19" s="56">
        <f t="shared" si="17"/>
        <v>-250</v>
      </c>
      <c r="AX19" s="47"/>
      <c r="AY19" s="56">
        <f t="shared" si="18"/>
        <v>2000</v>
      </c>
      <c r="AZ19" s="56"/>
      <c r="BA19" s="56">
        <f t="shared" si="19"/>
        <v>557.96</v>
      </c>
      <c r="BB19" s="56"/>
      <c r="BC19" s="56">
        <f t="shared" si="20"/>
        <v>-1442.04</v>
      </c>
    </row>
    <row r="20" spans="2:55" x14ac:dyDescent="0.25">
      <c r="B20" s="55" t="s">
        <v>16</v>
      </c>
      <c r="C20" s="56">
        <v>200</v>
      </c>
      <c r="D20" s="56"/>
      <c r="E20" s="56">
        <v>151.9</v>
      </c>
      <c r="F20" s="56"/>
      <c r="G20" s="56">
        <f t="shared" si="10"/>
        <v>-48.099999999999994</v>
      </c>
      <c r="H20" s="47"/>
      <c r="I20" s="56">
        <v>200</v>
      </c>
      <c r="J20" s="56"/>
      <c r="K20" s="56">
        <f t="array" ref="K20">SUM(IF(Period="Jun",IF(Class=$B20,Amount)))</f>
        <v>172.74</v>
      </c>
      <c r="L20" s="56"/>
      <c r="M20" s="56">
        <f t="shared" si="11"/>
        <v>-27.259999999999991</v>
      </c>
      <c r="N20" s="47"/>
      <c r="O20" s="56">
        <v>175</v>
      </c>
      <c r="P20" s="56"/>
      <c r="Q20" s="56">
        <f t="array" ref="Q20">SUM(IF(Period="Jul",IF(Class=$B20,Amount)))</f>
        <v>0</v>
      </c>
      <c r="R20" s="56"/>
      <c r="S20" s="56">
        <f t="shared" si="12"/>
        <v>-175</v>
      </c>
      <c r="T20" s="47"/>
      <c r="U20" s="56">
        <v>175</v>
      </c>
      <c r="V20" s="56"/>
      <c r="W20" s="57">
        <v>0</v>
      </c>
      <c r="X20" s="56"/>
      <c r="Y20" s="56">
        <f t="shared" si="13"/>
        <v>-175</v>
      </c>
      <c r="Z20" s="47"/>
      <c r="AA20" s="56">
        <v>175</v>
      </c>
      <c r="AB20" s="56"/>
      <c r="AC20" s="57">
        <v>0</v>
      </c>
      <c r="AD20" s="56"/>
      <c r="AE20" s="56">
        <f t="shared" si="14"/>
        <v>-175</v>
      </c>
      <c r="AF20" s="47"/>
      <c r="AG20" s="56">
        <v>175</v>
      </c>
      <c r="AH20" s="56"/>
      <c r="AI20" s="57">
        <v>0</v>
      </c>
      <c r="AJ20" s="56"/>
      <c r="AK20" s="56">
        <f t="shared" si="15"/>
        <v>-175</v>
      </c>
      <c r="AL20" s="47"/>
      <c r="AM20" s="56">
        <v>175</v>
      </c>
      <c r="AN20" s="56"/>
      <c r="AO20" s="57">
        <v>0</v>
      </c>
      <c r="AP20" s="56"/>
      <c r="AQ20" s="56">
        <f t="shared" si="16"/>
        <v>-175</v>
      </c>
      <c r="AR20" s="47"/>
      <c r="AS20" s="56">
        <v>175</v>
      </c>
      <c r="AT20" s="56"/>
      <c r="AU20" s="57">
        <v>0</v>
      </c>
      <c r="AV20" s="56"/>
      <c r="AW20" s="56">
        <f t="shared" si="17"/>
        <v>-175</v>
      </c>
      <c r="AX20" s="47"/>
      <c r="AY20" s="56">
        <f t="shared" si="18"/>
        <v>1450</v>
      </c>
      <c r="AZ20" s="56"/>
      <c r="BA20" s="56">
        <f t="shared" si="19"/>
        <v>324.64</v>
      </c>
      <c r="BB20" s="56"/>
      <c r="BC20" s="56">
        <f t="shared" si="20"/>
        <v>-1125.3600000000001</v>
      </c>
    </row>
    <row r="21" spans="2:55" x14ac:dyDescent="0.25">
      <c r="B21" s="55" t="s">
        <v>198</v>
      </c>
      <c r="C21" s="56">
        <v>22.75</v>
      </c>
      <c r="D21" s="56"/>
      <c r="E21" s="56">
        <v>46</v>
      </c>
      <c r="F21" s="56"/>
      <c r="G21" s="56">
        <f t="shared" si="10"/>
        <v>23.25</v>
      </c>
      <c r="H21" s="47"/>
      <c r="I21" s="56">
        <v>23</v>
      </c>
      <c r="J21" s="56"/>
      <c r="K21" s="56">
        <f t="array" ref="K21">SUM(IF(Period="Jun",IF(Class=$B21,Amount)))</f>
        <v>23</v>
      </c>
      <c r="L21" s="56"/>
      <c r="M21" s="56">
        <f t="shared" si="11"/>
        <v>0</v>
      </c>
      <c r="N21" s="47"/>
      <c r="O21" s="56">
        <v>23</v>
      </c>
      <c r="P21" s="56"/>
      <c r="Q21" s="56">
        <f t="array" ref="Q21">SUM(IF(Period="Jul",IF(Class=$B21,Amount)))</f>
        <v>0</v>
      </c>
      <c r="R21" s="56"/>
      <c r="S21" s="56">
        <f t="shared" si="12"/>
        <v>-23</v>
      </c>
      <c r="T21" s="47"/>
      <c r="U21" s="56">
        <v>23</v>
      </c>
      <c r="V21" s="56"/>
      <c r="W21" s="57">
        <v>0</v>
      </c>
      <c r="X21" s="56"/>
      <c r="Y21" s="56">
        <f t="shared" si="13"/>
        <v>-23</v>
      </c>
      <c r="Z21" s="47"/>
      <c r="AA21" s="56">
        <v>23</v>
      </c>
      <c r="AB21" s="56"/>
      <c r="AC21" s="57">
        <v>0</v>
      </c>
      <c r="AD21" s="56"/>
      <c r="AE21" s="56">
        <f t="shared" si="14"/>
        <v>-23</v>
      </c>
      <c r="AF21" s="47"/>
      <c r="AG21" s="56">
        <v>23</v>
      </c>
      <c r="AH21" s="56"/>
      <c r="AI21" s="57">
        <v>0</v>
      </c>
      <c r="AJ21" s="56"/>
      <c r="AK21" s="56">
        <f t="shared" si="15"/>
        <v>-23</v>
      </c>
      <c r="AL21" s="47"/>
      <c r="AM21" s="56">
        <v>23</v>
      </c>
      <c r="AN21" s="56"/>
      <c r="AO21" s="57">
        <v>0</v>
      </c>
      <c r="AP21" s="56"/>
      <c r="AQ21" s="56">
        <f t="shared" si="16"/>
        <v>-23</v>
      </c>
      <c r="AR21" s="47"/>
      <c r="AS21" s="56">
        <v>23</v>
      </c>
      <c r="AT21" s="56"/>
      <c r="AU21" s="57">
        <v>0</v>
      </c>
      <c r="AV21" s="56"/>
      <c r="AW21" s="56">
        <f t="shared" si="17"/>
        <v>-23</v>
      </c>
      <c r="AX21" s="47"/>
      <c r="AY21" s="56">
        <f t="shared" si="18"/>
        <v>183.75</v>
      </c>
      <c r="AZ21" s="56"/>
      <c r="BA21" s="56">
        <f t="shared" si="19"/>
        <v>69</v>
      </c>
      <c r="BB21" s="56"/>
      <c r="BC21" s="56">
        <f t="shared" si="20"/>
        <v>-114.75</v>
      </c>
    </row>
    <row r="22" spans="2:55" x14ac:dyDescent="0.25">
      <c r="B22" s="55" t="s">
        <v>17</v>
      </c>
      <c r="C22" s="56">
        <v>250</v>
      </c>
      <c r="D22" s="56"/>
      <c r="E22" s="56">
        <v>422.43</v>
      </c>
      <c r="F22" s="56"/>
      <c r="G22" s="56">
        <f t="shared" si="10"/>
        <v>172.43</v>
      </c>
      <c r="H22" s="47"/>
      <c r="I22" s="56">
        <v>250</v>
      </c>
      <c r="J22" s="56"/>
      <c r="K22" s="56">
        <f t="array" ref="K22">SUM(IF(Period="Jun",IF(Class=$B22,Amount)))</f>
        <v>404.23999999999995</v>
      </c>
      <c r="L22" s="56"/>
      <c r="M22" s="56">
        <f t="shared" si="11"/>
        <v>154.23999999999995</v>
      </c>
      <c r="N22" s="47"/>
      <c r="O22" s="56">
        <v>250</v>
      </c>
      <c r="P22" s="56"/>
      <c r="Q22" s="56">
        <f t="array" ref="Q22">SUM(IF(Period="Jul",IF(Class=$B22,Amount)))</f>
        <v>5</v>
      </c>
      <c r="R22" s="56"/>
      <c r="S22" s="56">
        <f t="shared" si="12"/>
        <v>-245</v>
      </c>
      <c r="T22" s="47"/>
      <c r="U22" s="56">
        <v>250</v>
      </c>
      <c r="V22" s="56"/>
      <c r="W22" s="57">
        <v>0</v>
      </c>
      <c r="X22" s="56"/>
      <c r="Y22" s="56">
        <f t="shared" si="13"/>
        <v>-250</v>
      </c>
      <c r="Z22" s="47"/>
      <c r="AA22" s="56">
        <v>250</v>
      </c>
      <c r="AB22" s="56"/>
      <c r="AC22" s="57">
        <v>0</v>
      </c>
      <c r="AD22" s="56"/>
      <c r="AE22" s="56">
        <f t="shared" si="14"/>
        <v>-250</v>
      </c>
      <c r="AF22" s="47"/>
      <c r="AG22" s="56">
        <v>250</v>
      </c>
      <c r="AH22" s="56"/>
      <c r="AI22" s="57">
        <v>0</v>
      </c>
      <c r="AJ22" s="56"/>
      <c r="AK22" s="56">
        <f t="shared" si="15"/>
        <v>-250</v>
      </c>
      <c r="AL22" s="47"/>
      <c r="AM22" s="56">
        <v>250</v>
      </c>
      <c r="AN22" s="56"/>
      <c r="AO22" s="57">
        <v>0</v>
      </c>
      <c r="AP22" s="56"/>
      <c r="AQ22" s="56">
        <f t="shared" si="16"/>
        <v>-250</v>
      </c>
      <c r="AR22" s="47"/>
      <c r="AS22" s="56">
        <v>250</v>
      </c>
      <c r="AT22" s="56"/>
      <c r="AU22" s="57">
        <v>0</v>
      </c>
      <c r="AV22" s="56"/>
      <c r="AW22" s="56">
        <f t="shared" si="17"/>
        <v>-250</v>
      </c>
      <c r="AX22" s="47"/>
      <c r="AY22" s="56">
        <f t="shared" si="18"/>
        <v>2000</v>
      </c>
      <c r="AZ22" s="56"/>
      <c r="BA22" s="56">
        <f t="shared" si="19"/>
        <v>831.67</v>
      </c>
      <c r="BB22" s="56"/>
      <c r="BC22" s="56">
        <f t="shared" si="20"/>
        <v>-1168.33</v>
      </c>
    </row>
    <row r="23" spans="2:55" x14ac:dyDescent="0.25">
      <c r="B23" s="55" t="s">
        <v>18</v>
      </c>
      <c r="C23" s="56">
        <v>50</v>
      </c>
      <c r="D23" s="56"/>
      <c r="E23" s="56">
        <v>23.5</v>
      </c>
      <c r="F23" s="56"/>
      <c r="G23" s="56">
        <f t="shared" si="10"/>
        <v>-26.5</v>
      </c>
      <c r="H23" s="47"/>
      <c r="I23" s="56">
        <v>50</v>
      </c>
      <c r="J23" s="56"/>
      <c r="K23" s="56">
        <f t="array" ref="K23">SUM(IF(Period="Jun",IF(Class=$B23,Amount)))</f>
        <v>48.68</v>
      </c>
      <c r="L23" s="56"/>
      <c r="M23" s="56">
        <f t="shared" si="11"/>
        <v>-1.3200000000000003</v>
      </c>
      <c r="N23" s="47"/>
      <c r="O23" s="56">
        <v>50</v>
      </c>
      <c r="P23" s="56"/>
      <c r="Q23" s="56">
        <f t="array" ref="Q23">SUM(IF(Period="Jul",IF(Class=$B23,Amount)))</f>
        <v>0</v>
      </c>
      <c r="R23" s="56"/>
      <c r="S23" s="56">
        <f t="shared" si="12"/>
        <v>-50</v>
      </c>
      <c r="T23" s="47"/>
      <c r="U23" s="56">
        <v>50</v>
      </c>
      <c r="V23" s="56"/>
      <c r="W23" s="57">
        <v>0</v>
      </c>
      <c r="X23" s="56"/>
      <c r="Y23" s="56">
        <f t="shared" si="13"/>
        <v>-50</v>
      </c>
      <c r="Z23" s="47"/>
      <c r="AA23" s="56">
        <v>50</v>
      </c>
      <c r="AB23" s="56"/>
      <c r="AC23" s="57">
        <v>0</v>
      </c>
      <c r="AD23" s="56"/>
      <c r="AE23" s="56">
        <f t="shared" si="14"/>
        <v>-50</v>
      </c>
      <c r="AF23" s="47"/>
      <c r="AG23" s="56">
        <v>50</v>
      </c>
      <c r="AH23" s="56"/>
      <c r="AI23" s="57">
        <v>0</v>
      </c>
      <c r="AJ23" s="56"/>
      <c r="AK23" s="56">
        <f t="shared" si="15"/>
        <v>-50</v>
      </c>
      <c r="AL23" s="47"/>
      <c r="AM23" s="56">
        <v>50</v>
      </c>
      <c r="AN23" s="56"/>
      <c r="AO23" s="57">
        <v>0</v>
      </c>
      <c r="AP23" s="56"/>
      <c r="AQ23" s="56">
        <f t="shared" si="16"/>
        <v>-50</v>
      </c>
      <c r="AR23" s="47"/>
      <c r="AS23" s="56">
        <v>50</v>
      </c>
      <c r="AT23" s="56"/>
      <c r="AU23" s="57">
        <v>0</v>
      </c>
      <c r="AV23" s="56"/>
      <c r="AW23" s="56">
        <f t="shared" si="17"/>
        <v>-50</v>
      </c>
      <c r="AX23" s="47"/>
      <c r="AY23" s="56">
        <f t="shared" si="18"/>
        <v>400</v>
      </c>
      <c r="AZ23" s="56"/>
      <c r="BA23" s="56">
        <f t="shared" si="19"/>
        <v>72.180000000000007</v>
      </c>
      <c r="BB23" s="56"/>
      <c r="BC23" s="56">
        <f t="shared" si="20"/>
        <v>-327.82</v>
      </c>
    </row>
    <row r="24" spans="2:55" x14ac:dyDescent="0.25">
      <c r="B24" s="55" t="s">
        <v>19</v>
      </c>
      <c r="C24" s="56">
        <v>40</v>
      </c>
      <c r="D24" s="56"/>
      <c r="E24" s="56">
        <v>56.94</v>
      </c>
      <c r="F24" s="56"/>
      <c r="G24" s="56">
        <f t="shared" si="10"/>
        <v>16.939999999999998</v>
      </c>
      <c r="H24" s="47"/>
      <c r="I24" s="56">
        <v>40</v>
      </c>
      <c r="J24" s="56"/>
      <c r="K24" s="56">
        <f t="array" ref="K24">SUM(IF(Period="Jun",IF(Class=$B24,Amount)))</f>
        <v>82.99</v>
      </c>
      <c r="L24" s="56"/>
      <c r="M24" s="56">
        <f t="shared" si="11"/>
        <v>42.989999999999995</v>
      </c>
      <c r="N24" s="47"/>
      <c r="O24" s="56">
        <v>40</v>
      </c>
      <c r="P24" s="56"/>
      <c r="Q24" s="56">
        <f t="array" ref="Q24">SUM(IF(Period="Jul",IF(Class=$B24,Amount)))</f>
        <v>4.2300000000000004</v>
      </c>
      <c r="R24" s="56"/>
      <c r="S24" s="56">
        <f t="shared" si="12"/>
        <v>-35.769999999999996</v>
      </c>
      <c r="T24" s="47"/>
      <c r="U24" s="56">
        <v>40</v>
      </c>
      <c r="V24" s="56"/>
      <c r="W24" s="57">
        <v>0</v>
      </c>
      <c r="X24" s="56"/>
      <c r="Y24" s="56">
        <f t="shared" si="13"/>
        <v>-40</v>
      </c>
      <c r="Z24" s="47"/>
      <c r="AA24" s="56">
        <v>40</v>
      </c>
      <c r="AB24" s="56"/>
      <c r="AC24" s="57">
        <v>0</v>
      </c>
      <c r="AD24" s="56"/>
      <c r="AE24" s="56">
        <f t="shared" si="14"/>
        <v>-40</v>
      </c>
      <c r="AF24" s="47"/>
      <c r="AG24" s="56">
        <v>40</v>
      </c>
      <c r="AH24" s="56"/>
      <c r="AI24" s="57">
        <v>0</v>
      </c>
      <c r="AJ24" s="56"/>
      <c r="AK24" s="56">
        <f t="shared" si="15"/>
        <v>-40</v>
      </c>
      <c r="AL24" s="47"/>
      <c r="AM24" s="56">
        <v>40</v>
      </c>
      <c r="AN24" s="56"/>
      <c r="AO24" s="57">
        <v>0</v>
      </c>
      <c r="AP24" s="56"/>
      <c r="AQ24" s="56">
        <f t="shared" si="16"/>
        <v>-40</v>
      </c>
      <c r="AR24" s="47"/>
      <c r="AS24" s="56">
        <v>40</v>
      </c>
      <c r="AT24" s="56"/>
      <c r="AU24" s="57">
        <v>0</v>
      </c>
      <c r="AV24" s="56"/>
      <c r="AW24" s="56">
        <f t="shared" si="17"/>
        <v>-40</v>
      </c>
      <c r="AX24" s="47"/>
      <c r="AY24" s="56">
        <f t="shared" si="18"/>
        <v>320</v>
      </c>
      <c r="AZ24" s="56"/>
      <c r="BA24" s="56">
        <f t="shared" si="19"/>
        <v>144.16</v>
      </c>
      <c r="BB24" s="56"/>
      <c r="BC24" s="56">
        <f t="shared" si="20"/>
        <v>-175.84</v>
      </c>
    </row>
    <row r="25" spans="2:55" x14ac:dyDescent="0.25">
      <c r="B25" s="55" t="s">
        <v>20</v>
      </c>
      <c r="C25" s="56">
        <v>300</v>
      </c>
      <c r="D25" s="56"/>
      <c r="E25" s="56">
        <v>197.43</v>
      </c>
      <c r="F25" s="56"/>
      <c r="G25" s="56">
        <f t="shared" si="10"/>
        <v>-102.57</v>
      </c>
      <c r="H25" s="47"/>
      <c r="I25" s="56">
        <v>200</v>
      </c>
      <c r="J25" s="56"/>
      <c r="K25" s="56">
        <f t="array" ref="K25">SUM(IF(Period="Jun",IF(Class=$B25,Amount)))</f>
        <v>1813.3400000000001</v>
      </c>
      <c r="L25" s="56"/>
      <c r="M25" s="56">
        <f t="shared" si="11"/>
        <v>1613.3400000000001</v>
      </c>
      <c r="N25" s="47"/>
      <c r="O25" s="79">
        <f>200+437+200</f>
        <v>837</v>
      </c>
      <c r="P25" s="56"/>
      <c r="Q25" s="56">
        <f t="array" ref="Q25">SUM(IF(Period="Jul",IF(Class=$B25,Amount)))</f>
        <v>269.8599999999999</v>
      </c>
      <c r="R25" s="56"/>
      <c r="S25" s="56">
        <f t="shared" si="12"/>
        <v>-567.1400000000001</v>
      </c>
      <c r="T25" s="47"/>
      <c r="U25" s="56">
        <v>200</v>
      </c>
      <c r="V25" s="56"/>
      <c r="W25" s="57">
        <v>0</v>
      </c>
      <c r="X25" s="56"/>
      <c r="Y25" s="56">
        <f t="shared" si="13"/>
        <v>-200</v>
      </c>
      <c r="Z25" s="47"/>
      <c r="AA25" s="56">
        <v>200</v>
      </c>
      <c r="AB25" s="56"/>
      <c r="AC25" s="57">
        <v>300</v>
      </c>
      <c r="AD25" s="56"/>
      <c r="AE25" s="56">
        <f t="shared" si="14"/>
        <v>100</v>
      </c>
      <c r="AF25" s="47"/>
      <c r="AG25" s="56">
        <v>200</v>
      </c>
      <c r="AH25" s="56"/>
      <c r="AI25" s="57">
        <v>800</v>
      </c>
      <c r="AJ25" s="56"/>
      <c r="AK25" s="56">
        <f t="shared" si="15"/>
        <v>600</v>
      </c>
      <c r="AL25" s="47"/>
      <c r="AM25" s="56">
        <v>200</v>
      </c>
      <c r="AN25" s="56"/>
      <c r="AO25" s="57">
        <v>0</v>
      </c>
      <c r="AP25" s="56"/>
      <c r="AQ25" s="56">
        <f t="shared" si="16"/>
        <v>-200</v>
      </c>
      <c r="AR25" s="47"/>
      <c r="AS25" s="56">
        <v>200</v>
      </c>
      <c r="AT25" s="56"/>
      <c r="AU25" s="57">
        <v>0</v>
      </c>
      <c r="AV25" s="56"/>
      <c r="AW25" s="56">
        <f t="shared" si="17"/>
        <v>-200</v>
      </c>
      <c r="AX25" s="47"/>
      <c r="AY25" s="56">
        <f t="shared" si="18"/>
        <v>2337</v>
      </c>
      <c r="AZ25" s="56"/>
      <c r="BA25" s="56">
        <f t="shared" si="19"/>
        <v>3380.63</v>
      </c>
      <c r="BB25" s="56"/>
      <c r="BC25" s="56">
        <f t="shared" si="20"/>
        <v>1043.6300000000001</v>
      </c>
    </row>
    <row r="26" spans="2:55" x14ac:dyDescent="0.25">
      <c r="B26" s="55" t="s">
        <v>21</v>
      </c>
      <c r="C26" s="56">
        <v>278</v>
      </c>
      <c r="D26" s="56"/>
      <c r="E26" s="56">
        <v>460.25</v>
      </c>
      <c r="F26" s="56"/>
      <c r="G26" s="56">
        <f t="shared" si="10"/>
        <v>182.25</v>
      </c>
      <c r="H26" s="47"/>
      <c r="I26" s="56">
        <v>100</v>
      </c>
      <c r="J26" s="56"/>
      <c r="K26" s="56">
        <f t="array" ref="K26">SUM(IF(Period="Jun",IF(Class="Sam/house",Amount)))</f>
        <v>194.45</v>
      </c>
      <c r="L26" s="56"/>
      <c r="M26" s="56">
        <f t="shared" si="11"/>
        <v>94.449999999999989</v>
      </c>
      <c r="N26" s="47"/>
      <c r="O26" s="56">
        <v>100</v>
      </c>
      <c r="P26" s="56"/>
      <c r="Q26" s="56">
        <f t="array" ref="Q26">SUM(IF(Period="Jul",IF(Class=$B26,Amount)))</f>
        <v>0</v>
      </c>
      <c r="R26" s="56"/>
      <c r="S26" s="56">
        <f t="shared" si="12"/>
        <v>-100</v>
      </c>
      <c r="T26" s="47"/>
      <c r="U26" s="56">
        <v>100</v>
      </c>
      <c r="V26" s="56"/>
      <c r="W26" s="57">
        <v>0</v>
      </c>
      <c r="X26" s="56"/>
      <c r="Y26" s="56">
        <f t="shared" si="13"/>
        <v>-100</v>
      </c>
      <c r="Z26" s="47"/>
      <c r="AA26" s="56">
        <v>100</v>
      </c>
      <c r="AB26" s="56"/>
      <c r="AC26" s="57">
        <v>0</v>
      </c>
      <c r="AD26" s="56"/>
      <c r="AE26" s="56">
        <f t="shared" si="14"/>
        <v>-100</v>
      </c>
      <c r="AF26" s="47"/>
      <c r="AG26" s="56">
        <v>100</v>
      </c>
      <c r="AH26" s="56"/>
      <c r="AI26" s="57">
        <v>0</v>
      </c>
      <c r="AJ26" s="56"/>
      <c r="AK26" s="56">
        <f t="shared" si="15"/>
        <v>-100</v>
      </c>
      <c r="AL26" s="47"/>
      <c r="AM26" s="56">
        <v>100</v>
      </c>
      <c r="AN26" s="56"/>
      <c r="AO26" s="57">
        <v>0</v>
      </c>
      <c r="AP26" s="56"/>
      <c r="AQ26" s="56">
        <f t="shared" si="16"/>
        <v>-100</v>
      </c>
      <c r="AR26" s="47"/>
      <c r="AS26" s="56">
        <v>100</v>
      </c>
      <c r="AT26" s="56"/>
      <c r="AU26" s="57">
        <v>0</v>
      </c>
      <c r="AV26" s="56"/>
      <c r="AW26" s="56">
        <f t="shared" si="17"/>
        <v>-100</v>
      </c>
      <c r="AX26" s="47"/>
      <c r="AY26" s="56">
        <f t="shared" si="18"/>
        <v>978</v>
      </c>
      <c r="AZ26" s="56"/>
      <c r="BA26" s="56">
        <f t="shared" si="19"/>
        <v>654.70000000000005</v>
      </c>
      <c r="BB26" s="56"/>
      <c r="BC26" s="56">
        <f t="shared" si="20"/>
        <v>-323.29999999999995</v>
      </c>
    </row>
    <row r="27" spans="2:55" x14ac:dyDescent="0.25">
      <c r="B27" s="55" t="s">
        <v>22</v>
      </c>
      <c r="C27" s="56">
        <v>0</v>
      </c>
      <c r="D27" s="56"/>
      <c r="E27" s="56">
        <v>0</v>
      </c>
      <c r="F27" s="56"/>
      <c r="G27" s="56">
        <f t="shared" si="10"/>
        <v>0</v>
      </c>
      <c r="H27" s="47"/>
      <c r="I27" s="56">
        <v>500</v>
      </c>
      <c r="J27" s="56"/>
      <c r="K27" s="56">
        <f t="array" ref="K27">SUM(IF(Period="Jun",IF(Class=$B27,Amount)))</f>
        <v>0</v>
      </c>
      <c r="L27" s="56"/>
      <c r="M27" s="56">
        <f t="shared" si="11"/>
        <v>-500</v>
      </c>
      <c r="N27" s="47"/>
      <c r="O27" s="56">
        <v>0</v>
      </c>
      <c r="P27" s="56"/>
      <c r="Q27" s="56">
        <f t="array" ref="Q27">SUM(IF(Period="Jul",IF(Class=$B27,Amount)))</f>
        <v>0</v>
      </c>
      <c r="R27" s="56"/>
      <c r="S27" s="56">
        <f t="shared" si="12"/>
        <v>0</v>
      </c>
      <c r="T27" s="47"/>
      <c r="U27" s="86">
        <v>500</v>
      </c>
      <c r="V27" s="56"/>
      <c r="W27" s="57">
        <v>0</v>
      </c>
      <c r="X27" s="56"/>
      <c r="Y27" s="56">
        <f t="shared" si="13"/>
        <v>-500</v>
      </c>
      <c r="Z27" s="47"/>
      <c r="AA27" s="56">
        <v>0</v>
      </c>
      <c r="AB27" s="56"/>
      <c r="AC27" s="57">
        <v>0</v>
      </c>
      <c r="AD27" s="56"/>
      <c r="AE27" s="56">
        <f t="shared" si="14"/>
        <v>0</v>
      </c>
      <c r="AF27" s="47"/>
      <c r="AG27" s="56">
        <v>500</v>
      </c>
      <c r="AH27" s="56"/>
      <c r="AI27" s="57">
        <v>0</v>
      </c>
      <c r="AJ27" s="56"/>
      <c r="AK27" s="56">
        <f t="shared" si="15"/>
        <v>-500</v>
      </c>
      <c r="AL27" s="47"/>
      <c r="AM27" s="56">
        <v>500</v>
      </c>
      <c r="AN27" s="56"/>
      <c r="AO27" s="57">
        <v>0</v>
      </c>
      <c r="AP27" s="56"/>
      <c r="AQ27" s="56">
        <f t="shared" si="16"/>
        <v>-500</v>
      </c>
      <c r="AR27" s="47"/>
      <c r="AS27" s="56">
        <v>500</v>
      </c>
      <c r="AT27" s="56"/>
      <c r="AU27" s="57">
        <v>0</v>
      </c>
      <c r="AV27" s="56"/>
      <c r="AW27" s="56">
        <f t="shared" si="17"/>
        <v>-500</v>
      </c>
      <c r="AX27" s="47"/>
      <c r="AY27" s="56">
        <f t="shared" si="18"/>
        <v>2500</v>
      </c>
      <c r="AZ27" s="56"/>
      <c r="BA27" s="56">
        <f t="shared" si="19"/>
        <v>0</v>
      </c>
      <c r="BB27" s="56"/>
      <c r="BC27" s="56">
        <f t="shared" si="20"/>
        <v>-2500</v>
      </c>
    </row>
    <row r="28" spans="2:55" x14ac:dyDescent="0.25">
      <c r="B28" s="55" t="s">
        <v>23</v>
      </c>
      <c r="C28" s="56">
        <v>0</v>
      </c>
      <c r="D28" s="56"/>
      <c r="E28" s="56">
        <v>0</v>
      </c>
      <c r="F28" s="56"/>
      <c r="G28" s="56">
        <f t="shared" si="10"/>
        <v>0</v>
      </c>
      <c r="H28" s="47"/>
      <c r="I28" s="56">
        <v>350</v>
      </c>
      <c r="J28" s="56"/>
      <c r="K28" s="56">
        <f t="array" ref="K28">SUM(IF(Period="Jun",IF(Class=$B28,Amount)))</f>
        <v>0</v>
      </c>
      <c r="L28" s="56"/>
      <c r="M28" s="56">
        <f t="shared" si="11"/>
        <v>-350</v>
      </c>
      <c r="N28" s="47"/>
      <c r="O28" s="56">
        <v>0</v>
      </c>
      <c r="P28" s="56"/>
      <c r="Q28" s="56">
        <f t="array" ref="Q28">SUM(IF(Period="Jul",IF(Class=$B28,Amount)))</f>
        <v>0</v>
      </c>
      <c r="R28" s="56"/>
      <c r="S28" s="56">
        <f t="shared" si="12"/>
        <v>0</v>
      </c>
      <c r="T28" s="47"/>
      <c r="U28" s="86">
        <v>350</v>
      </c>
      <c r="V28" s="56"/>
      <c r="W28" s="57">
        <v>0</v>
      </c>
      <c r="X28" s="56"/>
      <c r="Y28" s="56">
        <f t="shared" si="13"/>
        <v>-350</v>
      </c>
      <c r="Z28" s="47"/>
      <c r="AA28" s="56">
        <v>0</v>
      </c>
      <c r="AB28" s="56"/>
      <c r="AC28" s="57">
        <v>0</v>
      </c>
      <c r="AD28" s="56"/>
      <c r="AE28" s="56">
        <f t="shared" si="14"/>
        <v>0</v>
      </c>
      <c r="AF28" s="47"/>
      <c r="AG28" s="56">
        <v>350</v>
      </c>
      <c r="AH28" s="56"/>
      <c r="AI28" s="57">
        <v>0</v>
      </c>
      <c r="AJ28" s="56"/>
      <c r="AK28" s="56">
        <f t="shared" si="15"/>
        <v>-350</v>
      </c>
      <c r="AL28" s="47"/>
      <c r="AM28" s="56">
        <v>350</v>
      </c>
      <c r="AN28" s="56"/>
      <c r="AO28" s="57">
        <v>0</v>
      </c>
      <c r="AP28" s="56"/>
      <c r="AQ28" s="56">
        <f t="shared" si="16"/>
        <v>-350</v>
      </c>
      <c r="AR28" s="47"/>
      <c r="AS28" s="56">
        <v>350</v>
      </c>
      <c r="AT28" s="56"/>
      <c r="AU28" s="57">
        <v>0</v>
      </c>
      <c r="AV28" s="56"/>
      <c r="AW28" s="56">
        <f t="shared" si="17"/>
        <v>-350</v>
      </c>
      <c r="AX28" s="47"/>
      <c r="AY28" s="56">
        <f t="shared" si="18"/>
        <v>1750</v>
      </c>
      <c r="AZ28" s="56"/>
      <c r="BA28" s="56">
        <f t="shared" si="19"/>
        <v>0</v>
      </c>
      <c r="BB28" s="56"/>
      <c r="BC28" s="56">
        <f t="shared" si="20"/>
        <v>-1750</v>
      </c>
    </row>
    <row r="29" spans="2:55" x14ac:dyDescent="0.25">
      <c r="B29" s="55" t="s">
        <v>138</v>
      </c>
      <c r="C29" s="56">
        <v>21.98</v>
      </c>
      <c r="D29" s="56"/>
      <c r="E29" s="56">
        <f>21.98+22.99</f>
        <v>44.97</v>
      </c>
      <c r="F29" s="56"/>
      <c r="G29" s="56">
        <f t="shared" si="10"/>
        <v>22.99</v>
      </c>
      <c r="H29" s="47"/>
      <c r="I29" s="56">
        <v>21.98</v>
      </c>
      <c r="J29" s="56"/>
      <c r="K29" s="56">
        <f t="array" ref="K29">SUM(IF(Period="Jun",IF(Class=$B29,Amount)))</f>
        <v>0</v>
      </c>
      <c r="L29" s="56"/>
      <c r="M29" s="56">
        <f t="shared" si="11"/>
        <v>-21.98</v>
      </c>
      <c r="N29" s="47"/>
      <c r="O29" s="56">
        <v>21.98</v>
      </c>
      <c r="P29" s="56"/>
      <c r="Q29" s="56">
        <f t="array" ref="Q29">SUM(IF(Period="Jul",IF(Class=$B29,Amount)))</f>
        <v>21.98</v>
      </c>
      <c r="R29" s="56"/>
      <c r="S29" s="56">
        <f t="shared" si="12"/>
        <v>0</v>
      </c>
      <c r="T29" s="47"/>
      <c r="U29" s="56">
        <v>21.98</v>
      </c>
      <c r="V29" s="56"/>
      <c r="W29" s="57">
        <v>0</v>
      </c>
      <c r="X29" s="56"/>
      <c r="Y29" s="56">
        <f t="shared" si="13"/>
        <v>-21.98</v>
      </c>
      <c r="Z29" s="47"/>
      <c r="AA29" s="56">
        <v>21.98</v>
      </c>
      <c r="AB29" s="56"/>
      <c r="AC29" s="57">
        <v>0</v>
      </c>
      <c r="AD29" s="56"/>
      <c r="AE29" s="56">
        <f t="shared" si="14"/>
        <v>-21.98</v>
      </c>
      <c r="AF29" s="47"/>
      <c r="AG29" s="56">
        <v>21.98</v>
      </c>
      <c r="AH29" s="56"/>
      <c r="AI29" s="57">
        <v>0</v>
      </c>
      <c r="AJ29" s="56"/>
      <c r="AK29" s="56">
        <f t="shared" si="15"/>
        <v>-21.98</v>
      </c>
      <c r="AL29" s="47"/>
      <c r="AM29" s="56">
        <v>21.98</v>
      </c>
      <c r="AN29" s="56"/>
      <c r="AO29" s="57">
        <v>0</v>
      </c>
      <c r="AP29" s="56"/>
      <c r="AQ29" s="56">
        <f t="shared" si="16"/>
        <v>-21.98</v>
      </c>
      <c r="AR29" s="47"/>
      <c r="AS29" s="56">
        <v>21.98</v>
      </c>
      <c r="AT29" s="56"/>
      <c r="AU29" s="57">
        <v>0</v>
      </c>
      <c r="AV29" s="56"/>
      <c r="AW29" s="56">
        <f t="shared" si="17"/>
        <v>-21.98</v>
      </c>
      <c r="AX29" s="47"/>
      <c r="AY29" s="56">
        <f t="shared" si="18"/>
        <v>175.83999999999997</v>
      </c>
      <c r="AZ29" s="56"/>
      <c r="BA29" s="56">
        <f t="shared" si="19"/>
        <v>66.95</v>
      </c>
      <c r="BB29" s="56"/>
      <c r="BC29" s="56">
        <f t="shared" si="20"/>
        <v>-108.88999999999997</v>
      </c>
    </row>
    <row r="30" spans="2:55" x14ac:dyDescent="0.25">
      <c r="B30" t="s">
        <v>329</v>
      </c>
      <c r="C30" s="47">
        <v>0</v>
      </c>
      <c r="D30" s="47"/>
      <c r="E30" s="47">
        <v>0</v>
      </c>
      <c r="F30" s="47"/>
      <c r="G30" s="47">
        <f t="shared" si="10"/>
        <v>0</v>
      </c>
      <c r="H30" s="47"/>
      <c r="I30" s="56">
        <v>0</v>
      </c>
      <c r="J30" s="56"/>
      <c r="K30" s="56">
        <f t="array" ref="K30">SUM(IF(Period="Jun",IF(Class=$B30,Amount)))</f>
        <v>0</v>
      </c>
      <c r="L30" s="56"/>
      <c r="M30" s="56">
        <f t="shared" ref="M30:M31" si="21">K30-I30</f>
        <v>0</v>
      </c>
      <c r="N30" s="47"/>
      <c r="O30" s="56">
        <v>65</v>
      </c>
      <c r="P30" s="56"/>
      <c r="Q30" s="56">
        <f t="array" ref="Q30">SUM(IF(Period="Jul",IF(Class=$B30,Amount)))</f>
        <v>0</v>
      </c>
      <c r="R30" s="56"/>
      <c r="S30" s="56">
        <f t="shared" ref="S30:S31" si="22">Q30-O30</f>
        <v>-65</v>
      </c>
      <c r="T30" s="47"/>
      <c r="U30" s="84">
        <v>40</v>
      </c>
      <c r="V30" s="56"/>
      <c r="W30" s="57">
        <v>0</v>
      </c>
      <c r="X30" s="56"/>
      <c r="Y30" s="56">
        <f t="shared" si="13"/>
        <v>-40</v>
      </c>
      <c r="Z30" s="47"/>
      <c r="AA30" s="84">
        <v>40</v>
      </c>
      <c r="AB30" s="56"/>
      <c r="AC30" s="57">
        <v>0</v>
      </c>
      <c r="AD30" s="56"/>
      <c r="AE30" s="56">
        <f t="shared" si="14"/>
        <v>-40</v>
      </c>
      <c r="AF30" s="47"/>
      <c r="AG30" s="84">
        <v>40</v>
      </c>
      <c r="AH30" s="56"/>
      <c r="AI30" s="57">
        <v>0</v>
      </c>
      <c r="AJ30" s="56"/>
      <c r="AK30" s="56">
        <f t="shared" si="15"/>
        <v>-40</v>
      </c>
      <c r="AL30" s="47"/>
      <c r="AM30" s="84">
        <v>40</v>
      </c>
      <c r="AN30" s="56"/>
      <c r="AO30" s="57">
        <v>0</v>
      </c>
      <c r="AP30" s="56"/>
      <c r="AQ30" s="56">
        <f t="shared" si="16"/>
        <v>-40</v>
      </c>
      <c r="AR30" s="47"/>
      <c r="AS30" s="84">
        <v>40</v>
      </c>
      <c r="AT30" s="56"/>
      <c r="AU30" s="57">
        <v>0</v>
      </c>
      <c r="AV30" s="56"/>
      <c r="AW30" s="56">
        <f t="shared" si="17"/>
        <v>-40</v>
      </c>
      <c r="AX30" s="47"/>
      <c r="AY30" s="56">
        <f t="shared" ref="AY30:AY31" si="23">C30+I30+O30+U30+AA30+AG30+AM30+AS30</f>
        <v>265</v>
      </c>
      <c r="AZ30" s="56"/>
      <c r="BA30" s="56">
        <f t="shared" ref="BA30:BA31" si="24">E30+K30+Q30+W30+AC30+AI30+AO30+AU30</f>
        <v>0</v>
      </c>
      <c r="BB30" s="56"/>
      <c r="BC30" s="56">
        <f t="shared" ref="BC30:BC31" si="25">BA30-AY30</f>
        <v>-265</v>
      </c>
    </row>
    <row r="31" spans="2:55" x14ac:dyDescent="0.25">
      <c r="B31" s="6" t="s">
        <v>333</v>
      </c>
      <c r="C31" s="47">
        <v>0</v>
      </c>
      <c r="D31" s="47"/>
      <c r="E31" s="47">
        <v>0</v>
      </c>
      <c r="F31" s="47"/>
      <c r="G31" s="47">
        <f t="shared" ref="G31" si="26">E31-C31</f>
        <v>0</v>
      </c>
      <c r="H31" s="47"/>
      <c r="I31" s="56">
        <v>0</v>
      </c>
      <c r="J31" s="56"/>
      <c r="K31" s="56">
        <f t="array" ref="K31">SUM(IF(Period="Jun",IF(Class=$B31,Amount)))</f>
        <v>0</v>
      </c>
      <c r="L31" s="56"/>
      <c r="M31" s="56">
        <f t="shared" si="21"/>
        <v>0</v>
      </c>
      <c r="N31" s="47"/>
      <c r="O31" s="56">
        <v>0</v>
      </c>
      <c r="P31" s="56"/>
      <c r="Q31" s="56">
        <f t="array" ref="Q31">SUM(IF(Period="Jul",IF(Class=$B31,Amount)))</f>
        <v>0</v>
      </c>
      <c r="R31" s="56"/>
      <c r="S31" s="56">
        <f t="shared" si="22"/>
        <v>0</v>
      </c>
      <c r="T31" s="47"/>
      <c r="U31" s="84">
        <v>39.99</v>
      </c>
      <c r="V31" s="56"/>
      <c r="W31" s="57">
        <v>0</v>
      </c>
      <c r="X31" s="56"/>
      <c r="Y31" s="56">
        <f t="shared" si="13"/>
        <v>-39.99</v>
      </c>
      <c r="Z31" s="47"/>
      <c r="AA31" s="84">
        <v>39.99</v>
      </c>
      <c r="AB31" s="56"/>
      <c r="AC31" s="57">
        <v>0</v>
      </c>
      <c r="AD31" s="56"/>
      <c r="AE31" s="56">
        <f t="shared" si="14"/>
        <v>-39.99</v>
      </c>
      <c r="AF31" s="47"/>
      <c r="AG31" s="84">
        <v>39.99</v>
      </c>
      <c r="AH31" s="56"/>
      <c r="AI31" s="57">
        <v>0</v>
      </c>
      <c r="AJ31" s="56"/>
      <c r="AK31" s="56">
        <f t="shared" si="15"/>
        <v>-39.99</v>
      </c>
      <c r="AL31" s="47"/>
      <c r="AM31" s="84">
        <v>39.99</v>
      </c>
      <c r="AN31" s="56"/>
      <c r="AO31" s="57">
        <v>0</v>
      </c>
      <c r="AP31" s="56"/>
      <c r="AQ31" s="56">
        <f t="shared" si="16"/>
        <v>-39.99</v>
      </c>
      <c r="AR31" s="47"/>
      <c r="AS31" s="84">
        <v>39.99</v>
      </c>
      <c r="AT31" s="56"/>
      <c r="AU31" s="57">
        <v>0</v>
      </c>
      <c r="AV31" s="56"/>
      <c r="AW31" s="56">
        <f t="shared" si="17"/>
        <v>-39.99</v>
      </c>
      <c r="AX31" s="47"/>
      <c r="AY31" s="56">
        <f t="shared" si="23"/>
        <v>199.95000000000002</v>
      </c>
      <c r="AZ31" s="56"/>
      <c r="BA31" s="56">
        <f t="shared" si="24"/>
        <v>0</v>
      </c>
      <c r="BB31" s="56"/>
      <c r="BC31" s="56">
        <f t="shared" si="25"/>
        <v>-199.95000000000002</v>
      </c>
    </row>
    <row r="32" spans="2:55" x14ac:dyDescent="0.25">
      <c r="B32" s="6" t="s">
        <v>506</v>
      </c>
      <c r="C32" s="47">
        <v>0</v>
      </c>
      <c r="D32" s="47"/>
      <c r="E32" s="47">
        <v>0</v>
      </c>
      <c r="F32" s="47"/>
      <c r="G32" s="47">
        <f t="shared" ref="G32" si="27">E32-C32</f>
        <v>0</v>
      </c>
      <c r="H32" s="47"/>
      <c r="I32" s="56">
        <v>0</v>
      </c>
      <c r="J32" s="56"/>
      <c r="K32" s="56">
        <f t="array" ref="K32">SUM(IF(Period="Jun",IF(Class=$B32,Amount)))</f>
        <v>0</v>
      </c>
      <c r="L32" s="56"/>
      <c r="M32" s="56">
        <f t="shared" ref="M32" si="28">K32-I32</f>
        <v>0</v>
      </c>
      <c r="N32" s="47"/>
      <c r="O32" s="56">
        <v>0</v>
      </c>
      <c r="P32" s="56"/>
      <c r="Q32" s="56">
        <f t="array" ref="Q32">SUM(IF(Period="Jul",IF(Class=$B32,Amount)))</f>
        <v>0</v>
      </c>
      <c r="R32" s="56"/>
      <c r="S32" s="56">
        <f t="shared" ref="S32" si="29">Q32-O32</f>
        <v>0</v>
      </c>
      <c r="T32" s="47"/>
      <c r="U32" s="84">
        <v>0</v>
      </c>
      <c r="V32" s="56"/>
      <c r="W32" s="57">
        <v>0</v>
      </c>
      <c r="X32" s="56"/>
      <c r="Y32" s="56">
        <f t="shared" ref="Y32" si="30">W32-U32</f>
        <v>0</v>
      </c>
      <c r="Z32" s="47"/>
      <c r="AA32" s="84">
        <v>65</v>
      </c>
      <c r="AB32" s="56"/>
      <c r="AC32" s="57">
        <v>0</v>
      </c>
      <c r="AD32" s="56"/>
      <c r="AE32" s="56">
        <f t="shared" ref="AE32" si="31">AC32-AA32</f>
        <v>-65</v>
      </c>
      <c r="AF32" s="47"/>
      <c r="AG32" s="84">
        <v>39.99</v>
      </c>
      <c r="AH32" s="56"/>
      <c r="AI32" s="57">
        <v>0</v>
      </c>
      <c r="AJ32" s="56"/>
      <c r="AK32" s="56">
        <f t="shared" ref="AK32" si="32">AI32-AG32</f>
        <v>-39.99</v>
      </c>
      <c r="AL32" s="47"/>
      <c r="AM32" s="84">
        <v>39.99</v>
      </c>
      <c r="AN32" s="56"/>
      <c r="AO32" s="57">
        <v>0</v>
      </c>
      <c r="AP32" s="56"/>
      <c r="AQ32" s="56">
        <f t="shared" ref="AQ32" si="33">AO32-AM32</f>
        <v>-39.99</v>
      </c>
      <c r="AR32" s="47"/>
      <c r="AS32" s="84">
        <v>39.99</v>
      </c>
      <c r="AT32" s="56"/>
      <c r="AU32" s="57">
        <v>0</v>
      </c>
      <c r="AV32" s="56"/>
      <c r="AW32" s="56">
        <f t="shared" ref="AW32" si="34">AU32-AS32</f>
        <v>-39.99</v>
      </c>
      <c r="AX32" s="47"/>
      <c r="AY32" s="56">
        <f t="shared" ref="AY32" si="35">C32+I32+O32+U32+AA32+AG32+AM32+AS32</f>
        <v>184.97000000000003</v>
      </c>
      <c r="AZ32" s="56"/>
      <c r="BA32" s="56">
        <f t="shared" ref="BA32" si="36">E32+K32+Q32+W32+AC32+AI32+AO32+AU32</f>
        <v>0</v>
      </c>
      <c r="BB32" s="56"/>
      <c r="BC32" s="56">
        <f t="shared" ref="BC32" si="37">BA32-AY32</f>
        <v>-184.97000000000003</v>
      </c>
    </row>
    <row r="33" spans="1:55" x14ac:dyDescent="0.25">
      <c r="B33" s="6" t="s">
        <v>507</v>
      </c>
      <c r="C33" s="47">
        <v>0</v>
      </c>
      <c r="D33" s="47"/>
      <c r="E33" s="47">
        <v>0</v>
      </c>
      <c r="F33" s="47"/>
      <c r="G33" s="47">
        <f t="shared" ref="G33" si="38">E33-C33</f>
        <v>0</v>
      </c>
      <c r="H33" s="47"/>
      <c r="I33" s="56">
        <v>0</v>
      </c>
      <c r="J33" s="56"/>
      <c r="K33" s="56">
        <f t="array" ref="K33">SUM(IF(Period="Jun",IF(Class=$B33,Amount)))</f>
        <v>0</v>
      </c>
      <c r="L33" s="56"/>
      <c r="M33" s="56">
        <f t="shared" ref="M33" si="39">K33-I33</f>
        <v>0</v>
      </c>
      <c r="N33" s="47"/>
      <c r="O33" s="56">
        <v>0</v>
      </c>
      <c r="P33" s="56"/>
      <c r="Q33" s="56">
        <f t="array" ref="Q33">SUM(IF(Period="Jul",IF(Class=$B33,Amount)))</f>
        <v>0</v>
      </c>
      <c r="R33" s="56"/>
      <c r="S33" s="56">
        <f t="shared" ref="S33" si="40">Q33-O33</f>
        <v>0</v>
      </c>
      <c r="T33" s="47"/>
      <c r="U33" s="84">
        <v>0</v>
      </c>
      <c r="V33" s="56"/>
      <c r="W33" s="57">
        <v>0</v>
      </c>
      <c r="X33" s="56"/>
      <c r="Y33" s="56">
        <f t="shared" ref="Y33" si="41">W33-U33</f>
        <v>0</v>
      </c>
      <c r="Z33" s="47"/>
      <c r="AA33" s="84">
        <f>57+9</f>
        <v>66</v>
      </c>
      <c r="AB33" s="56"/>
      <c r="AC33" s="57">
        <v>0</v>
      </c>
      <c r="AD33" s="56"/>
      <c r="AE33" s="56">
        <f t="shared" ref="AE33" si="42">AC33-AA33</f>
        <v>-66</v>
      </c>
      <c r="AF33" s="47"/>
      <c r="AG33" s="84">
        <v>39.99</v>
      </c>
      <c r="AH33" s="56"/>
      <c r="AI33" s="57">
        <v>0</v>
      </c>
      <c r="AJ33" s="56"/>
      <c r="AK33" s="56">
        <f t="shared" ref="AK33" si="43">AI33-AG33</f>
        <v>-39.99</v>
      </c>
      <c r="AL33" s="47"/>
      <c r="AM33" s="84">
        <v>39.99</v>
      </c>
      <c r="AN33" s="56"/>
      <c r="AO33" s="57">
        <v>0</v>
      </c>
      <c r="AP33" s="56"/>
      <c r="AQ33" s="56">
        <f t="shared" ref="AQ33" si="44">AO33-AM33</f>
        <v>-39.99</v>
      </c>
      <c r="AR33" s="47"/>
      <c r="AS33" s="84">
        <v>39.99</v>
      </c>
      <c r="AT33" s="56"/>
      <c r="AU33" s="57">
        <v>0</v>
      </c>
      <c r="AV33" s="56"/>
      <c r="AW33" s="56">
        <f t="shared" ref="AW33" si="45">AU33-AS33</f>
        <v>-39.99</v>
      </c>
      <c r="AX33" s="47"/>
      <c r="AY33" s="56">
        <f t="shared" ref="AY33" si="46">C33+I33+O33+U33+AA33+AG33+AM33+AS33</f>
        <v>185.97000000000003</v>
      </c>
      <c r="AZ33" s="56"/>
      <c r="BA33" s="56">
        <f t="shared" ref="BA33" si="47">E33+K33+Q33+W33+AC33+AI33+AO33+AU33</f>
        <v>0</v>
      </c>
      <c r="BB33" s="56"/>
      <c r="BC33" s="56">
        <f t="shared" ref="BC33" si="48">BA33-AY33</f>
        <v>-185.97000000000003</v>
      </c>
    </row>
    <row r="34" spans="1:55" x14ac:dyDescent="0.25">
      <c r="B34" s="6" t="s">
        <v>334</v>
      </c>
      <c r="C34" s="47">
        <v>0</v>
      </c>
      <c r="D34" s="47"/>
      <c r="E34" s="47">
        <v>0</v>
      </c>
      <c r="F34" s="47"/>
      <c r="G34" s="47">
        <f t="shared" ref="G34" si="49">E34-C34</f>
        <v>0</v>
      </c>
      <c r="H34" s="47"/>
      <c r="I34" s="56">
        <v>0</v>
      </c>
      <c r="J34" s="56"/>
      <c r="K34" s="56">
        <f t="array" ref="K34">SUM(IF(Period="Jun",IF(Class=$B34,Amount)))</f>
        <v>0</v>
      </c>
      <c r="L34" s="56"/>
      <c r="M34" s="56">
        <f t="shared" ref="M34" si="50">K34-I34</f>
        <v>0</v>
      </c>
      <c r="N34" s="47"/>
      <c r="O34" s="56">
        <v>10.99</v>
      </c>
      <c r="P34" s="56"/>
      <c r="Q34" s="56">
        <f t="array" ref="Q34">SUM(IF(Period="Jul",IF(Class=$B34,Amount)))</f>
        <v>0</v>
      </c>
      <c r="R34" s="56"/>
      <c r="S34" s="56">
        <f t="shared" ref="S34" si="51">Q34-O34</f>
        <v>-10.99</v>
      </c>
      <c r="T34" s="47"/>
      <c r="U34" s="84">
        <v>10.99</v>
      </c>
      <c r="V34" s="56"/>
      <c r="W34" s="57">
        <v>0</v>
      </c>
      <c r="X34" s="56"/>
      <c r="Y34" s="56">
        <f t="shared" ref="Y34" si="52">W34-U34</f>
        <v>-10.99</v>
      </c>
      <c r="Z34" s="47"/>
      <c r="AA34" s="84">
        <v>10.99</v>
      </c>
      <c r="AB34" s="56"/>
      <c r="AC34" s="57">
        <v>0</v>
      </c>
      <c r="AD34" s="56"/>
      <c r="AE34" s="56">
        <f t="shared" ref="AE34" si="53">AC34-AA34</f>
        <v>-10.99</v>
      </c>
      <c r="AF34" s="47"/>
      <c r="AG34" s="84">
        <v>10.99</v>
      </c>
      <c r="AH34" s="56"/>
      <c r="AI34" s="57">
        <v>0</v>
      </c>
      <c r="AJ34" s="56"/>
      <c r="AK34" s="56">
        <f t="shared" ref="AK34" si="54">AI34-AG34</f>
        <v>-10.99</v>
      </c>
      <c r="AL34" s="47"/>
      <c r="AM34" s="84">
        <v>10.99</v>
      </c>
      <c r="AN34" s="56"/>
      <c r="AO34" s="57">
        <v>0</v>
      </c>
      <c r="AP34" s="56"/>
      <c r="AQ34" s="56">
        <f t="shared" ref="AQ34" si="55">AO34-AM34</f>
        <v>-10.99</v>
      </c>
      <c r="AR34" s="47"/>
      <c r="AS34" s="84">
        <v>10.99</v>
      </c>
      <c r="AT34" s="56"/>
      <c r="AU34" s="57">
        <v>0</v>
      </c>
      <c r="AV34" s="56"/>
      <c r="AW34" s="56">
        <f t="shared" ref="AW34" si="56">AU34-AS34</f>
        <v>-10.99</v>
      </c>
      <c r="AX34" s="47"/>
      <c r="AY34" s="56">
        <f t="shared" ref="AY34" si="57">C34+I34+O34+U34+AA34+AG34+AM34+AS34</f>
        <v>65.94</v>
      </c>
      <c r="AZ34" s="56"/>
      <c r="BA34" s="56">
        <f t="shared" ref="BA34" si="58">E34+K34+Q34+W34+AC34+AI34+AO34+AU34</f>
        <v>0</v>
      </c>
      <c r="BB34" s="56"/>
      <c r="BC34" s="56">
        <f t="shared" ref="BC34" si="59">BA34-AY34</f>
        <v>-65.94</v>
      </c>
    </row>
    <row r="35" spans="1:55" x14ac:dyDescent="0.25">
      <c r="B35" s="55" t="s">
        <v>202</v>
      </c>
      <c r="C35" s="56">
        <v>0</v>
      </c>
      <c r="D35" s="56"/>
      <c r="E35" s="56">
        <v>100</v>
      </c>
      <c r="F35" s="56"/>
      <c r="G35" s="56">
        <f t="shared" ref="G35" si="60">E35-C35</f>
        <v>100</v>
      </c>
      <c r="H35" s="47"/>
      <c r="I35" s="56">
        <v>0</v>
      </c>
      <c r="J35" s="56"/>
      <c r="K35" s="56">
        <f t="array" ref="K35">SUM(IF(Period="Jun",IF(Class=$B35,Amount)))</f>
        <v>236.5</v>
      </c>
      <c r="L35" s="56"/>
      <c r="M35" s="56">
        <f t="shared" ref="M35" si="61">K35-I35</f>
        <v>236.5</v>
      </c>
      <c r="N35" s="47"/>
      <c r="O35" s="56">
        <v>0</v>
      </c>
      <c r="P35" s="56"/>
      <c r="Q35" s="56">
        <f t="array" ref="Q35">SUM(IF(Period="Jul",IF(Class=$B35,Amount)))</f>
        <v>0</v>
      </c>
      <c r="R35" s="56"/>
      <c r="S35" s="56">
        <f t="shared" ref="S35" si="62">Q35-O35</f>
        <v>0</v>
      </c>
      <c r="T35" s="47"/>
      <c r="U35" s="56">
        <v>0</v>
      </c>
      <c r="V35" s="56"/>
      <c r="W35" s="57">
        <v>0</v>
      </c>
      <c r="X35" s="56"/>
      <c r="Y35" s="56">
        <f t="shared" ref="Y35" si="63">W35-U35</f>
        <v>0</v>
      </c>
      <c r="Z35" s="47"/>
      <c r="AA35" s="56">
        <v>0</v>
      </c>
      <c r="AB35" s="56"/>
      <c r="AC35" s="57">
        <v>0</v>
      </c>
      <c r="AD35" s="56"/>
      <c r="AE35" s="56">
        <f t="shared" ref="AE35" si="64">AC35-AA35</f>
        <v>0</v>
      </c>
      <c r="AF35" s="47"/>
      <c r="AG35" s="56">
        <v>0</v>
      </c>
      <c r="AH35" s="56"/>
      <c r="AI35" s="57">
        <v>0</v>
      </c>
      <c r="AJ35" s="56"/>
      <c r="AK35" s="56">
        <f t="shared" ref="AK35" si="65">AI35-AG35</f>
        <v>0</v>
      </c>
      <c r="AL35" s="47"/>
      <c r="AM35" s="56">
        <v>0</v>
      </c>
      <c r="AN35" s="56"/>
      <c r="AO35" s="57">
        <v>0</v>
      </c>
      <c r="AP35" s="56"/>
      <c r="AQ35" s="56">
        <f t="shared" ref="AQ35" si="66">AO35-AM35</f>
        <v>0</v>
      </c>
      <c r="AR35" s="47"/>
      <c r="AS35" s="56">
        <v>0</v>
      </c>
      <c r="AT35" s="56"/>
      <c r="AU35" s="57">
        <v>0</v>
      </c>
      <c r="AV35" s="56"/>
      <c r="AW35" s="56">
        <f t="shared" ref="AW35" si="67">AU35-AS35</f>
        <v>0</v>
      </c>
      <c r="AX35" s="47"/>
      <c r="AY35" s="56">
        <f t="shared" si="18"/>
        <v>0</v>
      </c>
      <c r="AZ35" s="56"/>
      <c r="BA35" s="56">
        <f t="shared" si="19"/>
        <v>336.5</v>
      </c>
      <c r="BB35" s="56"/>
      <c r="BC35" s="56">
        <f t="shared" si="20"/>
        <v>336.5</v>
      </c>
    </row>
    <row r="36" spans="1:55" x14ac:dyDescent="0.25">
      <c r="B36" s="55" t="s">
        <v>195</v>
      </c>
      <c r="C36" s="56">
        <v>0</v>
      </c>
      <c r="D36" s="56"/>
      <c r="E36" s="56">
        <v>6.65</v>
      </c>
      <c r="F36" s="56"/>
      <c r="G36" s="56">
        <f t="shared" si="10"/>
        <v>6.65</v>
      </c>
      <c r="H36" s="47"/>
      <c r="I36" s="56">
        <v>15</v>
      </c>
      <c r="J36" s="56"/>
      <c r="K36" s="56">
        <f t="array" ref="K36">SUM(IF(Period="Jun",IF(Class=$B36,Amount)))</f>
        <v>71.05</v>
      </c>
      <c r="L36" s="56"/>
      <c r="M36" s="56">
        <f t="shared" si="11"/>
        <v>56.05</v>
      </c>
      <c r="N36" s="47"/>
      <c r="O36" s="56">
        <v>15</v>
      </c>
      <c r="P36" s="56"/>
      <c r="Q36" s="56">
        <f t="array" ref="Q36">SUM(IF(Period="Jul",IF(Class=$B36,Amount)))</f>
        <v>0</v>
      </c>
      <c r="R36" s="56"/>
      <c r="S36" s="56">
        <f t="shared" si="12"/>
        <v>-15</v>
      </c>
      <c r="T36" s="47"/>
      <c r="U36" s="56">
        <v>15</v>
      </c>
      <c r="V36" s="56"/>
      <c r="W36" s="57">
        <v>0</v>
      </c>
      <c r="X36" s="56"/>
      <c r="Y36" s="56">
        <f t="shared" si="13"/>
        <v>-15</v>
      </c>
      <c r="Z36" s="47"/>
      <c r="AA36" s="56">
        <v>15</v>
      </c>
      <c r="AB36" s="56"/>
      <c r="AC36" s="57">
        <v>0</v>
      </c>
      <c r="AD36" s="56"/>
      <c r="AE36" s="56">
        <f t="shared" si="14"/>
        <v>-15</v>
      </c>
      <c r="AF36" s="47"/>
      <c r="AG36" s="56">
        <v>15</v>
      </c>
      <c r="AH36" s="56"/>
      <c r="AI36" s="57">
        <v>0</v>
      </c>
      <c r="AJ36" s="56"/>
      <c r="AK36" s="56">
        <f t="shared" si="15"/>
        <v>-15</v>
      </c>
      <c r="AL36" s="47"/>
      <c r="AM36" s="56">
        <v>15</v>
      </c>
      <c r="AN36" s="56"/>
      <c r="AO36" s="57">
        <v>0</v>
      </c>
      <c r="AP36" s="56"/>
      <c r="AQ36" s="56">
        <f t="shared" si="16"/>
        <v>-15</v>
      </c>
      <c r="AR36" s="47"/>
      <c r="AS36" s="56">
        <v>15</v>
      </c>
      <c r="AT36" s="56"/>
      <c r="AU36" s="57">
        <v>0</v>
      </c>
      <c r="AV36" s="56"/>
      <c r="AW36" s="56">
        <f t="shared" si="17"/>
        <v>-15</v>
      </c>
      <c r="AX36" s="47"/>
      <c r="AY36" s="56">
        <f t="shared" si="18"/>
        <v>105</v>
      </c>
      <c r="AZ36" s="56"/>
      <c r="BA36" s="56">
        <f t="shared" si="19"/>
        <v>77.7</v>
      </c>
      <c r="BB36" s="56"/>
      <c r="BC36" s="56">
        <f t="shared" si="20"/>
        <v>-27.299999999999997</v>
      </c>
    </row>
    <row r="37" spans="1:55" ht="17.25" x14ac:dyDescent="0.4">
      <c r="B37" t="s">
        <v>194</v>
      </c>
      <c r="C37" s="48">
        <v>0</v>
      </c>
      <c r="D37" s="47"/>
      <c r="E37" s="48">
        <v>519.98</v>
      </c>
      <c r="F37" s="47"/>
      <c r="G37" s="48">
        <f t="shared" si="10"/>
        <v>519.98</v>
      </c>
      <c r="H37" s="47"/>
      <c r="I37" s="48">
        <v>0</v>
      </c>
      <c r="J37" s="47"/>
      <c r="K37" s="48">
        <f t="array" ref="K37">SUM(IF(Period="Jun",IF(Class=$B37,Amount)))</f>
        <v>0</v>
      </c>
      <c r="L37" s="47"/>
      <c r="M37" s="48">
        <f t="shared" si="11"/>
        <v>0</v>
      </c>
      <c r="N37" s="47"/>
      <c r="O37" s="48">
        <v>0</v>
      </c>
      <c r="P37" s="47"/>
      <c r="Q37" s="48">
        <v>682</v>
      </c>
      <c r="R37" s="47"/>
      <c r="S37" s="48">
        <f t="shared" si="12"/>
        <v>682</v>
      </c>
      <c r="T37" s="47"/>
      <c r="U37" s="85">
        <v>2000</v>
      </c>
      <c r="V37" s="47"/>
      <c r="W37" s="54">
        <f>519.18+172.8+27</f>
        <v>718.98</v>
      </c>
      <c r="X37" s="47"/>
      <c r="Y37" s="48">
        <f t="shared" si="13"/>
        <v>-1281.02</v>
      </c>
      <c r="Z37" s="47"/>
      <c r="AA37" s="48">
        <v>0</v>
      </c>
      <c r="AB37" s="47"/>
      <c r="AC37" s="54">
        <v>0</v>
      </c>
      <c r="AD37" s="47"/>
      <c r="AE37" s="48">
        <f t="shared" si="14"/>
        <v>0</v>
      </c>
      <c r="AF37" s="47"/>
      <c r="AG37" s="48">
        <v>0</v>
      </c>
      <c r="AH37" s="47"/>
      <c r="AI37" s="54">
        <v>0</v>
      </c>
      <c r="AJ37" s="47"/>
      <c r="AK37" s="48">
        <f t="shared" si="15"/>
        <v>0</v>
      </c>
      <c r="AL37" s="47"/>
      <c r="AM37" s="48">
        <v>0</v>
      </c>
      <c r="AN37" s="47"/>
      <c r="AO37" s="54">
        <v>0</v>
      </c>
      <c r="AP37" s="47"/>
      <c r="AQ37" s="48">
        <f t="shared" si="16"/>
        <v>0</v>
      </c>
      <c r="AR37" s="47"/>
      <c r="AS37" s="48">
        <v>0</v>
      </c>
      <c r="AT37" s="47"/>
      <c r="AU37" s="54">
        <v>0</v>
      </c>
      <c r="AV37" s="47"/>
      <c r="AW37" s="48">
        <f t="shared" si="17"/>
        <v>0</v>
      </c>
      <c r="AX37" s="47"/>
      <c r="AY37" s="48">
        <f t="shared" si="18"/>
        <v>2000</v>
      </c>
      <c r="AZ37" s="47"/>
      <c r="BA37" s="48">
        <f t="shared" si="19"/>
        <v>1920.96</v>
      </c>
      <c r="BB37" s="47"/>
      <c r="BC37" s="48">
        <f t="shared" si="20"/>
        <v>-79.039999999999964</v>
      </c>
    </row>
    <row r="38" spans="1:55" x14ac:dyDescent="0.25">
      <c r="B38" s="4" t="s">
        <v>9</v>
      </c>
      <c r="C38" s="49">
        <f>SUM(C14:C37)</f>
        <v>3078.42</v>
      </c>
      <c r="D38" s="49"/>
      <c r="E38" s="49">
        <f>SUM(E14:E37)</f>
        <v>3884.7</v>
      </c>
      <c r="F38" s="49"/>
      <c r="G38" s="49">
        <f>SUM(G14:G37)</f>
        <v>806.28</v>
      </c>
      <c r="H38" s="49"/>
      <c r="I38" s="49">
        <f>SUM(I14:I37)</f>
        <v>4659.17</v>
      </c>
      <c r="J38" s="49"/>
      <c r="K38" s="49">
        <f>SUM(K14:K37)</f>
        <v>5307.65</v>
      </c>
      <c r="L38" s="49"/>
      <c r="M38" s="49">
        <f>SUM(M14:M37)</f>
        <v>648.48</v>
      </c>
      <c r="N38" s="49"/>
      <c r="O38" s="49">
        <f>SUM(O14:O37)</f>
        <v>4250.66</v>
      </c>
      <c r="P38" s="49"/>
      <c r="Q38" s="49">
        <f>SUM(Q14:Q37)</f>
        <v>3461.7900000000004</v>
      </c>
      <c r="R38" s="49"/>
      <c r="S38" s="49">
        <f>SUM(S14:S37)</f>
        <v>-788.87000000000012</v>
      </c>
      <c r="T38" s="49"/>
      <c r="U38" s="49">
        <f>SUM(U14:U37)</f>
        <v>6478.65</v>
      </c>
      <c r="V38" s="49"/>
      <c r="W38" s="49">
        <f>SUM(W14:W37)</f>
        <v>3084.67</v>
      </c>
      <c r="X38" s="49"/>
      <c r="Y38" s="49">
        <f>SUM(Y14:Y37)</f>
        <v>-3393.9799999999996</v>
      </c>
      <c r="Z38" s="49"/>
      <c r="AA38" s="49">
        <f>SUM(AA14:AA37)</f>
        <v>3863.6499999999996</v>
      </c>
      <c r="AB38" s="49"/>
      <c r="AC38" s="49">
        <f>SUM(AC14:AC37)</f>
        <v>2665.69</v>
      </c>
      <c r="AD38" s="49"/>
      <c r="AE38" s="49">
        <f>SUM(AE14:AE37)</f>
        <v>-1197.96</v>
      </c>
      <c r="AF38" s="49"/>
      <c r="AG38" s="49">
        <f>SUM(AG14:AG37)</f>
        <v>4558.6299999999992</v>
      </c>
      <c r="AH38" s="49"/>
      <c r="AI38" s="49">
        <f>SUM(AI14:AI37)</f>
        <v>3165.69</v>
      </c>
      <c r="AJ38" s="49"/>
      <c r="AK38" s="49">
        <f>SUM(AK14:AK37)</f>
        <v>-1392.94</v>
      </c>
      <c r="AL38" s="49"/>
      <c r="AM38" s="49">
        <f>SUM(AM14:AM37)</f>
        <v>4558.6299999999992</v>
      </c>
      <c r="AN38" s="49"/>
      <c r="AO38" s="49">
        <f>SUM(AO14:AO37)</f>
        <v>2365.69</v>
      </c>
      <c r="AP38" s="49"/>
      <c r="AQ38" s="49">
        <f>SUM(AQ14:AQ37)</f>
        <v>-2192.9399999999991</v>
      </c>
      <c r="AR38" s="49"/>
      <c r="AS38" s="49">
        <f>SUM(AS14:AS37)</f>
        <v>5105.1299999999992</v>
      </c>
      <c r="AT38" s="49"/>
      <c r="AU38" s="49">
        <f>SUM(AU14:AU37)</f>
        <v>2460.69</v>
      </c>
      <c r="AV38" s="49"/>
      <c r="AW38" s="49">
        <f>SUM(AW14:AW37)</f>
        <v>-2644.4399999999991</v>
      </c>
      <c r="AX38" s="49"/>
      <c r="AY38" s="49">
        <f>SUM(AY14:AY37)</f>
        <v>36552.939999999995</v>
      </c>
      <c r="AZ38" s="49"/>
      <c r="BA38" s="49">
        <f>SUM(BA14:BA37)</f>
        <v>26396.569999999996</v>
      </c>
      <c r="BB38" s="49"/>
      <c r="BC38" s="49">
        <f>SUM(BC14:BC37)</f>
        <v>-10156.369999999999</v>
      </c>
    </row>
    <row r="39" spans="1:55" x14ac:dyDescent="0.25"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</row>
    <row r="40" spans="1:55" ht="18" x14ac:dyDescent="0.4">
      <c r="A40" s="59" t="s">
        <v>211</v>
      </c>
      <c r="B40" s="4"/>
      <c r="C40" s="51">
        <f>C11-C38</f>
        <v>2402.58</v>
      </c>
      <c r="D40" s="49"/>
      <c r="E40" s="51">
        <f>E11-E38</f>
        <v>1596.3000000000002</v>
      </c>
      <c r="F40" s="49"/>
      <c r="G40" s="51">
        <f>G11-G38</f>
        <v>-806.28</v>
      </c>
      <c r="H40" s="49"/>
      <c r="I40" s="51">
        <f>I11-I38</f>
        <v>6608.67</v>
      </c>
      <c r="J40" s="49"/>
      <c r="K40" s="51">
        <f>K11-K38</f>
        <v>5960.1900000000005</v>
      </c>
      <c r="L40" s="49"/>
      <c r="M40" s="51">
        <f>M11-M38</f>
        <v>-648.48</v>
      </c>
      <c r="N40" s="49"/>
      <c r="O40" s="51">
        <f>O11-O38</f>
        <v>2261.9000000000005</v>
      </c>
      <c r="P40" s="49"/>
      <c r="Q40" s="51">
        <f>Q11-Q38</f>
        <v>3050.77</v>
      </c>
      <c r="R40" s="49"/>
      <c r="S40" s="51">
        <f>S11-S38</f>
        <v>788.87000000000012</v>
      </c>
      <c r="T40" s="49"/>
      <c r="U40" s="51">
        <f>U11-U38</f>
        <v>1283.9100000000008</v>
      </c>
      <c r="V40" s="49"/>
      <c r="W40" s="51">
        <f>W11-W38</f>
        <v>4677.8900000000003</v>
      </c>
      <c r="X40" s="49"/>
      <c r="Y40" s="51">
        <f>Y11-Y38</f>
        <v>3393.9799999999996</v>
      </c>
      <c r="Z40" s="49"/>
      <c r="AA40" s="51">
        <f>AA11-AA38</f>
        <v>3898.9100000000008</v>
      </c>
      <c r="AB40" s="49"/>
      <c r="AC40" s="51">
        <f>AC11-AC38</f>
        <v>5096.8700000000008</v>
      </c>
      <c r="AD40" s="49"/>
      <c r="AE40" s="51">
        <f>AE11-AE38</f>
        <v>1197.96</v>
      </c>
      <c r="AF40" s="49"/>
      <c r="AG40" s="51">
        <f>AG11-AG38</f>
        <v>3203.9300000000012</v>
      </c>
      <c r="AH40" s="49"/>
      <c r="AI40" s="51">
        <f>AI11-AI38</f>
        <v>4596.8700000000008</v>
      </c>
      <c r="AJ40" s="49"/>
      <c r="AK40" s="51">
        <f>AK11-AK38</f>
        <v>1392.94</v>
      </c>
      <c r="AL40" s="49"/>
      <c r="AM40" s="51">
        <f>AM11-AM38</f>
        <v>6659.2100000000009</v>
      </c>
      <c r="AN40" s="49"/>
      <c r="AO40" s="51">
        <f>AO11-AO38</f>
        <v>8852.15</v>
      </c>
      <c r="AP40" s="49"/>
      <c r="AQ40" s="51">
        <f>AQ11-AQ38</f>
        <v>2192.9399999999991</v>
      </c>
      <c r="AR40" s="49"/>
      <c r="AS40" s="51">
        <f>AS11-AS38</f>
        <v>2757.4300000000012</v>
      </c>
      <c r="AT40" s="49"/>
      <c r="AU40" s="51">
        <f>AU11-AU38</f>
        <v>5401.8700000000008</v>
      </c>
      <c r="AV40" s="49"/>
      <c r="AW40" s="51">
        <f>AW11-AW38</f>
        <v>2644.4399999999991</v>
      </c>
      <c r="AX40" s="49"/>
      <c r="AY40" s="51">
        <f>AY11-AY38</f>
        <v>29076.54</v>
      </c>
      <c r="AZ40" s="49"/>
      <c r="BA40" s="51">
        <f>BA11-BA38</f>
        <v>39232.910000000003</v>
      </c>
      <c r="BB40" s="49"/>
      <c r="BC40" s="51">
        <f>BC11-BC38</f>
        <v>10156.369999999999</v>
      </c>
    </row>
    <row r="41" spans="1:55" x14ac:dyDescent="0.25"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</row>
    <row r="42" spans="1:55" x14ac:dyDescent="0.25">
      <c r="C42" s="47"/>
      <c r="D42" s="47"/>
      <c r="E42" s="47"/>
      <c r="F42" s="47"/>
      <c r="G42" s="47"/>
      <c r="H42" s="47"/>
      <c r="I42" s="60" t="s">
        <v>213</v>
      </c>
      <c r="J42" s="47"/>
      <c r="K42" s="60" t="s">
        <v>214</v>
      </c>
      <c r="L42" s="47"/>
      <c r="M42" s="47"/>
      <c r="N42" s="47"/>
      <c r="O42" s="60" t="s">
        <v>213</v>
      </c>
      <c r="P42" s="47"/>
      <c r="Q42" s="60" t="s">
        <v>214</v>
      </c>
      <c r="R42" s="47"/>
      <c r="S42" s="47"/>
      <c r="T42" s="47"/>
      <c r="U42" s="60" t="s">
        <v>213</v>
      </c>
      <c r="V42" s="47"/>
      <c r="W42" s="60" t="s">
        <v>214</v>
      </c>
      <c r="X42" s="47"/>
      <c r="Y42" s="47"/>
      <c r="Z42" s="47"/>
      <c r="AA42" s="60" t="s">
        <v>213</v>
      </c>
      <c r="AB42" s="47"/>
      <c r="AC42" s="60" t="s">
        <v>214</v>
      </c>
      <c r="AD42" s="47"/>
      <c r="AE42" s="47"/>
      <c r="AF42" s="47"/>
      <c r="AG42" s="60" t="s">
        <v>213</v>
      </c>
      <c r="AH42" s="47"/>
      <c r="AI42" s="60" t="s">
        <v>214</v>
      </c>
      <c r="AJ42" s="47"/>
      <c r="AK42" s="47"/>
      <c r="AL42" s="47"/>
      <c r="AM42" s="60" t="s">
        <v>213</v>
      </c>
      <c r="AN42" s="47"/>
      <c r="AO42" s="60" t="s">
        <v>214</v>
      </c>
      <c r="AP42" s="47"/>
      <c r="AQ42" s="47"/>
      <c r="AR42" s="47"/>
      <c r="AS42" s="60" t="s">
        <v>213</v>
      </c>
      <c r="AT42" s="47"/>
      <c r="AU42" s="60" t="s">
        <v>214</v>
      </c>
      <c r="AV42" s="47"/>
      <c r="AW42" s="47"/>
      <c r="AX42" s="47"/>
      <c r="AY42" s="47"/>
      <c r="AZ42" s="47"/>
      <c r="BA42" s="47"/>
      <c r="BB42" s="47"/>
      <c r="BC42" s="47"/>
    </row>
    <row r="43" spans="1:55" x14ac:dyDescent="0.25">
      <c r="A43" s="12" t="s">
        <v>24</v>
      </c>
      <c r="B43" s="13"/>
      <c r="C43" s="52"/>
      <c r="D43" s="52"/>
      <c r="E43" s="52"/>
      <c r="F43" s="52"/>
      <c r="G43" s="52"/>
      <c r="H43" s="58"/>
      <c r="I43" s="53">
        <f>4284.01+248.61+1588.42+500</f>
        <v>6621.04</v>
      </c>
      <c r="J43" s="52"/>
      <c r="K43" s="52">
        <f>I43</f>
        <v>6621.04</v>
      </c>
      <c r="L43" s="52"/>
      <c r="M43" s="52"/>
      <c r="N43" s="58"/>
      <c r="O43" s="75">
        <v>9251.8799999999992</v>
      </c>
      <c r="P43" s="52"/>
      <c r="Q43" s="52">
        <v>9251.8799999999992</v>
      </c>
      <c r="R43" s="52"/>
      <c r="S43" s="52"/>
      <c r="T43" s="58"/>
      <c r="U43" s="75">
        <f>O44</f>
        <v>13051.32</v>
      </c>
      <c r="V43" s="52"/>
      <c r="W43" s="52">
        <f>Q44</f>
        <v>13840.19</v>
      </c>
      <c r="X43" s="52"/>
      <c r="Y43" s="52"/>
      <c r="Z43" s="58"/>
      <c r="AA43" s="75">
        <v>9500</v>
      </c>
      <c r="AB43" s="52"/>
      <c r="AC43" s="52">
        <f>W44</f>
        <v>18518.080000000002</v>
      </c>
      <c r="AD43" s="52"/>
      <c r="AE43" s="52"/>
      <c r="AF43" s="58"/>
      <c r="AG43" s="75">
        <f>AA44</f>
        <v>13836.45</v>
      </c>
      <c r="AH43" s="52"/>
      <c r="AI43" s="52">
        <f>AC44</f>
        <v>23614.950000000004</v>
      </c>
      <c r="AJ43" s="52"/>
      <c r="AK43" s="52"/>
      <c r="AL43" s="58"/>
      <c r="AM43" s="75">
        <f>AG44</f>
        <v>17040.38</v>
      </c>
      <c r="AN43" s="52"/>
      <c r="AO43" s="52">
        <f>AI44</f>
        <v>28211.820000000007</v>
      </c>
      <c r="AP43" s="52"/>
      <c r="AQ43" s="52"/>
      <c r="AR43" s="58"/>
      <c r="AS43" s="75">
        <f>AM44</f>
        <v>23699.590000000004</v>
      </c>
      <c r="AT43" s="52"/>
      <c r="AU43" s="52">
        <f>AO44</f>
        <v>37063.970000000008</v>
      </c>
      <c r="AV43" s="52"/>
      <c r="AW43" s="52"/>
      <c r="AX43" s="58"/>
      <c r="AY43" s="52">
        <f>AS43</f>
        <v>23699.590000000004</v>
      </c>
      <c r="AZ43" s="52"/>
      <c r="BA43" s="52">
        <f>AU43</f>
        <v>37063.970000000008</v>
      </c>
      <c r="BB43" s="52"/>
      <c r="BC43" s="52"/>
    </row>
    <row r="44" spans="1:55" x14ac:dyDescent="0.25">
      <c r="A44" s="12" t="s">
        <v>25</v>
      </c>
      <c r="B44" s="13"/>
      <c r="C44" s="52"/>
      <c r="D44" s="52"/>
      <c r="E44" s="52"/>
      <c r="F44" s="52"/>
      <c r="G44" s="52"/>
      <c r="H44" s="58"/>
      <c r="I44" s="52">
        <f>I43+I40+I15</f>
        <v>13667.25</v>
      </c>
      <c r="J44" s="52"/>
      <c r="K44" s="52">
        <f>K43+K40+K15</f>
        <v>13018.77</v>
      </c>
      <c r="L44" s="52"/>
      <c r="M44" s="52"/>
      <c r="N44" s="58"/>
      <c r="O44" s="52">
        <f>O43+O40+O15+O16</f>
        <v>13051.32</v>
      </c>
      <c r="P44" s="52"/>
      <c r="Q44" s="52">
        <f>Q43+Q40+Q15+Q16</f>
        <v>13840.19</v>
      </c>
      <c r="R44" s="52"/>
      <c r="S44" s="52"/>
      <c r="T44" s="58"/>
      <c r="U44" s="52">
        <f>U43+U40</f>
        <v>14335.23</v>
      </c>
      <c r="V44" s="52"/>
      <c r="W44" s="52">
        <f>W43+W40</f>
        <v>18518.080000000002</v>
      </c>
      <c r="X44" s="52"/>
      <c r="Y44" s="52"/>
      <c r="Z44" s="58"/>
      <c r="AA44" s="52">
        <f>AA43+AA40+437.54+N("Add back for KIA paid prior to starting balance of $9,500")</f>
        <v>13836.45</v>
      </c>
      <c r="AB44" s="52"/>
      <c r="AC44" s="52">
        <f>AC43+AC40</f>
        <v>23614.950000000004</v>
      </c>
      <c r="AD44" s="52"/>
      <c r="AE44" s="52"/>
      <c r="AF44" s="58"/>
      <c r="AG44" s="52">
        <f>AG43+AG40</f>
        <v>17040.38</v>
      </c>
      <c r="AH44" s="52"/>
      <c r="AI44" s="52">
        <f>AI43+AI40</f>
        <v>28211.820000000007</v>
      </c>
      <c r="AJ44" s="52"/>
      <c r="AK44" s="52"/>
      <c r="AL44" s="58"/>
      <c r="AM44" s="52">
        <f>AM43+AM40</f>
        <v>23699.590000000004</v>
      </c>
      <c r="AN44" s="52"/>
      <c r="AO44" s="52">
        <f>AO43+AO40</f>
        <v>37063.970000000008</v>
      </c>
      <c r="AP44" s="52"/>
      <c r="AQ44" s="52"/>
      <c r="AR44" s="58"/>
      <c r="AS44" s="72">
        <f>AS43+AS40</f>
        <v>26457.020000000004</v>
      </c>
      <c r="AT44" s="72"/>
      <c r="AU44" s="72">
        <f>AU43+AU40</f>
        <v>42465.840000000011</v>
      </c>
      <c r="AV44" s="52"/>
      <c r="AW44" s="52"/>
      <c r="AX44" s="58"/>
      <c r="AY44" s="52">
        <f>AS44</f>
        <v>26457.020000000004</v>
      </c>
      <c r="AZ44" s="52"/>
      <c r="BA44" s="52">
        <f>AU44</f>
        <v>42465.840000000011</v>
      </c>
      <c r="BB44" s="52"/>
      <c r="BC44" s="52"/>
    </row>
    <row r="46" spans="1:55" x14ac:dyDescent="0.25">
      <c r="A46" s="14"/>
      <c r="B46" s="15" t="s">
        <v>139</v>
      </c>
    </row>
    <row r="49" spans="1:45" ht="17.25" x14ac:dyDescent="0.4">
      <c r="A49" t="s">
        <v>231</v>
      </c>
      <c r="I49" s="73" t="s">
        <v>232</v>
      </c>
      <c r="O49" s="73" t="s">
        <v>233</v>
      </c>
      <c r="U49" s="73" t="s">
        <v>234</v>
      </c>
      <c r="AA49" s="73" t="s">
        <v>235</v>
      </c>
      <c r="AG49" s="73" t="s">
        <v>236</v>
      </c>
      <c r="AM49" s="73" t="s">
        <v>237</v>
      </c>
      <c r="AS49" s="73" t="s">
        <v>238</v>
      </c>
    </row>
    <row r="50" spans="1:45" x14ac:dyDescent="0.25">
      <c r="I50" s="74" t="s">
        <v>239</v>
      </c>
      <c r="J50" s="74"/>
      <c r="K50" s="74"/>
      <c r="L50" s="74"/>
      <c r="M50" s="74"/>
    </row>
    <row r="51" spans="1:45" x14ac:dyDescent="0.25">
      <c r="I51" s="74" t="s">
        <v>240</v>
      </c>
      <c r="J51" s="74"/>
      <c r="K51" s="74"/>
      <c r="L51" s="74"/>
      <c r="M51" s="74"/>
    </row>
    <row r="52" spans="1:45" x14ac:dyDescent="0.25">
      <c r="I52" s="74" t="s">
        <v>241</v>
      </c>
      <c r="J52" s="74"/>
      <c r="K52" s="74"/>
      <c r="L52" s="74"/>
      <c r="M52" s="74"/>
    </row>
    <row r="54" spans="1:45" x14ac:dyDescent="0.25">
      <c r="I54" s="30" t="s">
        <v>244</v>
      </c>
    </row>
    <row r="55" spans="1:45" x14ac:dyDescent="0.25">
      <c r="I55" t="s">
        <v>245</v>
      </c>
    </row>
    <row r="56" spans="1:45" x14ac:dyDescent="0.25">
      <c r="I56" t="s">
        <v>246</v>
      </c>
    </row>
    <row r="57" spans="1:45" x14ac:dyDescent="0.25">
      <c r="I57" s="74" t="s">
        <v>247</v>
      </c>
      <c r="J57" s="74"/>
      <c r="K57" s="74"/>
      <c r="L57" s="74"/>
      <c r="M57" s="74"/>
    </row>
  </sheetData>
  <mergeCells count="9">
    <mergeCell ref="AY3:BC3"/>
    <mergeCell ref="AG3:AK3"/>
    <mergeCell ref="AM3:AQ3"/>
    <mergeCell ref="AS3:AW3"/>
    <mergeCell ref="C3:G3"/>
    <mergeCell ref="I3:M3"/>
    <mergeCell ref="O3:S3"/>
    <mergeCell ref="U3:Y3"/>
    <mergeCell ref="AA3:AE3"/>
  </mergeCells>
  <pageMargins left="0.5" right="0.5" top="0.75" bottom="0.5" header="0.3" footer="0.3"/>
  <pageSetup paperSize="5" scale="4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Cash</vt:lpstr>
      <vt:lpstr>budget19</vt:lpstr>
      <vt:lpstr>PIV_2019</vt:lpstr>
      <vt:lpstr>Chase1115_Activity_20191127</vt:lpstr>
      <vt:lpstr>data_2019</vt:lpstr>
      <vt:lpstr>Pivot(old)</vt:lpstr>
      <vt:lpstr>data</vt:lpstr>
      <vt:lpstr>Chase1115_Activity_20180807</vt:lpstr>
      <vt:lpstr>budget18</vt:lpstr>
      <vt:lpstr>Amount</vt:lpstr>
      <vt:lpstr>Class</vt:lpstr>
      <vt:lpstr>Period</vt:lpstr>
      <vt:lpstr>budget18!Print_Area</vt:lpstr>
      <vt:lpstr>budget19!Print_Area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Baumgarten, Allen</dc:creator>
  <cp:lastModifiedBy>Baumgarten, Allen</cp:lastModifiedBy>
  <cp:lastPrinted>2018-11-30T16:27:16Z</cp:lastPrinted>
  <dcterms:created xsi:type="dcterms:W3CDTF">2018-05-21T23:27:51Z</dcterms:created>
  <dcterms:modified xsi:type="dcterms:W3CDTF">2019-11-27T17:11:37Z</dcterms:modified>
</cp:coreProperties>
</file>