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enchoy/Downloads/"/>
    </mc:Choice>
  </mc:AlternateContent>
  <xr:revisionPtr revIDLastSave="0" documentId="13_ncr:1_{4C23C1B7-EBFF-1A42-8F0D-CE4F03D0E7C9}" xr6:coauthVersionLast="47" xr6:coauthVersionMax="47" xr10:uidLastSave="{00000000-0000-0000-0000-000000000000}"/>
  <bookViews>
    <workbookView xWindow="8520" yWindow="1580" windowWidth="21760" windowHeight="13200" xr2:uid="{00000000-000D-0000-FFFF-FFFF00000000}"/>
  </bookViews>
  <sheets>
    <sheet name="PK" sheetId="2" r:id="rId1"/>
    <sheet name="PD" sheetId="33" r:id="rId2"/>
  </sheets>
  <definedNames>
    <definedName name="solver_adj" localSheetId="1" hidden="1">PD!$T$2:$T$6</definedName>
    <definedName name="solver_adj" localSheetId="0" hidden="1">PK!$J$2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PD!$H$2</definedName>
    <definedName name="solver_lhs1" localSheetId="0" hidden="1">PK!$J$2</definedName>
    <definedName name="solver_lhs10" localSheetId="1" hidden="1">PD!$P$4</definedName>
    <definedName name="solver_lhs10" localSheetId="0" hidden="1">PK!$S$3</definedName>
    <definedName name="solver_lhs11" localSheetId="1" hidden="1">PD!$P$5</definedName>
    <definedName name="solver_lhs11" localSheetId="0" hidden="1">PK!$S$4</definedName>
    <definedName name="solver_lhs12" localSheetId="1" hidden="1">PD!$P$2</definedName>
    <definedName name="solver_lhs12" localSheetId="0" hidden="1">PK!$S$4</definedName>
    <definedName name="solver_lhs13" localSheetId="1" hidden="1">PD!$T$2</definedName>
    <definedName name="solver_lhs13" localSheetId="0" hidden="1">PK!$W$2</definedName>
    <definedName name="solver_lhs14" localSheetId="1" hidden="1">PD!$T$6</definedName>
    <definedName name="solver_lhs14" localSheetId="0" hidden="1">PK!$W$2</definedName>
    <definedName name="solver_lhs15" localSheetId="1" hidden="1">PD!$T$4</definedName>
    <definedName name="solver_lhs15" localSheetId="0" hidden="1">PK!$W$3</definedName>
    <definedName name="solver_lhs16" localSheetId="1" hidden="1">PD!$T$3</definedName>
    <definedName name="solver_lhs16" localSheetId="0" hidden="1">PK!$W$3</definedName>
    <definedName name="solver_lhs17" localSheetId="1" hidden="1">PD!$T$5</definedName>
    <definedName name="solver_lhs17" localSheetId="0" hidden="1">PK!$W$4</definedName>
    <definedName name="solver_lhs18" localSheetId="1" hidden="1">PD!$L$2</definedName>
    <definedName name="solver_lhs18" localSheetId="0" hidden="1">PK!$W$4</definedName>
    <definedName name="solver_lhs19" localSheetId="1" hidden="1">PD!$T$4</definedName>
    <definedName name="solver_lhs2" localSheetId="1" hidden="1">PD!$L$3</definedName>
    <definedName name="solver_lhs2" localSheetId="0" hidden="1">PK!$J$2</definedName>
    <definedName name="solver_lhs20" localSheetId="1" hidden="1">PD!$T$5</definedName>
    <definedName name="solver_lhs21" localSheetId="1" hidden="1">PD!$T$3</definedName>
    <definedName name="solver_lhs22" localSheetId="1" hidden="1">PD!$T$6</definedName>
    <definedName name="solver_lhs3" localSheetId="1" hidden="1">PD!$L$2</definedName>
    <definedName name="solver_lhs3" localSheetId="0" hidden="1">PK!$N$2</definedName>
    <definedName name="solver_lhs4" localSheetId="1" hidden="1">PD!$L$4</definedName>
    <definedName name="solver_lhs4" localSheetId="0" hidden="1">PK!$N$2</definedName>
    <definedName name="solver_lhs5" localSheetId="1" hidden="1">PD!$L$4</definedName>
    <definedName name="solver_lhs5" localSheetId="0" hidden="1">PK!$N$3</definedName>
    <definedName name="solver_lhs6" localSheetId="1" hidden="1">PD!$T$6</definedName>
    <definedName name="solver_lhs6" localSheetId="0" hidden="1">PK!$N$3</definedName>
    <definedName name="solver_lhs7" localSheetId="1" hidden="1">PD!$H$3</definedName>
    <definedName name="solver_lhs7" localSheetId="0" hidden="1">PK!$S$2</definedName>
    <definedName name="solver_lhs8" localSheetId="1" hidden="1">PD!$P$2</definedName>
    <definedName name="solver_lhs8" localSheetId="0" hidden="1">PK!$S$2</definedName>
    <definedName name="solver_lhs9" localSheetId="1" hidden="1">PD!$P$3</definedName>
    <definedName name="solver_lhs9" localSheetId="0" hidden="1">PK!$S$3</definedName>
    <definedName name="solver_lin" localSheetId="1" hidden="1">2</definedName>
    <definedName name="solver_lin" localSheetId="0" hidden="1">2</definedName>
    <definedName name="solver_neg" localSheetId="1" hidden="1">2</definedName>
    <definedName name="solver_neg" localSheetId="0" hidden="1">2</definedName>
    <definedName name="solver_num" localSheetId="1" hidden="1">18</definedName>
    <definedName name="solver_num" localSheetId="0" hidden="1">18</definedName>
    <definedName name="solver_nwt" localSheetId="1" hidden="1">1</definedName>
    <definedName name="solver_nwt" localSheetId="0" hidden="1">1</definedName>
    <definedName name="solver_opt" localSheetId="1" hidden="1">PD!$T$62</definedName>
    <definedName name="solver_opt" localSheetId="0" hidden="1">PK!$J$62</definedName>
    <definedName name="solver_pre" localSheetId="1" hidden="1">0.000001</definedName>
    <definedName name="solver_pre" localSheetId="0" hidden="1">0.000001</definedName>
    <definedName name="solver_rel1" localSheetId="1" hidden="1">1</definedName>
    <definedName name="solver_rel1" localSheetId="0" hidden="1">1</definedName>
    <definedName name="solver_rel10" localSheetId="1" hidden="1">3</definedName>
    <definedName name="solver_rel10" localSheetId="0" hidden="1">3</definedName>
    <definedName name="solver_rel11" localSheetId="1" hidden="1">3</definedName>
    <definedName name="solver_rel11" localSheetId="0" hidden="1">1</definedName>
    <definedName name="solver_rel12" localSheetId="1" hidden="1">1</definedName>
    <definedName name="solver_rel12" localSheetId="0" hidden="1">3</definedName>
    <definedName name="solver_rel13" localSheetId="1" hidden="1">1</definedName>
    <definedName name="solver_rel13" localSheetId="0" hidden="1">1</definedName>
    <definedName name="solver_rel14" localSheetId="1" hidden="1">1</definedName>
    <definedName name="solver_rel14" localSheetId="0" hidden="1">3</definedName>
    <definedName name="solver_rel15" localSheetId="1" hidden="1">3</definedName>
    <definedName name="solver_rel15" localSheetId="0" hidden="1">1</definedName>
    <definedName name="solver_rel16" localSheetId="1" hidden="1">3</definedName>
    <definedName name="solver_rel16" localSheetId="0" hidden="1">3</definedName>
    <definedName name="solver_rel17" localSheetId="1" hidden="1">3</definedName>
    <definedName name="solver_rel17" localSheetId="0" hidden="1">1</definedName>
    <definedName name="solver_rel18" localSheetId="1" hidden="1">1</definedName>
    <definedName name="solver_rel18" localSheetId="0" hidden="1">3</definedName>
    <definedName name="solver_rel19" localSheetId="1" hidden="1">3</definedName>
    <definedName name="solver_rel2" localSheetId="1" hidden="1">3</definedName>
    <definedName name="solver_rel2" localSheetId="0" hidden="1">3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3" localSheetId="1" hidden="1">3</definedName>
    <definedName name="solver_rel3" localSheetId="0" hidden="1">1</definedName>
    <definedName name="solver_rel4" localSheetId="1" hidden="1">1</definedName>
    <definedName name="solver_rel4" localSheetId="0" hidden="1">3</definedName>
    <definedName name="solver_rel5" localSheetId="1" hidden="1">3</definedName>
    <definedName name="solver_rel5" localSheetId="0" hidden="1">1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1</definedName>
    <definedName name="solver_rel8" localSheetId="1" hidden="1">1</definedName>
    <definedName name="solver_rel8" localSheetId="0" hidden="1">3</definedName>
    <definedName name="solver_rel9" localSheetId="1" hidden="1">3</definedName>
    <definedName name="solver_rel9" localSheetId="0" hidden="1">1</definedName>
    <definedName name="solver_rhs1" localSheetId="1" hidden="1">1</definedName>
    <definedName name="solver_rhs1" localSheetId="0" hidden="1">300</definedName>
    <definedName name="solver_rhs10" localSheetId="1" hidden="1">0</definedName>
    <definedName name="solver_rhs10" localSheetId="0" hidden="1">-0.5</definedName>
    <definedName name="solver_rhs11" localSheetId="1" hidden="1">0</definedName>
    <definedName name="solver_rhs11" localSheetId="0" hidden="1">0.5</definedName>
    <definedName name="solver_rhs12" localSheetId="1" hidden="1">1</definedName>
    <definedName name="solver_rhs12" localSheetId="0" hidden="1">-0.5</definedName>
    <definedName name="solver_rhs13" localSheetId="1" hidden="1">1</definedName>
    <definedName name="solver_rhs13" localSheetId="0" hidden="1">300</definedName>
    <definedName name="solver_rhs14" localSheetId="1" hidden="1">5</definedName>
    <definedName name="solver_rhs14" localSheetId="0" hidden="1">1</definedName>
    <definedName name="solver_rhs15" localSheetId="1" hidden="1">0.001</definedName>
    <definedName name="solver_rhs15" localSheetId="0" hidden="1">0.5</definedName>
    <definedName name="solver_rhs16" localSheetId="1" hidden="1">0.001</definedName>
    <definedName name="solver_rhs16" localSheetId="0" hidden="1">-0.5</definedName>
    <definedName name="solver_rhs17" localSheetId="1" hidden="1">0.001</definedName>
    <definedName name="solver_rhs17" localSheetId="0" hidden="1">0.5</definedName>
    <definedName name="solver_rhs18" localSheetId="1" hidden="1">1</definedName>
    <definedName name="solver_rhs18" localSheetId="0" hidden="1">-0.5</definedName>
    <definedName name="solver_rhs19" localSheetId="1" hidden="1">0</definedName>
    <definedName name="solver_rhs2" localSheetId="1" hidden="1">0</definedName>
    <definedName name="solver_rhs2" localSheetId="0" hidden="1">1</definedName>
    <definedName name="solver_rhs20" localSheetId="1" hidden="1">0.001</definedName>
    <definedName name="solver_rhs21" localSheetId="1" hidden="1">0.001</definedName>
    <definedName name="solver_rhs22" localSheetId="1" hidden="1">0.5</definedName>
    <definedName name="solver_rhs3" localSheetId="1" hidden="1">0</definedName>
    <definedName name="solver_rhs3" localSheetId="0" hidden="1">300</definedName>
    <definedName name="solver_rhs4" localSheetId="1" hidden="1">5</definedName>
    <definedName name="solver_rhs4" localSheetId="0" hidden="1">1</definedName>
    <definedName name="solver_rhs5" localSheetId="1" hidden="1">0.5</definedName>
    <definedName name="solver_rhs5" localSheetId="0" hidden="1">0.5</definedName>
    <definedName name="solver_rhs6" localSheetId="1" hidden="1">0.5</definedName>
    <definedName name="solver_rhs6" localSheetId="0" hidden="1">0</definedName>
    <definedName name="solver_rhs7" localSheetId="1" hidden="1">0</definedName>
    <definedName name="solver_rhs7" localSheetId="0" hidden="1">300</definedName>
    <definedName name="solver_rhs8" localSheetId="1" hidden="1">1</definedName>
    <definedName name="solver_rhs8" localSheetId="0" hidden="1">1</definedName>
    <definedName name="solver_rhs9" localSheetId="1" hidden="1">0</definedName>
    <definedName name="solver_rhs9" localSheetId="0" hidden="1">0.5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2" l="1"/>
  <c r="I15" i="2"/>
  <c r="J15" i="2"/>
  <c r="I12" i="2"/>
  <c r="L72" i="2"/>
  <c r="N73" i="2"/>
  <c r="N72" i="2"/>
  <c r="N74" i="2"/>
  <c r="O69" i="2"/>
  <c r="N69" i="2"/>
  <c r="M69" i="2"/>
  <c r="L69" i="2"/>
  <c r="J12" i="2"/>
  <c r="G13" i="33"/>
  <c r="H13" i="33" s="1"/>
  <c r="G12" i="33"/>
  <c r="H12" i="33" s="1"/>
  <c r="N72" i="33" l="1"/>
  <c r="C9" i="2" l="1"/>
  <c r="I13" i="2" l="1"/>
  <c r="J13" i="2" s="1"/>
  <c r="I14" i="2"/>
  <c r="J14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C62" i="2"/>
  <c r="E62" i="2"/>
  <c r="J62" i="2" l="1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M12" i="2"/>
  <c r="M13" i="2"/>
  <c r="M14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R61" i="2"/>
  <c r="M61" i="2"/>
  <c r="R60" i="2"/>
  <c r="M60" i="2"/>
  <c r="R59" i="2"/>
  <c r="M59" i="2"/>
  <c r="R58" i="2"/>
  <c r="M58" i="2"/>
  <c r="R57" i="2"/>
  <c r="M57" i="2"/>
  <c r="R56" i="2"/>
  <c r="M56" i="2"/>
  <c r="R55" i="2"/>
  <c r="M55" i="2"/>
  <c r="R54" i="2"/>
  <c r="L73" i="2" l="1"/>
  <c r="L74" i="2"/>
  <c r="N74" i="33"/>
  <c r="N73" i="33"/>
  <c r="M69" i="33"/>
  <c r="N69" i="33"/>
  <c r="O69" i="33"/>
  <c r="L69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57" i="33"/>
  <c r="O58" i="33"/>
  <c r="O59" i="33"/>
  <c r="O60" i="33"/>
  <c r="O61" i="33"/>
  <c r="O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12" i="33"/>
  <c r="G14" i="33"/>
  <c r="H14" i="33" s="1"/>
  <c r="G15" i="33"/>
  <c r="H15" i="33" s="1"/>
  <c r="G16" i="33"/>
  <c r="H16" i="33" s="1"/>
  <c r="G17" i="33"/>
  <c r="H17" i="33" s="1"/>
  <c r="G18" i="33"/>
  <c r="H18" i="33" s="1"/>
  <c r="G19" i="33"/>
  <c r="H19" i="33" s="1"/>
  <c r="G20" i="33"/>
  <c r="H20" i="33" s="1"/>
  <c r="G21" i="33"/>
  <c r="H21" i="33" s="1"/>
  <c r="G22" i="33"/>
  <c r="H22" i="33" s="1"/>
  <c r="G23" i="33"/>
  <c r="H23" i="33" s="1"/>
  <c r="G24" i="33"/>
  <c r="H24" i="33" s="1"/>
  <c r="G25" i="33"/>
  <c r="H25" i="33" s="1"/>
  <c r="G26" i="33"/>
  <c r="H26" i="33" s="1"/>
  <c r="G27" i="33"/>
  <c r="H27" i="33" s="1"/>
  <c r="G28" i="33"/>
  <c r="H28" i="33" s="1"/>
  <c r="G29" i="33"/>
  <c r="H29" i="33" s="1"/>
  <c r="G30" i="33"/>
  <c r="H30" i="33" s="1"/>
  <c r="G31" i="33"/>
  <c r="H31" i="33" s="1"/>
  <c r="G32" i="33"/>
  <c r="H32" i="33" s="1"/>
  <c r="G33" i="33"/>
  <c r="H33" i="33" s="1"/>
  <c r="G34" i="33"/>
  <c r="H34" i="33" s="1"/>
  <c r="G35" i="33"/>
  <c r="H35" i="33" s="1"/>
  <c r="G36" i="33"/>
  <c r="H36" i="33" s="1"/>
  <c r="G37" i="33"/>
  <c r="H37" i="33" s="1"/>
  <c r="G38" i="33"/>
  <c r="H38" i="33" s="1"/>
  <c r="G39" i="33"/>
  <c r="H39" i="33" s="1"/>
  <c r="G40" i="33"/>
  <c r="H40" i="33" s="1"/>
  <c r="G41" i="33"/>
  <c r="H41" i="33" s="1"/>
  <c r="G42" i="33"/>
  <c r="H42" i="33" s="1"/>
  <c r="G43" i="33"/>
  <c r="H43" i="33" s="1"/>
  <c r="G44" i="33"/>
  <c r="H44" i="33" s="1"/>
  <c r="G45" i="33"/>
  <c r="H45" i="33" s="1"/>
  <c r="G46" i="33"/>
  <c r="H46" i="33" s="1"/>
  <c r="G47" i="33"/>
  <c r="H47" i="33" s="1"/>
  <c r="G48" i="33"/>
  <c r="H48" i="33" s="1"/>
  <c r="G49" i="33"/>
  <c r="H49" i="33" s="1"/>
  <c r="G50" i="33"/>
  <c r="H50" i="33" s="1"/>
  <c r="G51" i="33"/>
  <c r="H51" i="33" s="1"/>
  <c r="G52" i="33"/>
  <c r="H52" i="33" s="1"/>
  <c r="G53" i="33"/>
  <c r="H53" i="33" s="1"/>
  <c r="G54" i="33"/>
  <c r="H54" i="33" s="1"/>
  <c r="G55" i="33"/>
  <c r="H55" i="33" s="1"/>
  <c r="G56" i="33"/>
  <c r="H56" i="33" s="1"/>
  <c r="G57" i="33"/>
  <c r="H57" i="33" s="1"/>
  <c r="G58" i="33"/>
  <c r="H58" i="33" s="1"/>
  <c r="G59" i="33"/>
  <c r="H59" i="33" s="1"/>
  <c r="G60" i="33"/>
  <c r="H60" i="33" s="1"/>
  <c r="G61" i="33"/>
  <c r="H61" i="33" s="1"/>
  <c r="H62" i="33" l="1"/>
  <c r="L73" i="33" s="1"/>
  <c r="L72" i="33" l="1"/>
  <c r="L74" i="33" l="1"/>
</calcChain>
</file>

<file path=xl/sharedStrings.xml><?xml version="1.0" encoding="utf-8"?>
<sst xmlns="http://schemas.openxmlformats.org/spreadsheetml/2006/main" count="148" uniqueCount="85">
  <si>
    <t>ID</t>
  </si>
  <si>
    <t>SCHED</t>
  </si>
  <si>
    <t>mean(covariates)=</t>
  </si>
  <si>
    <t>OBSERVATIONS</t>
  </si>
  <si>
    <t xml:space="preserve">MODEL 1 </t>
  </si>
  <si>
    <t>tau1</t>
  </si>
  <si>
    <t>h</t>
  </si>
  <si>
    <t>tau2</t>
  </si>
  <si>
    <t>tau3</t>
  </si>
  <si>
    <t>DOSE1</t>
  </si>
  <si>
    <t>mg</t>
  </si>
  <si>
    <t>DOSE2</t>
  </si>
  <si>
    <t>DOSE3</t>
  </si>
  <si>
    <t>MODEL PREDICTION 1</t>
  </si>
  <si>
    <t>No covariate</t>
  </si>
  <si>
    <t>Css.pred1 (mg/L)</t>
  </si>
  <si>
    <t>FOOD</t>
  </si>
  <si>
    <t>AGE</t>
  </si>
  <si>
    <t>Css,av (mg/L)</t>
  </si>
  <si>
    <t>SUM(res1)=</t>
  </si>
  <si>
    <t xml:space="preserve">MODEL 2 </t>
  </si>
  <si>
    <t>CrCL effect on CL</t>
  </si>
  <si>
    <t>MODEL PREDICTION 2</t>
  </si>
  <si>
    <t>DOSING SCHEDULES</t>
  </si>
  <si>
    <t>Css.pred2 (mg/L)</t>
  </si>
  <si>
    <t>SUM(res2)=</t>
  </si>
  <si>
    <t>MODEL 3</t>
  </si>
  <si>
    <t>Css.pred3 (mg/L)</t>
  </si>
  <si>
    <t>MODEL PREDICTION 3</t>
  </si>
  <si>
    <t>Food effect on F</t>
  </si>
  <si>
    <t>CL</t>
  </si>
  <si>
    <t>F (fixed parameter)</t>
  </si>
  <si>
    <t>SUM(res3)=</t>
  </si>
  <si>
    <t>MODEL 4</t>
  </si>
  <si>
    <t>MODEL PREDICTION 4</t>
  </si>
  <si>
    <t>Css.pred4 (mg/L)</t>
  </si>
  <si>
    <t>CrCL influencing CL (F fixed to 1)</t>
  </si>
  <si>
    <t>CrCL influencing CL &amp; FOOD influencing F</t>
  </si>
  <si>
    <t>CrCL influencing CL &amp; AGE influencing F</t>
  </si>
  <si>
    <t>AGE effect on F</t>
  </si>
  <si>
    <t>SUM(res4)=</t>
  </si>
  <si>
    <t>Statistic: Fischer test:</t>
  </si>
  <si>
    <t>number of estimated parameters</t>
  </si>
  <si>
    <t>Model 1</t>
  </si>
  <si>
    <t>Model 2</t>
  </si>
  <si>
    <t>Model 3</t>
  </si>
  <si>
    <t>Model 4</t>
  </si>
  <si>
    <t>DF</t>
  </si>
  <si>
    <t>Fvalue calculated</t>
  </si>
  <si>
    <t>F-test:</t>
  </si>
  <si>
    <t>Model 2 vs Model 1</t>
  </si>
  <si>
    <t>Model 3 vs Model 2</t>
  </si>
  <si>
    <t>Model 4 vs Model 2</t>
  </si>
  <si>
    <t>RES1 (mg2/L2)</t>
  </si>
  <si>
    <t>RES2 (mg2/L2)</t>
  </si>
  <si>
    <t>RES3 (mg2/L2)</t>
  </si>
  <si>
    <t>RES4 (mg2/L2)</t>
  </si>
  <si>
    <t>RISK</t>
  </si>
  <si>
    <t>% Decrease</t>
  </si>
  <si>
    <t>Emax</t>
  </si>
  <si>
    <t>Ec50</t>
  </si>
  <si>
    <t>EC50</t>
  </si>
  <si>
    <t>Ec50 same for all</t>
  </si>
  <si>
    <t>Emax model</t>
  </si>
  <si>
    <t>Sigmoidal Emax model</t>
  </si>
  <si>
    <t>Ec50 dependent on schedule</t>
  </si>
  <si>
    <t>EC50_1</t>
  </si>
  <si>
    <t>EC50_2</t>
  </si>
  <si>
    <t>EC50_3</t>
  </si>
  <si>
    <t xml:space="preserve">RES1 </t>
  </si>
  <si>
    <t>Model 3 vs Model 1</t>
  </si>
  <si>
    <t xml:space="preserve">total number of observations - </t>
  </si>
  <si>
    <t xml:space="preserve">number of parameters used in model </t>
  </si>
  <si>
    <t xml:space="preserve">total number of individuals/ observations </t>
  </si>
  <si>
    <t>F critical value</t>
  </si>
  <si>
    <t xml:space="preserve">%Decr.pred1 </t>
  </si>
  <si>
    <t>%Decr.pred2</t>
  </si>
  <si>
    <t>RES2</t>
  </si>
  <si>
    <t xml:space="preserve">RES3 </t>
  </si>
  <si>
    <t>%Decr.pred3</t>
  </si>
  <si>
    <t>%Decr.pred4</t>
  </si>
  <si>
    <t xml:space="preserve">RES4 </t>
  </si>
  <si>
    <r>
      <t>Hill (</t>
    </r>
    <r>
      <rPr>
        <b/>
        <sz val="14"/>
        <rFont val="Calibri"/>
        <family val="2"/>
      </rPr>
      <t>γ</t>
    </r>
    <r>
      <rPr>
        <b/>
        <sz val="14"/>
        <rFont val="Calibri"/>
        <family val="2"/>
        <scheme val="minor"/>
      </rPr>
      <t>)</t>
    </r>
  </si>
  <si>
    <t>F value calculated</t>
  </si>
  <si>
    <t>CrCL (L/h)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</si>
</sst>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  <font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10" fillId="3" borderId="10" xfId="1" applyFont="1" applyFill="1" applyBorder="1" applyAlignment="1">
      <alignment horizontal="center"/>
    </xf>
    <xf numFmtId="0" fontId="10" fillId="3" borderId="11" xfId="1" applyFont="1" applyFill="1" applyBorder="1" applyAlignment="1">
      <alignment horizontal="center"/>
    </xf>
    <xf numFmtId="0" fontId="10" fillId="3" borderId="12" xfId="1" applyFont="1" applyFill="1" applyBorder="1" applyAlignment="1">
      <alignment horizontal="center"/>
    </xf>
    <xf numFmtId="0" fontId="10" fillId="2" borderId="6" xfId="1" applyFont="1" applyBorder="1" applyAlignment="1">
      <alignment horizontal="center"/>
    </xf>
    <xf numFmtId="2" fontId="10" fillId="2" borderId="8" xfId="1" applyNumberFormat="1" applyFont="1" applyBorder="1" applyAlignment="1">
      <alignment horizontal="center"/>
    </xf>
    <xf numFmtId="0" fontId="10" fillId="2" borderId="4" xfId="1" applyFont="1" applyBorder="1" applyAlignment="1">
      <alignment horizontal="center"/>
    </xf>
    <xf numFmtId="2" fontId="10" fillId="2" borderId="5" xfId="1" applyNumberFormat="1" applyFont="1" applyBorder="1" applyAlignment="1">
      <alignment horizontal="center"/>
    </xf>
    <xf numFmtId="0" fontId="10" fillId="5" borderId="4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/>
    <xf numFmtId="0" fontId="10" fillId="2" borderId="6" xfId="1" applyFont="1" applyBorder="1" applyAlignment="1">
      <alignment horizontal="right"/>
    </xf>
    <xf numFmtId="0" fontId="10" fillId="2" borderId="4" xfId="1" applyFont="1" applyBorder="1" applyAlignment="1">
      <alignment horizontal="right"/>
    </xf>
    <xf numFmtId="0" fontId="10" fillId="4" borderId="4" xfId="1" applyFont="1" applyFill="1" applyBorder="1" applyAlignment="1">
      <alignment horizontal="center"/>
    </xf>
    <xf numFmtId="0" fontId="10" fillId="4" borderId="0" xfId="1" applyFont="1" applyFill="1" applyBorder="1" applyAlignment="1">
      <alignment horizontal="center"/>
    </xf>
    <xf numFmtId="0" fontId="10" fillId="4" borderId="5" xfId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3" borderId="4" xfId="1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4" borderId="8" xfId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2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12" fillId="0" borderId="11" xfId="0" applyFont="1" applyBorder="1"/>
    <xf numFmtId="0" fontId="8" fillId="0" borderId="12" xfId="0" applyFont="1" applyBorder="1"/>
    <xf numFmtId="0" fontId="8" fillId="0" borderId="3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0" xfId="0" applyFont="1" applyBorder="1" applyAlignment="1">
      <alignment horizontal="center"/>
    </xf>
    <xf numFmtId="0" fontId="13" fillId="3" borderId="0" xfId="0" applyFont="1" applyFill="1" applyBorder="1"/>
    <xf numFmtId="2" fontId="13" fillId="3" borderId="0" xfId="0" applyNumberFormat="1" applyFont="1" applyFill="1" applyBorder="1"/>
    <xf numFmtId="165" fontId="13" fillId="3" borderId="0" xfId="0" applyNumberFormat="1" applyFont="1" applyFill="1" applyBorder="1"/>
    <xf numFmtId="165" fontId="13" fillId="0" borderId="0" xfId="0" applyNumberFormat="1" applyFont="1" applyBorder="1"/>
    <xf numFmtId="0" fontId="13" fillId="0" borderId="0" xfId="0" applyFont="1" applyBorder="1"/>
    <xf numFmtId="164" fontId="13" fillId="0" borderId="0" xfId="0" applyNumberFormat="1" applyFont="1" applyBorder="1"/>
    <xf numFmtId="165" fontId="13" fillId="0" borderId="0" xfId="0" applyNumberFormat="1" applyFont="1"/>
    <xf numFmtId="0" fontId="13" fillId="5" borderId="0" xfId="0" applyFont="1" applyFill="1" applyBorder="1"/>
    <xf numFmtId="2" fontId="13" fillId="5" borderId="0" xfId="0" applyNumberFormat="1" applyFont="1" applyFill="1" applyBorder="1"/>
    <xf numFmtId="165" fontId="13" fillId="5" borderId="0" xfId="0" applyNumberFormat="1" applyFont="1" applyFill="1" applyBorder="1"/>
    <xf numFmtId="0" fontId="13" fillId="0" borderId="0" xfId="0" applyFont="1" applyFill="1" applyBorder="1"/>
    <xf numFmtId="0" fontId="13" fillId="4" borderId="0" xfId="0" applyFont="1" applyFill="1" applyBorder="1"/>
    <xf numFmtId="2" fontId="13" fillId="4" borderId="0" xfId="0" applyNumberFormat="1" applyFont="1" applyFill="1" applyBorder="1"/>
    <xf numFmtId="165" fontId="13" fillId="4" borderId="0" xfId="0" applyNumberFormat="1" applyFont="1" applyFill="1" applyBorder="1"/>
    <xf numFmtId="2" fontId="13" fillId="4" borderId="9" xfId="0" applyNumberFormat="1" applyFont="1" applyFill="1" applyBorder="1"/>
    <xf numFmtId="164" fontId="13" fillId="0" borderId="9" xfId="0" applyNumberFormat="1" applyFont="1" applyBorder="1"/>
    <xf numFmtId="0" fontId="13" fillId="0" borderId="9" xfId="0" applyFont="1" applyBorder="1"/>
    <xf numFmtId="0" fontId="13" fillId="0" borderId="9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8" fillId="6" borderId="0" xfId="0" applyFont="1" applyFill="1" applyBorder="1"/>
    <xf numFmtId="2" fontId="8" fillId="6" borderId="0" xfId="0" applyNumberFormat="1" applyFont="1" applyFill="1" applyBorder="1" applyAlignment="1">
      <alignment horizontal="center"/>
    </xf>
    <xf numFmtId="0" fontId="0" fillId="6" borderId="0" xfId="0" applyFill="1" applyBorder="1"/>
    <xf numFmtId="0" fontId="9" fillId="6" borderId="0" xfId="0" applyFont="1" applyFill="1" applyBorder="1"/>
    <xf numFmtId="2" fontId="9" fillId="0" borderId="0" xfId="0" applyNumberFormat="1" applyFont="1" applyBorder="1"/>
    <xf numFmtId="1" fontId="9" fillId="0" borderId="0" xfId="0" applyNumberFormat="1" applyFont="1" applyBorder="1"/>
    <xf numFmtId="164" fontId="9" fillId="0" borderId="0" xfId="0" applyNumberFormat="1" applyFont="1" applyBorder="1"/>
    <xf numFmtId="1" fontId="13" fillId="3" borderId="0" xfId="0" applyNumberFormat="1" applyFont="1" applyFill="1" applyBorder="1"/>
    <xf numFmtId="1" fontId="13" fillId="5" borderId="0" xfId="0" applyNumberFormat="1" applyFont="1" applyFill="1" applyBorder="1"/>
    <xf numFmtId="1" fontId="13" fillId="4" borderId="0" xfId="0" applyNumberFormat="1" applyFont="1" applyFill="1" applyBorder="1"/>
    <xf numFmtId="1" fontId="13" fillId="4" borderId="9" xfId="0" applyNumberFormat="1" applyFont="1" applyFill="1" applyBorder="1"/>
    <xf numFmtId="165" fontId="10" fillId="2" borderId="8" xfId="1" applyNumberFormat="1" applyFont="1" applyBorder="1" applyAlignment="1">
      <alignment horizontal="center"/>
    </xf>
    <xf numFmtId="165" fontId="10" fillId="2" borderId="5" xfId="1" applyNumberFormat="1" applyFont="1" applyBorder="1" applyAlignment="1">
      <alignment horizontal="center"/>
    </xf>
    <xf numFmtId="0" fontId="10" fillId="2" borderId="13" xfId="1" applyFont="1" applyBorder="1" applyAlignment="1">
      <alignment horizontal="center"/>
    </xf>
    <xf numFmtId="0" fontId="10" fillId="2" borderId="14" xfId="1" applyFont="1" applyBorder="1" applyAlignment="1">
      <alignment horizontal="center"/>
    </xf>
    <xf numFmtId="0" fontId="14" fillId="0" borderId="0" xfId="0" applyFont="1" applyBorder="1"/>
    <xf numFmtId="0" fontId="9" fillId="0" borderId="0" xfId="0" applyFont="1" applyBorder="1" applyAlignment="1">
      <alignment horizontal="center"/>
    </xf>
    <xf numFmtId="2" fontId="10" fillId="2" borderId="1" xfId="1" applyNumberFormat="1" applyFont="1" applyBorder="1" applyAlignment="1">
      <alignment horizontal="center"/>
    </xf>
    <xf numFmtId="2" fontId="10" fillId="2" borderId="2" xfId="1" applyNumberFormat="1" applyFont="1" applyBorder="1" applyAlignment="1">
      <alignment horizontal="center"/>
    </xf>
    <xf numFmtId="2" fontId="10" fillId="2" borderId="3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2" borderId="13" xfId="1" applyFont="1" applyBorder="1" applyAlignment="1">
      <alignment horizontal="center"/>
    </xf>
    <xf numFmtId="0" fontId="10" fillId="2" borderId="14" xfId="1" applyFont="1" applyBorder="1" applyAlignment="1">
      <alignment horizontal="center"/>
    </xf>
    <xf numFmtId="0" fontId="10" fillId="2" borderId="15" xfId="1" applyFont="1" applyBorder="1" applyAlignment="1">
      <alignment horizontal="center"/>
    </xf>
    <xf numFmtId="2" fontId="10" fillId="2" borderId="10" xfId="1" applyNumberFormat="1" applyFont="1" applyBorder="1" applyAlignment="1">
      <alignment horizontal="center"/>
    </xf>
    <xf numFmtId="2" fontId="10" fillId="2" borderId="11" xfId="1" applyNumberFormat="1" applyFont="1" applyBorder="1" applyAlignment="1">
      <alignment horizontal="center"/>
    </xf>
    <xf numFmtId="2" fontId="10" fillId="2" borderId="12" xfId="1" applyNumberFormat="1" applyFont="1" applyBorder="1" applyAlignment="1">
      <alignment horizontal="center"/>
    </xf>
    <xf numFmtId="0" fontId="9" fillId="0" borderId="0" xfId="0" applyFont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"/>
  <sheetViews>
    <sheetView tabSelected="1" zoomScale="88" zoomScaleNormal="75" workbookViewId="0">
      <selection activeCell="E62" sqref="E62"/>
    </sheetView>
  </sheetViews>
  <sheetFormatPr baseColWidth="10" defaultColWidth="9.1640625" defaultRowHeight="15" x14ac:dyDescent="0.2"/>
  <cols>
    <col min="1" max="8" width="9.1640625" style="2"/>
    <col min="9" max="9" width="11.5" style="2" customWidth="1"/>
    <col min="10" max="10" width="14.1640625" style="2" customWidth="1"/>
    <col min="11" max="11" width="9.1640625" style="2"/>
    <col min="12" max="12" width="10.33203125" style="2" customWidth="1"/>
    <col min="13" max="13" width="17.33203125" style="2" customWidth="1"/>
    <col min="14" max="14" width="20.83203125" style="2" customWidth="1"/>
    <col min="15" max="15" width="9.1640625" style="2"/>
    <col min="16" max="16" width="7" style="2" customWidth="1"/>
    <col min="17" max="17" width="8.5" style="2" customWidth="1"/>
    <col min="18" max="19" width="20" style="2" customWidth="1"/>
    <col min="20" max="21" width="9.1640625" style="2"/>
    <col min="22" max="22" width="20.5" style="2" customWidth="1"/>
    <col min="23" max="23" width="10.83203125" style="2" customWidth="1"/>
    <col min="24" max="16384" width="9.1640625" style="2"/>
  </cols>
  <sheetData>
    <row r="1" spans="1:24" s="16" customFormat="1" ht="20" thickBot="1" x14ac:dyDescent="0.3">
      <c r="D1" s="107" t="s">
        <v>23</v>
      </c>
      <c r="E1" s="108"/>
      <c r="F1" s="109"/>
      <c r="I1" s="110" t="s">
        <v>4</v>
      </c>
      <c r="J1" s="111"/>
      <c r="K1" s="17"/>
      <c r="M1" s="110" t="s">
        <v>20</v>
      </c>
      <c r="N1" s="111"/>
      <c r="R1" s="99" t="s">
        <v>26</v>
      </c>
      <c r="S1" s="100"/>
      <c r="V1" s="110" t="s">
        <v>33</v>
      </c>
      <c r="W1" s="112"/>
    </row>
    <row r="2" spans="1:24" s="16" customFormat="1" ht="20" thickBot="1" x14ac:dyDescent="0.3">
      <c r="D2" s="18" t="s">
        <v>5</v>
      </c>
      <c r="E2" s="19">
        <v>24</v>
      </c>
      <c r="F2" s="20" t="s">
        <v>6</v>
      </c>
      <c r="I2" s="21" t="s">
        <v>30</v>
      </c>
      <c r="J2" s="22">
        <v>50</v>
      </c>
      <c r="K2" s="17"/>
      <c r="M2" s="23" t="s">
        <v>30</v>
      </c>
      <c r="N2" s="24">
        <v>50</v>
      </c>
      <c r="R2" s="23" t="s">
        <v>30</v>
      </c>
      <c r="S2" s="24">
        <v>50</v>
      </c>
      <c r="V2" s="23" t="s">
        <v>30</v>
      </c>
      <c r="W2" s="24">
        <v>50</v>
      </c>
    </row>
    <row r="3" spans="1:24" s="16" customFormat="1" ht="20" thickBot="1" x14ac:dyDescent="0.3">
      <c r="D3" s="25" t="s">
        <v>7</v>
      </c>
      <c r="E3" s="26">
        <v>12</v>
      </c>
      <c r="F3" s="27" t="s">
        <v>6</v>
      </c>
      <c r="I3" s="28" t="s">
        <v>31</v>
      </c>
      <c r="J3" s="29">
        <v>1</v>
      </c>
      <c r="M3" s="30" t="s">
        <v>21</v>
      </c>
      <c r="N3" s="97">
        <v>1E-3</v>
      </c>
      <c r="R3" s="31" t="s">
        <v>39</v>
      </c>
      <c r="S3" s="98">
        <v>6.1881615331292323E-4</v>
      </c>
      <c r="V3" s="31" t="s">
        <v>29</v>
      </c>
      <c r="W3" s="98">
        <v>1E-3</v>
      </c>
    </row>
    <row r="4" spans="1:24" s="16" customFormat="1" ht="20" thickBot="1" x14ac:dyDescent="0.3">
      <c r="D4" s="32" t="s">
        <v>8</v>
      </c>
      <c r="E4" s="33">
        <v>6</v>
      </c>
      <c r="F4" s="34" t="s">
        <v>6</v>
      </c>
      <c r="M4" s="35" t="s">
        <v>31</v>
      </c>
      <c r="N4" s="36">
        <v>1</v>
      </c>
      <c r="O4" s="17"/>
      <c r="R4" s="30" t="s">
        <v>21</v>
      </c>
      <c r="S4" s="97">
        <v>1E-3</v>
      </c>
      <c r="V4" s="30" t="s">
        <v>21</v>
      </c>
      <c r="W4" s="97">
        <v>1E-3</v>
      </c>
    </row>
    <row r="5" spans="1:24" s="16" customFormat="1" ht="19" x14ac:dyDescent="0.25">
      <c r="D5" s="37" t="s">
        <v>9</v>
      </c>
      <c r="E5" s="38">
        <v>140</v>
      </c>
      <c r="F5" s="39" t="s">
        <v>10</v>
      </c>
      <c r="M5" s="17"/>
      <c r="N5" s="17"/>
      <c r="O5" s="17"/>
      <c r="R5" s="35" t="s">
        <v>31</v>
      </c>
      <c r="S5" s="36">
        <v>1</v>
      </c>
      <c r="T5" s="17"/>
      <c r="V5" s="35" t="s">
        <v>31</v>
      </c>
      <c r="W5" s="36">
        <v>1</v>
      </c>
    </row>
    <row r="6" spans="1:24" s="16" customFormat="1" ht="19" x14ac:dyDescent="0.25">
      <c r="D6" s="25" t="s">
        <v>11</v>
      </c>
      <c r="E6" s="26">
        <v>60</v>
      </c>
      <c r="F6" s="27" t="s">
        <v>10</v>
      </c>
    </row>
    <row r="7" spans="1:24" s="16" customFormat="1" ht="20" thickBot="1" x14ac:dyDescent="0.3">
      <c r="D7" s="40" t="s">
        <v>12</v>
      </c>
      <c r="E7" s="41">
        <v>40</v>
      </c>
      <c r="F7" s="42" t="s">
        <v>10</v>
      </c>
    </row>
    <row r="9" spans="1:24" s="16" customFormat="1" ht="19" x14ac:dyDescent="0.25">
      <c r="C9" s="16">
        <f>125*60/1000</f>
        <v>7.5</v>
      </c>
      <c r="I9" s="106" t="s">
        <v>13</v>
      </c>
      <c r="J9" s="106"/>
      <c r="M9" s="106" t="s">
        <v>22</v>
      </c>
      <c r="N9" s="106"/>
      <c r="O9" s="82"/>
      <c r="Q9" s="82"/>
      <c r="R9" s="82" t="s">
        <v>28</v>
      </c>
      <c r="S9" s="82"/>
      <c r="T9" s="82"/>
      <c r="V9" s="106" t="s">
        <v>34</v>
      </c>
      <c r="W9" s="106"/>
      <c r="X9" s="82"/>
    </row>
    <row r="10" spans="1:24" s="16" customFormat="1" ht="19" x14ac:dyDescent="0.25">
      <c r="A10" s="102" t="s">
        <v>3</v>
      </c>
      <c r="B10" s="102"/>
      <c r="C10" s="102"/>
      <c r="D10" s="102"/>
      <c r="E10" s="102"/>
      <c r="F10" s="102"/>
      <c r="I10" s="106" t="s">
        <v>14</v>
      </c>
      <c r="J10" s="106"/>
      <c r="M10" s="106" t="s">
        <v>36</v>
      </c>
      <c r="N10" s="106"/>
      <c r="O10" s="82"/>
      <c r="Q10" s="82"/>
      <c r="R10" s="82" t="s">
        <v>38</v>
      </c>
      <c r="S10" s="82"/>
      <c r="T10" s="82"/>
      <c r="V10" s="106" t="s">
        <v>37</v>
      </c>
      <c r="W10" s="106"/>
      <c r="X10" s="106"/>
    </row>
    <row r="11" spans="1:24" x14ac:dyDescent="0.2">
      <c r="A11" s="12" t="s">
        <v>0</v>
      </c>
      <c r="B11" s="12" t="s">
        <v>1</v>
      </c>
      <c r="C11" s="4" t="s">
        <v>84</v>
      </c>
      <c r="D11" s="12" t="s">
        <v>16</v>
      </c>
      <c r="E11" s="12" t="s">
        <v>17</v>
      </c>
      <c r="F11" s="5" t="s">
        <v>18</v>
      </c>
      <c r="I11" s="6" t="s">
        <v>15</v>
      </c>
      <c r="J11" s="6" t="s">
        <v>53</v>
      </c>
      <c r="M11" s="6" t="s">
        <v>24</v>
      </c>
      <c r="N11" s="6" t="s">
        <v>54</v>
      </c>
      <c r="Q11"/>
      <c r="R11" s="6" t="s">
        <v>27</v>
      </c>
      <c r="S11" s="1" t="s">
        <v>55</v>
      </c>
      <c r="V11" s="6" t="s">
        <v>35</v>
      </c>
      <c r="W11" s="6" t="s">
        <v>56</v>
      </c>
      <c r="X11"/>
    </row>
    <row r="12" spans="1:24" s="65" customFormat="1" ht="11" x14ac:dyDescent="0.15">
      <c r="A12" s="61">
        <v>1</v>
      </c>
      <c r="B12" s="61">
        <v>1</v>
      </c>
      <c r="C12" s="62">
        <v>6.0870925443759516</v>
      </c>
      <c r="D12" s="61">
        <v>1</v>
      </c>
      <c r="E12" s="93">
        <v>28</v>
      </c>
      <c r="F12" s="61">
        <v>0.16400000000000001</v>
      </c>
      <c r="I12" s="65">
        <f>(E$5*J$3)/(E$2*J$2)</f>
        <v>0.11666666666666667</v>
      </c>
      <c r="J12" s="65">
        <f>(F12-I12)^2</f>
        <v>2.2404444444444451E-3</v>
      </c>
      <c r="M12" s="65">
        <f>(E$5*N$4)/(E$2*N$2*(1+N$3*(C12-C$62)))</f>
        <v>0.11663550412672762</v>
      </c>
      <c r="R12" s="65">
        <f t="shared" ref="R12:R31" si="0">(E$5*S$5*(1+S$3*(E12-E$62)))/(S$2*(1+S$4*(C12-C$62))*E$2)</f>
        <v>0.11590652719329311</v>
      </c>
    </row>
    <row r="13" spans="1:24" s="65" customFormat="1" ht="11" x14ac:dyDescent="0.15">
      <c r="A13" s="61">
        <v>2</v>
      </c>
      <c r="B13" s="61">
        <v>1</v>
      </c>
      <c r="C13" s="62">
        <v>6.4340295474322629</v>
      </c>
      <c r="D13" s="61">
        <v>1</v>
      </c>
      <c r="E13" s="93">
        <v>28</v>
      </c>
      <c r="F13" s="61">
        <v>0.14399999999999999</v>
      </c>
      <c r="I13" s="65">
        <f t="shared" ref="I13:I31" si="1">(E$5*J$3)/(E$2*J$2)</f>
        <v>0.11666666666666667</v>
      </c>
      <c r="J13" s="65">
        <f t="shared" ref="J13:J61" si="2">(F13-I13)^2</f>
        <v>7.4711111111111039E-4</v>
      </c>
      <c r="M13" s="65">
        <f t="shared" ref="M13:M31" si="3">(E$5*N$4)/(E$2*N$2*(1+N$3*(C13-C$62)))</f>
        <v>0.11659506378952814</v>
      </c>
      <c r="R13" s="65">
        <f t="shared" si="0"/>
        <v>0.11586633960994608</v>
      </c>
    </row>
    <row r="14" spans="1:24" s="65" customFormat="1" ht="11" x14ac:dyDescent="0.15">
      <c r="A14" s="61">
        <v>3</v>
      </c>
      <c r="B14" s="61">
        <v>1</v>
      </c>
      <c r="C14" s="62">
        <v>6.1878731599581567</v>
      </c>
      <c r="D14" s="61">
        <v>1</v>
      </c>
      <c r="E14" s="93">
        <v>26</v>
      </c>
      <c r="F14" s="61">
        <v>0.222</v>
      </c>
      <c r="I14" s="65">
        <f t="shared" si="1"/>
        <v>0.11666666666666667</v>
      </c>
      <c r="J14" s="65">
        <f t="shared" si="2"/>
        <v>1.1095111111111111E-2</v>
      </c>
      <c r="M14" s="65">
        <f t="shared" si="3"/>
        <v>0.11662375385244765</v>
      </c>
      <c r="R14" s="65">
        <f t="shared" si="0"/>
        <v>0.11575051303324663</v>
      </c>
    </row>
    <row r="15" spans="1:24" s="65" customFormat="1" ht="11" x14ac:dyDescent="0.15">
      <c r="A15" s="61">
        <v>4</v>
      </c>
      <c r="B15" s="61">
        <v>1</v>
      </c>
      <c r="C15" s="62">
        <v>5.5793060004309147</v>
      </c>
      <c r="D15" s="61">
        <v>0</v>
      </c>
      <c r="E15" s="93">
        <v>52</v>
      </c>
      <c r="F15" s="61">
        <v>0.25800000000000001</v>
      </c>
      <c r="I15" s="65">
        <f>(E$5*J$3)/(E$2*J$2)</f>
        <v>0.11666666666666667</v>
      </c>
      <c r="J15" s="65">
        <f>(F15-I15)^2</f>
        <v>1.9975111111111114E-2</v>
      </c>
      <c r="M15" s="65">
        <f>(E$5*N$4)/(E$2*N$2*(1+N$3*(C15-C$62)))</f>
        <v>0.11669474431991565</v>
      </c>
      <c r="R15" s="65">
        <f t="shared" si="0"/>
        <v>0.11769849935972285</v>
      </c>
    </row>
    <row r="16" spans="1:24" s="65" customFormat="1" ht="11" x14ac:dyDescent="0.15">
      <c r="A16" s="61">
        <v>5</v>
      </c>
      <c r="B16" s="61">
        <v>1</v>
      </c>
      <c r="C16" s="62">
        <v>6.6471531806299673</v>
      </c>
      <c r="D16" s="61">
        <v>0</v>
      </c>
      <c r="E16" s="93">
        <v>54</v>
      </c>
      <c r="F16" s="61">
        <v>0.16800000000000001</v>
      </c>
      <c r="I16" s="65">
        <f t="shared" si="1"/>
        <v>0.11666666666666667</v>
      </c>
      <c r="J16" s="65">
        <f t="shared" si="2"/>
        <v>2.6351111111111119E-3</v>
      </c>
      <c r="M16" s="65">
        <f t="shared" si="3"/>
        <v>0.1165702351651389</v>
      </c>
      <c r="R16" s="65">
        <f t="shared" si="0"/>
        <v>0.11771719032293812</v>
      </c>
    </row>
    <row r="17" spans="1:22" s="65" customFormat="1" ht="11" x14ac:dyDescent="0.15">
      <c r="A17" s="61">
        <v>6</v>
      </c>
      <c r="B17" s="61">
        <v>1</v>
      </c>
      <c r="C17" s="62">
        <v>6.175098672028402</v>
      </c>
      <c r="D17" s="61">
        <v>0</v>
      </c>
      <c r="E17" s="93">
        <v>55</v>
      </c>
      <c r="F17" s="61">
        <v>0.19</v>
      </c>
      <c r="I17" s="65">
        <f t="shared" si="1"/>
        <v>0.11666666666666667</v>
      </c>
      <c r="J17" s="65">
        <f t="shared" si="2"/>
        <v>5.3777777777777782E-3</v>
      </c>
      <c r="M17" s="65">
        <f t="shared" si="3"/>
        <v>0.11662524313221374</v>
      </c>
      <c r="R17" s="65">
        <f t="shared" si="0"/>
        <v>0.11784490910746276</v>
      </c>
    </row>
    <row r="18" spans="1:22" s="65" customFormat="1" ht="11" x14ac:dyDescent="0.15">
      <c r="A18" s="61">
        <v>7</v>
      </c>
      <c r="B18" s="61">
        <v>1</v>
      </c>
      <c r="C18" s="62">
        <v>6.5292236262064467</v>
      </c>
      <c r="D18" s="61">
        <v>1</v>
      </c>
      <c r="E18" s="93">
        <v>32</v>
      </c>
      <c r="F18" s="61">
        <v>0.192</v>
      </c>
      <c r="I18" s="65">
        <f t="shared" si="1"/>
        <v>0.11666666666666667</v>
      </c>
      <c r="J18" s="65">
        <f t="shared" si="2"/>
        <v>5.6751111111111117E-3</v>
      </c>
      <c r="M18" s="65">
        <f t="shared" si="3"/>
        <v>0.11658397249700503</v>
      </c>
      <c r="R18" s="65">
        <f t="shared" si="0"/>
        <v>0.11614389382007395</v>
      </c>
    </row>
    <row r="19" spans="1:22" s="65" customFormat="1" ht="11" x14ac:dyDescent="0.15">
      <c r="A19" s="61">
        <v>8</v>
      </c>
      <c r="B19" s="61">
        <v>1</v>
      </c>
      <c r="C19" s="62">
        <v>5.7819860575332731</v>
      </c>
      <c r="D19" s="61">
        <v>0</v>
      </c>
      <c r="E19" s="93">
        <v>51</v>
      </c>
      <c r="F19" s="61">
        <v>0.187</v>
      </c>
      <c r="I19" s="65">
        <f t="shared" si="1"/>
        <v>0.11666666666666667</v>
      </c>
      <c r="J19" s="65">
        <f t="shared" si="2"/>
        <v>4.9467777777777774E-3</v>
      </c>
      <c r="M19" s="65">
        <f t="shared" si="3"/>
        <v>0.11667109172538635</v>
      </c>
      <c r="R19" s="65">
        <f t="shared" si="0"/>
        <v>0.11760244536016411</v>
      </c>
    </row>
    <row r="20" spans="1:22" s="65" customFormat="1" ht="11" x14ac:dyDescent="0.15">
      <c r="A20" s="61">
        <v>9</v>
      </c>
      <c r="B20" s="61">
        <v>1</v>
      </c>
      <c r="C20" s="62">
        <v>5.8481080611008194</v>
      </c>
      <c r="D20" s="61">
        <v>1</v>
      </c>
      <c r="E20" s="93">
        <v>39</v>
      </c>
      <c r="F20" s="61">
        <v>0.161</v>
      </c>
      <c r="I20" s="65">
        <f t="shared" si="1"/>
        <v>0.11666666666666667</v>
      </c>
      <c r="J20" s="65">
        <f t="shared" si="2"/>
        <v>1.9654444444444446E-3</v>
      </c>
      <c r="M20" s="65">
        <f t="shared" si="3"/>
        <v>0.1166633774165431</v>
      </c>
      <c r="R20" s="65">
        <f t="shared" si="0"/>
        <v>0.11672835128074398</v>
      </c>
    </row>
    <row r="21" spans="1:22" s="65" customFormat="1" ht="11" x14ac:dyDescent="0.15">
      <c r="A21" s="61">
        <v>10</v>
      </c>
      <c r="B21" s="61">
        <v>1</v>
      </c>
      <c r="C21" s="62">
        <v>5.8900312117954829</v>
      </c>
      <c r="D21" s="61">
        <v>0</v>
      </c>
      <c r="E21" s="93">
        <v>49</v>
      </c>
      <c r="F21" s="61">
        <v>0.224</v>
      </c>
      <c r="I21" s="65">
        <f t="shared" si="1"/>
        <v>0.11666666666666667</v>
      </c>
      <c r="J21" s="65">
        <f t="shared" si="2"/>
        <v>1.1520444444444444E-2</v>
      </c>
      <c r="M21" s="65">
        <f t="shared" si="3"/>
        <v>0.11665848686310461</v>
      </c>
      <c r="R21" s="65">
        <f t="shared" si="0"/>
        <v>0.11744535956450668</v>
      </c>
    </row>
    <row r="22" spans="1:22" s="65" customFormat="1" ht="11" x14ac:dyDescent="0.15">
      <c r="A22" s="61">
        <v>11</v>
      </c>
      <c r="B22" s="61">
        <v>1</v>
      </c>
      <c r="C22" s="62">
        <v>5.9136591814255741</v>
      </c>
      <c r="D22" s="61">
        <v>1</v>
      </c>
      <c r="E22" s="93">
        <v>32</v>
      </c>
      <c r="F22" s="61">
        <v>0.26700000000000002</v>
      </c>
      <c r="I22" s="65">
        <f t="shared" si="1"/>
        <v>0.11666666666666667</v>
      </c>
      <c r="J22" s="65">
        <f t="shared" si="2"/>
        <v>2.2600111111111116E-2</v>
      </c>
      <c r="M22" s="65">
        <f t="shared" si="3"/>
        <v>0.11665573071829605</v>
      </c>
      <c r="R22" s="65">
        <f t="shared" si="0"/>
        <v>0.11621538116997153</v>
      </c>
    </row>
    <row r="23" spans="1:22" s="65" customFormat="1" ht="11" x14ac:dyDescent="0.15">
      <c r="A23" s="61">
        <v>12</v>
      </c>
      <c r="B23" s="61">
        <v>1</v>
      </c>
      <c r="C23" s="62">
        <v>5.9191723196127253</v>
      </c>
      <c r="D23" s="61">
        <v>0</v>
      </c>
      <c r="E23" s="93">
        <v>55</v>
      </c>
      <c r="F23" s="61">
        <v>0.249</v>
      </c>
      <c r="I23" s="65">
        <f t="shared" si="1"/>
        <v>0.11666666666666667</v>
      </c>
      <c r="J23" s="65">
        <f t="shared" si="2"/>
        <v>1.751211111111111E-2</v>
      </c>
      <c r="M23" s="65">
        <f t="shared" si="3"/>
        <v>0.11665508764296305</v>
      </c>
      <c r="R23" s="65">
        <f t="shared" si="0"/>
        <v>0.11787506573189632</v>
      </c>
    </row>
    <row r="24" spans="1:22" s="65" customFormat="1" ht="11" x14ac:dyDescent="0.15">
      <c r="A24" s="61">
        <v>13</v>
      </c>
      <c r="B24" s="61">
        <v>1</v>
      </c>
      <c r="C24" s="62">
        <v>6.0919279768765193</v>
      </c>
      <c r="D24" s="61">
        <v>0</v>
      </c>
      <c r="E24" s="93">
        <v>57</v>
      </c>
      <c r="F24" s="61">
        <v>0.16700000000000001</v>
      </c>
      <c r="I24" s="65">
        <f t="shared" si="1"/>
        <v>0.11666666666666667</v>
      </c>
      <c r="J24" s="65">
        <f t="shared" si="2"/>
        <v>2.5334444444444454E-3</v>
      </c>
      <c r="M24" s="65">
        <f t="shared" si="3"/>
        <v>0.11663494029698997</v>
      </c>
      <c r="R24" s="65">
        <f t="shared" si="0"/>
        <v>0.11799905885531319</v>
      </c>
    </row>
    <row r="25" spans="1:22" s="65" customFormat="1" ht="11" x14ac:dyDescent="0.15">
      <c r="A25" s="61">
        <v>14</v>
      </c>
      <c r="B25" s="61">
        <v>1</v>
      </c>
      <c r="C25" s="62">
        <v>6.2698136637233768</v>
      </c>
      <c r="D25" s="61">
        <v>1</v>
      </c>
      <c r="E25" s="93">
        <v>30</v>
      </c>
      <c r="F25" s="61">
        <v>0.13900000000000001</v>
      </c>
      <c r="I25" s="65">
        <f t="shared" si="1"/>
        <v>0.11666666666666667</v>
      </c>
      <c r="J25" s="65">
        <f t="shared" si="2"/>
        <v>4.9877777777777822E-4</v>
      </c>
      <c r="M25" s="65">
        <f t="shared" si="3"/>
        <v>0.11661420194071077</v>
      </c>
      <c r="R25" s="65">
        <f t="shared" si="0"/>
        <v>0.11602968365059126</v>
      </c>
    </row>
    <row r="26" spans="1:22" s="65" customFormat="1" ht="11" x14ac:dyDescent="0.15">
      <c r="A26" s="61">
        <v>15</v>
      </c>
      <c r="B26" s="61">
        <v>1</v>
      </c>
      <c r="C26" s="62">
        <v>5.9671603890492664</v>
      </c>
      <c r="D26" s="61">
        <v>1</v>
      </c>
      <c r="E26" s="93">
        <v>28</v>
      </c>
      <c r="F26" s="61">
        <v>0.155</v>
      </c>
      <c r="I26" s="65">
        <f t="shared" si="1"/>
        <v>0.11666666666666667</v>
      </c>
      <c r="J26" s="65">
        <f t="shared" si="2"/>
        <v>1.4694444444444442E-3</v>
      </c>
      <c r="M26" s="65">
        <f t="shared" si="3"/>
        <v>0.11664949041469047</v>
      </c>
      <c r="R26" s="65">
        <f t="shared" si="0"/>
        <v>0.11592042606635272</v>
      </c>
    </row>
    <row r="27" spans="1:22" s="65" customFormat="1" ht="11" x14ac:dyDescent="0.15">
      <c r="A27" s="61">
        <v>16</v>
      </c>
      <c r="B27" s="61">
        <v>1</v>
      </c>
      <c r="C27" s="62">
        <v>6.0029784575319702</v>
      </c>
      <c r="D27" s="61">
        <v>1</v>
      </c>
      <c r="E27" s="93">
        <v>27</v>
      </c>
      <c r="F27" s="61">
        <v>0.1198</v>
      </c>
      <c r="I27" s="65">
        <f t="shared" si="1"/>
        <v>0.11666666666666667</v>
      </c>
      <c r="J27" s="65">
        <f t="shared" si="2"/>
        <v>9.8177777777777901E-6</v>
      </c>
      <c r="M27" s="65">
        <f t="shared" si="3"/>
        <v>0.11664531301998809</v>
      </c>
      <c r="R27" s="65">
        <f t="shared" si="0"/>
        <v>0.11584409277664247</v>
      </c>
    </row>
    <row r="28" spans="1:22" s="65" customFormat="1" ht="11" x14ac:dyDescent="0.15">
      <c r="A28" s="61">
        <v>17</v>
      </c>
      <c r="B28" s="61">
        <v>1</v>
      </c>
      <c r="C28" s="62">
        <v>5.8729228976331331</v>
      </c>
      <c r="D28" s="61">
        <v>1</v>
      </c>
      <c r="E28" s="93">
        <v>24</v>
      </c>
      <c r="F28" s="61">
        <v>0.193</v>
      </c>
      <c r="I28" s="65">
        <f t="shared" si="1"/>
        <v>0.11666666666666667</v>
      </c>
      <c r="J28" s="65">
        <f t="shared" si="2"/>
        <v>5.8267777777777779E-3</v>
      </c>
      <c r="M28" s="65">
        <f t="shared" si="3"/>
        <v>0.11666048258735578</v>
      </c>
      <c r="R28" s="65">
        <f t="shared" si="0"/>
        <v>0.11564258397315123</v>
      </c>
    </row>
    <row r="29" spans="1:22" s="65" customFormat="1" ht="11" x14ac:dyDescent="0.15">
      <c r="A29" s="61">
        <v>18</v>
      </c>
      <c r="B29" s="61">
        <v>1</v>
      </c>
      <c r="C29" s="62">
        <v>6.4325569592128078</v>
      </c>
      <c r="D29" s="61">
        <v>1</v>
      </c>
      <c r="E29" s="93">
        <v>31</v>
      </c>
      <c r="F29" s="61">
        <v>0.159</v>
      </c>
      <c r="I29" s="65">
        <f t="shared" si="1"/>
        <v>0.11666666666666667</v>
      </c>
      <c r="J29" s="65">
        <f t="shared" si="2"/>
        <v>1.7921111111111111E-3</v>
      </c>
      <c r="M29" s="65">
        <f t="shared" si="3"/>
        <v>0.11659523538092122</v>
      </c>
      <c r="R29" s="65">
        <f t="shared" si="0"/>
        <v>0.11608296317404465</v>
      </c>
    </row>
    <row r="30" spans="1:22" s="65" customFormat="1" ht="11" x14ac:dyDescent="0.15">
      <c r="A30" s="61">
        <v>19</v>
      </c>
      <c r="B30" s="61">
        <v>1</v>
      </c>
      <c r="C30" s="62">
        <v>5.533236752245541</v>
      </c>
      <c r="D30" s="61">
        <v>0</v>
      </c>
      <c r="E30" s="93">
        <v>49</v>
      </c>
      <c r="F30" s="61">
        <v>0.29099999999999998</v>
      </c>
      <c r="I30" s="65">
        <f t="shared" si="1"/>
        <v>0.11666666666666667</v>
      </c>
      <c r="J30" s="65">
        <f t="shared" si="2"/>
        <v>3.0392111111111102E-2</v>
      </c>
      <c r="M30" s="65">
        <f t="shared" si="3"/>
        <v>0.11670012190068206</v>
      </c>
      <c r="R30" s="65">
        <f t="shared" si="0"/>
        <v>0.11748727543441251</v>
      </c>
    </row>
    <row r="31" spans="1:22" s="65" customFormat="1" ht="11" x14ac:dyDescent="0.15">
      <c r="A31" s="61">
        <v>20</v>
      </c>
      <c r="B31" s="61">
        <v>1</v>
      </c>
      <c r="C31" s="62">
        <v>5.8633509567005646</v>
      </c>
      <c r="D31" s="61">
        <v>0</v>
      </c>
      <c r="E31" s="93">
        <v>51</v>
      </c>
      <c r="F31" s="61">
        <v>0.13</v>
      </c>
      <c r="I31" s="65">
        <f t="shared" si="1"/>
        <v>0.11666666666666667</v>
      </c>
      <c r="J31" s="65">
        <f t="shared" si="2"/>
        <v>1.7777777777777784E-4</v>
      </c>
      <c r="M31" s="65">
        <f t="shared" si="3"/>
        <v>0.11666159920610143</v>
      </c>
      <c r="R31" s="65">
        <f t="shared" si="0"/>
        <v>0.11759287706467611</v>
      </c>
    </row>
    <row r="32" spans="1:22" s="65" customFormat="1" ht="11" x14ac:dyDescent="0.15">
      <c r="A32" s="68">
        <v>21</v>
      </c>
      <c r="B32" s="68">
        <v>2</v>
      </c>
      <c r="C32" s="69">
        <v>5.7129841253398688</v>
      </c>
      <c r="D32" s="68">
        <v>0</v>
      </c>
      <c r="E32" s="94">
        <v>48</v>
      </c>
      <c r="F32" s="68">
        <v>0.34799999999999998</v>
      </c>
      <c r="I32" s="71">
        <f>(E$6*J$3)/(E$3*J$2)</f>
        <v>0.1</v>
      </c>
      <c r="J32" s="65">
        <f>(F32-I32)^2</f>
        <v>6.1503999999999982E-2</v>
      </c>
      <c r="M32" s="65">
        <f>(E$6*N$4)/E$3*1/(N$2*(1+N$3*(C32-C$62)))</f>
        <v>0.10001069410035286</v>
      </c>
      <c r="R32" s="71">
        <f t="shared" ref="R32:R41" si="4">(E$6*S$5*(1+S$3*(E32-E$62)))/(S$2*(1+S$4*(C32-C$62))*E$3)</f>
        <v>0.10062338760718489</v>
      </c>
      <c r="S32" s="71"/>
      <c r="V32" s="71"/>
    </row>
    <row r="33" spans="1:22" s="65" customFormat="1" ht="11" x14ac:dyDescent="0.15">
      <c r="A33" s="68">
        <v>22</v>
      </c>
      <c r="B33" s="68">
        <v>2</v>
      </c>
      <c r="C33" s="69">
        <v>5.3716510192829228</v>
      </c>
      <c r="D33" s="68">
        <v>1</v>
      </c>
      <c r="E33" s="94">
        <v>28</v>
      </c>
      <c r="F33" s="68">
        <v>0.23400000000000001</v>
      </c>
      <c r="I33" s="71">
        <f t="shared" ref="I33:I41" si="5">(E$6*J$3)/(E$3*J$2)</f>
        <v>0.1</v>
      </c>
      <c r="J33" s="65">
        <f t="shared" si="2"/>
        <v>1.7956000000000003E-2</v>
      </c>
      <c r="M33" s="65">
        <f t="shared" ref="M33:M41" si="6">(E$6*N$4)/E$3*1/(N$2*(1+N$3*(C33-C$62)))</f>
        <v>0.10004484637039696</v>
      </c>
      <c r="R33" s="71">
        <f t="shared" si="4"/>
        <v>9.9419561763800887E-2</v>
      </c>
      <c r="S33" s="71"/>
      <c r="V33" s="71"/>
    </row>
    <row r="34" spans="1:22" s="65" customFormat="1" ht="11" x14ac:dyDescent="0.15">
      <c r="A34" s="68">
        <v>23</v>
      </c>
      <c r="B34" s="68">
        <v>2</v>
      </c>
      <c r="C34" s="69">
        <v>5.63290656386972</v>
      </c>
      <c r="D34" s="68">
        <v>1</v>
      </c>
      <c r="E34" s="94">
        <v>30</v>
      </c>
      <c r="F34" s="68">
        <v>0.30399999999999999</v>
      </c>
      <c r="I34" s="71">
        <f t="shared" si="5"/>
        <v>0.1</v>
      </c>
      <c r="J34" s="65">
        <f t="shared" si="2"/>
        <v>4.1615999999999993E-2</v>
      </c>
      <c r="M34" s="65">
        <f t="shared" si="6"/>
        <v>0.10001870421080514</v>
      </c>
      <c r="R34" s="71">
        <f t="shared" si="4"/>
        <v>9.951736937343264E-2</v>
      </c>
      <c r="S34" s="71"/>
      <c r="V34" s="71"/>
    </row>
    <row r="35" spans="1:22" s="65" customFormat="1" ht="11" x14ac:dyDescent="0.15">
      <c r="A35" s="68">
        <v>24</v>
      </c>
      <c r="B35" s="68">
        <v>2</v>
      </c>
      <c r="C35" s="69">
        <v>6.6085299767533403</v>
      </c>
      <c r="D35" s="68">
        <v>1</v>
      </c>
      <c r="E35" s="94">
        <v>21</v>
      </c>
      <c r="F35" s="68">
        <v>0.14599999999999999</v>
      </c>
      <c r="I35" s="71">
        <f t="shared" si="5"/>
        <v>0.1</v>
      </c>
      <c r="J35" s="65">
        <f t="shared" si="2"/>
        <v>2.1159999999999985E-3</v>
      </c>
      <c r="M35" s="65">
        <f t="shared" si="6"/>
        <v>9.9921200514253544E-2</v>
      </c>
      <c r="R35" s="71">
        <f t="shared" si="4"/>
        <v>9.886385872903701E-2</v>
      </c>
      <c r="S35" s="71"/>
      <c r="V35" s="71"/>
    </row>
    <row r="36" spans="1:22" s="65" customFormat="1" ht="11" x14ac:dyDescent="0.15">
      <c r="A36" s="68">
        <v>25</v>
      </c>
      <c r="B36" s="68">
        <v>2</v>
      </c>
      <c r="C36" s="69">
        <v>5.9409258652593211</v>
      </c>
      <c r="D36" s="68">
        <v>1</v>
      </c>
      <c r="E36" s="94">
        <v>24</v>
      </c>
      <c r="F36" s="68">
        <v>0.20399999999999999</v>
      </c>
      <c r="I36" s="71">
        <f t="shared" si="5"/>
        <v>0.1</v>
      </c>
      <c r="J36" s="65">
        <f t="shared" si="2"/>
        <v>1.0815999999999996E-2</v>
      </c>
      <c r="M36" s="65">
        <f t="shared" si="6"/>
        <v>9.9987900247062764E-2</v>
      </c>
      <c r="R36" s="71">
        <f t="shared" si="4"/>
        <v>9.9115475044959767E-2</v>
      </c>
      <c r="S36" s="71"/>
      <c r="V36" s="71"/>
    </row>
    <row r="37" spans="1:22" s="65" customFormat="1" ht="11" x14ac:dyDescent="0.15">
      <c r="A37" s="68">
        <v>26</v>
      </c>
      <c r="B37" s="68">
        <v>2</v>
      </c>
      <c r="C37" s="69">
        <v>5.9855078185808726</v>
      </c>
      <c r="D37" s="68">
        <v>0</v>
      </c>
      <c r="E37" s="94">
        <v>55</v>
      </c>
      <c r="F37" s="68">
        <v>0.22800000000000001</v>
      </c>
      <c r="I37" s="71">
        <f t="shared" si="5"/>
        <v>0.1</v>
      </c>
      <c r="J37" s="65">
        <f t="shared" si="2"/>
        <v>1.6383999999999999E-2</v>
      </c>
      <c r="M37" s="65">
        <f t="shared" si="6"/>
        <v>9.9983443329200644E-2</v>
      </c>
      <c r="R37" s="71">
        <f t="shared" si="4"/>
        <v>0.10102906947875233</v>
      </c>
      <c r="S37" s="71"/>
      <c r="V37" s="71"/>
    </row>
    <row r="38" spans="1:22" s="65" customFormat="1" ht="11" x14ac:dyDescent="0.15">
      <c r="A38" s="68">
        <v>27</v>
      </c>
      <c r="B38" s="68">
        <v>2</v>
      </c>
      <c r="C38" s="69">
        <v>5.6228455264953379</v>
      </c>
      <c r="D38" s="68">
        <v>0</v>
      </c>
      <c r="E38" s="94">
        <v>49</v>
      </c>
      <c r="F38" s="68">
        <v>0.247</v>
      </c>
      <c r="I38" s="71">
        <f t="shared" si="5"/>
        <v>0.1</v>
      </c>
      <c r="J38" s="65">
        <f t="shared" si="2"/>
        <v>2.1608999999999996E-2</v>
      </c>
      <c r="M38" s="65">
        <f t="shared" si="6"/>
        <v>0.10001971070107353</v>
      </c>
      <c r="R38" s="71">
        <f t="shared" si="4"/>
        <v>0.10069435325875699</v>
      </c>
      <c r="S38" s="71"/>
      <c r="V38" s="71"/>
    </row>
    <row r="39" spans="1:22" s="65" customFormat="1" ht="11" x14ac:dyDescent="0.15">
      <c r="A39" s="68">
        <v>28</v>
      </c>
      <c r="B39" s="68">
        <v>2</v>
      </c>
      <c r="C39" s="69">
        <v>5.9752230158530812</v>
      </c>
      <c r="D39" s="68">
        <v>0</v>
      </c>
      <c r="E39" s="94">
        <v>40</v>
      </c>
      <c r="F39" s="68">
        <v>0.17199999999999999</v>
      </c>
      <c r="I39" s="71">
        <f t="shared" si="5"/>
        <v>0.1</v>
      </c>
      <c r="J39" s="65">
        <f t="shared" si="2"/>
        <v>5.1839999999999976E-3</v>
      </c>
      <c r="M39" s="65">
        <f t="shared" si="6"/>
        <v>9.998447147951002E-2</v>
      </c>
      <c r="R39" s="71">
        <f t="shared" si="4"/>
        <v>0.10010202829097078</v>
      </c>
      <c r="S39" s="71"/>
      <c r="V39" s="71"/>
    </row>
    <row r="40" spans="1:22" s="65" customFormat="1" ht="11" x14ac:dyDescent="0.15">
      <c r="A40" s="68">
        <v>29</v>
      </c>
      <c r="B40" s="68">
        <v>2</v>
      </c>
      <c r="C40" s="69">
        <v>5.5804342229477264</v>
      </c>
      <c r="D40" s="68">
        <v>1</v>
      </c>
      <c r="E40" s="94">
        <v>32</v>
      </c>
      <c r="F40" s="68">
        <v>0.189</v>
      </c>
      <c r="I40" s="71">
        <f t="shared" si="5"/>
        <v>0.1</v>
      </c>
      <c r="J40" s="65">
        <f t="shared" si="2"/>
        <v>7.9209999999999992E-3</v>
      </c>
      <c r="M40" s="65">
        <f t="shared" si="6"/>
        <v>0.100023953683492</v>
      </c>
      <c r="R40" s="71">
        <f t="shared" si="4"/>
        <v>9.9646385410120844E-2</v>
      </c>
      <c r="S40" s="71"/>
      <c r="V40" s="71"/>
    </row>
    <row r="41" spans="1:22" s="65" customFormat="1" ht="11" x14ac:dyDescent="0.15">
      <c r="A41" s="68">
        <v>30</v>
      </c>
      <c r="B41" s="68">
        <v>2</v>
      </c>
      <c r="C41" s="69">
        <v>6.4057999856869827</v>
      </c>
      <c r="D41" s="68">
        <v>1</v>
      </c>
      <c r="E41" s="94">
        <v>29</v>
      </c>
      <c r="F41" s="68">
        <v>0.19</v>
      </c>
      <c r="I41" s="71">
        <f t="shared" si="5"/>
        <v>0.1</v>
      </c>
      <c r="J41" s="65">
        <f t="shared" si="2"/>
        <v>8.0999999999999996E-3</v>
      </c>
      <c r="M41" s="65">
        <f t="shared" si="6"/>
        <v>9.9941445676977839E-2</v>
      </c>
      <c r="R41" s="71">
        <f t="shared" si="4"/>
        <v>9.937865271014755E-2</v>
      </c>
      <c r="S41" s="71"/>
      <c r="V41" s="71"/>
    </row>
    <row r="42" spans="1:22" s="65" customFormat="1" ht="11" x14ac:dyDescent="0.15">
      <c r="A42" s="72">
        <v>31</v>
      </c>
      <c r="B42" s="72">
        <v>3</v>
      </c>
      <c r="C42" s="73">
        <v>5.7714851710828325</v>
      </c>
      <c r="D42" s="72">
        <v>1</v>
      </c>
      <c r="E42" s="95">
        <v>21</v>
      </c>
      <c r="F42" s="72">
        <v>0.26300000000000001</v>
      </c>
      <c r="I42" s="71">
        <f>(E$7*J$3)/(E$4*J$2)</f>
        <v>0.13333333333333333</v>
      </c>
      <c r="J42" s="65">
        <f t="shared" si="2"/>
        <v>1.6813444444444447E-2</v>
      </c>
      <c r="M42" s="65">
        <f>(E$7*N$4)/E$4*1/(N$2*(1+N$3*(C42-C$62)))</f>
        <v>0.13333979078240879</v>
      </c>
      <c r="R42" s="71">
        <f t="shared" ref="R42:R53" si="7">(E$7*S$5*(1+S$3*(E42-E$62)))/(S$2*(1+S$4*(C42-C$62))*E$4)</f>
        <v>0.13192882162170338</v>
      </c>
      <c r="S42" s="71"/>
      <c r="V42" s="71"/>
    </row>
    <row r="43" spans="1:22" s="65" customFormat="1" ht="11" x14ac:dyDescent="0.15">
      <c r="A43" s="72">
        <v>32</v>
      </c>
      <c r="B43" s="72">
        <v>3</v>
      </c>
      <c r="C43" s="73">
        <v>5.1476933226836552</v>
      </c>
      <c r="D43" s="72">
        <v>1</v>
      </c>
      <c r="E43" s="95">
        <v>24</v>
      </c>
      <c r="F43" s="72">
        <v>0.307</v>
      </c>
      <c r="I43" s="71">
        <f t="shared" ref="I43:I61" si="8">(E$7*J$3)/(E$4*J$2)</f>
        <v>0.13333333333333333</v>
      </c>
      <c r="J43" s="65">
        <f t="shared" si="2"/>
        <v>3.016011111111111E-2</v>
      </c>
      <c r="M43" s="65">
        <f t="shared" ref="M43:M58" si="9">(E$7*N$4)/E$4*1/(N$2*(1+N$3*(C43-C$62)))</f>
        <v>0.13342302300736322</v>
      </c>
      <c r="R43" s="71">
        <f t="shared" si="7"/>
        <v>0.13225886606912596</v>
      </c>
      <c r="S43" s="71"/>
      <c r="V43" s="71"/>
    </row>
    <row r="44" spans="1:22" s="65" customFormat="1" ht="11" x14ac:dyDescent="0.15">
      <c r="A44" s="72">
        <v>33</v>
      </c>
      <c r="B44" s="72">
        <v>3</v>
      </c>
      <c r="C44" s="73">
        <v>6.4218192272432946</v>
      </c>
      <c r="D44" s="72">
        <v>1</v>
      </c>
      <c r="E44" s="95">
        <v>26</v>
      </c>
      <c r="F44" s="72">
        <v>0.151</v>
      </c>
      <c r="I44" s="71">
        <f t="shared" si="8"/>
        <v>0.13333333333333333</v>
      </c>
      <c r="J44" s="65">
        <f t="shared" si="2"/>
        <v>3.1211111111111099E-4</v>
      </c>
      <c r="M44" s="65">
        <f t="shared" si="9"/>
        <v>0.13325312753850774</v>
      </c>
      <c r="R44" s="71">
        <f t="shared" si="7"/>
        <v>0.13225537136612414</v>
      </c>
      <c r="S44" s="71"/>
      <c r="V44" s="71"/>
    </row>
    <row r="45" spans="1:22" s="65" customFormat="1" ht="11" x14ac:dyDescent="0.15">
      <c r="A45" s="72">
        <v>34</v>
      </c>
      <c r="B45" s="72">
        <v>3</v>
      </c>
      <c r="C45" s="73">
        <v>5.1575255069450634</v>
      </c>
      <c r="D45" s="72">
        <v>0</v>
      </c>
      <c r="E45" s="95">
        <v>50</v>
      </c>
      <c r="F45" s="72">
        <v>0.38900000000000001</v>
      </c>
      <c r="I45" s="71">
        <f t="shared" si="8"/>
        <v>0.13333333333333333</v>
      </c>
      <c r="J45" s="65">
        <f t="shared" si="2"/>
        <v>6.5365444444444462E-2</v>
      </c>
      <c r="M45" s="65">
        <f t="shared" si="9"/>
        <v>0.13342171029809322</v>
      </c>
      <c r="R45" s="71">
        <f t="shared" si="7"/>
        <v>0.13440421606156086</v>
      </c>
      <c r="S45" s="71"/>
      <c r="V45" s="71"/>
    </row>
    <row r="46" spans="1:22" s="65" customFormat="1" ht="11" x14ac:dyDescent="0.15">
      <c r="A46" s="72">
        <v>35</v>
      </c>
      <c r="B46" s="72">
        <v>3</v>
      </c>
      <c r="C46" s="73">
        <v>5.8865857504554411</v>
      </c>
      <c r="D46" s="72">
        <v>0</v>
      </c>
      <c r="E46" s="95">
        <v>59</v>
      </c>
      <c r="F46" s="72">
        <v>0.26600000000000001</v>
      </c>
      <c r="I46" s="71">
        <f t="shared" si="8"/>
        <v>0.13333333333333333</v>
      </c>
      <c r="J46" s="65">
        <f t="shared" si="2"/>
        <v>1.760044444444445E-2</v>
      </c>
      <c r="M46" s="65">
        <f t="shared" si="9"/>
        <v>0.13332444431841661</v>
      </c>
      <c r="R46" s="71">
        <f t="shared" si="7"/>
        <v>0.13504876370172886</v>
      </c>
      <c r="S46" s="71"/>
      <c r="V46" s="71"/>
    </row>
    <row r="47" spans="1:22" s="65" customFormat="1" ht="11" x14ac:dyDescent="0.15">
      <c r="A47" s="72">
        <v>36</v>
      </c>
      <c r="B47" s="72">
        <v>3</v>
      </c>
      <c r="C47" s="73">
        <v>6.7126015529581391</v>
      </c>
      <c r="D47" s="72">
        <v>1</v>
      </c>
      <c r="E47" s="95">
        <v>32</v>
      </c>
      <c r="F47" s="72">
        <v>0.151</v>
      </c>
      <c r="I47" s="71">
        <f t="shared" si="8"/>
        <v>0.13333333333333333</v>
      </c>
      <c r="J47" s="65">
        <f t="shared" si="2"/>
        <v>3.1211111111111099E-4</v>
      </c>
      <c r="M47" s="65">
        <f t="shared" si="9"/>
        <v>0.13321441444288373</v>
      </c>
      <c r="R47" s="71">
        <f t="shared" si="7"/>
        <v>0.13271155953066432</v>
      </c>
      <c r="S47" s="71"/>
      <c r="V47" s="71"/>
    </row>
    <row r="48" spans="1:22" s="65" customFormat="1" ht="11" x14ac:dyDescent="0.15">
      <c r="A48" s="72">
        <v>37</v>
      </c>
      <c r="B48" s="72">
        <v>3</v>
      </c>
      <c r="C48" s="73">
        <v>4.0999999999999996</v>
      </c>
      <c r="D48" s="72">
        <v>0</v>
      </c>
      <c r="E48" s="95">
        <v>38</v>
      </c>
      <c r="F48" s="72">
        <v>0.95399999999999996</v>
      </c>
      <c r="I48" s="71">
        <f t="shared" si="8"/>
        <v>0.13333333333333333</v>
      </c>
      <c r="J48" s="65">
        <f t="shared" si="2"/>
        <v>0.67349377777777775</v>
      </c>
      <c r="M48" s="65">
        <f t="shared" si="9"/>
        <v>0.13356305025243662</v>
      </c>
      <c r="R48" s="71">
        <f t="shared" si="7"/>
        <v>0.13355478515513841</v>
      </c>
      <c r="S48" s="71"/>
      <c r="V48" s="71"/>
    </row>
    <row r="49" spans="1:23" s="65" customFormat="1" ht="11" x14ac:dyDescent="0.15">
      <c r="A49" s="72">
        <v>38</v>
      </c>
      <c r="B49" s="72">
        <v>3</v>
      </c>
      <c r="C49" s="73">
        <v>6.0055347937073948</v>
      </c>
      <c r="D49" s="72">
        <v>0</v>
      </c>
      <c r="E49" s="95">
        <v>37</v>
      </c>
      <c r="F49" s="72">
        <v>0.214</v>
      </c>
      <c r="I49" s="71">
        <f t="shared" si="8"/>
        <v>0.13333333333333333</v>
      </c>
      <c r="J49" s="65">
        <f t="shared" si="2"/>
        <v>6.5071111111111111E-3</v>
      </c>
      <c r="M49" s="65">
        <f t="shared" si="9"/>
        <v>0.13330858844650723</v>
      </c>
      <c r="R49" s="71">
        <f t="shared" si="7"/>
        <v>0.13321784558781058</v>
      </c>
      <c r="S49" s="71"/>
      <c r="V49" s="71"/>
    </row>
    <row r="50" spans="1:23" s="65" customFormat="1" ht="11" x14ac:dyDescent="0.15">
      <c r="A50" s="72">
        <v>39</v>
      </c>
      <c r="B50" s="72">
        <v>3</v>
      </c>
      <c r="C50" s="73">
        <v>5.9166518224663758</v>
      </c>
      <c r="D50" s="72">
        <v>0</v>
      </c>
      <c r="E50" s="95">
        <v>39</v>
      </c>
      <c r="F50" s="72">
        <v>0.24299999999999999</v>
      </c>
      <c r="I50" s="71">
        <f t="shared" si="8"/>
        <v>0.13333333333333333</v>
      </c>
      <c r="J50" s="65">
        <f t="shared" si="2"/>
        <v>1.2026777777777777E-2</v>
      </c>
      <c r="M50" s="65">
        <f t="shared" si="9"/>
        <v>0.13332043616381431</v>
      </c>
      <c r="R50" s="71">
        <f t="shared" si="7"/>
        <v>0.13339468691933271</v>
      </c>
      <c r="S50" s="71"/>
      <c r="V50" s="71"/>
    </row>
    <row r="51" spans="1:23" s="65" customFormat="1" ht="11" x14ac:dyDescent="0.15">
      <c r="A51" s="72">
        <v>40</v>
      </c>
      <c r="B51" s="72">
        <v>3</v>
      </c>
      <c r="C51" s="73">
        <v>5.348342714376785</v>
      </c>
      <c r="D51" s="72">
        <v>1</v>
      </c>
      <c r="E51" s="95">
        <v>24</v>
      </c>
      <c r="F51" s="72">
        <v>0.27300000000000002</v>
      </c>
      <c r="I51" s="71">
        <f t="shared" si="8"/>
        <v>0.13333333333333333</v>
      </c>
      <c r="J51" s="65">
        <f t="shared" si="2"/>
        <v>1.9506777777777783E-2</v>
      </c>
      <c r="M51" s="65">
        <f t="shared" si="9"/>
        <v>0.13339623912845894</v>
      </c>
      <c r="R51" s="71">
        <f t="shared" si="7"/>
        <v>0.13223231588780818</v>
      </c>
      <c r="S51" s="71"/>
      <c r="V51" s="71"/>
    </row>
    <row r="52" spans="1:23" s="65" customFormat="1" ht="11" x14ac:dyDescent="0.15">
      <c r="A52" s="72">
        <v>41</v>
      </c>
      <c r="B52" s="72">
        <v>3</v>
      </c>
      <c r="C52" s="73">
        <v>6.0265387956816783</v>
      </c>
      <c r="D52" s="72">
        <v>1</v>
      </c>
      <c r="E52" s="95">
        <v>27</v>
      </c>
      <c r="F52" s="72">
        <v>0.14299999999999999</v>
      </c>
      <c r="I52" s="71">
        <f t="shared" si="8"/>
        <v>0.13333333333333333</v>
      </c>
      <c r="J52" s="65">
        <f t="shared" si="2"/>
        <v>9.3444444444444255E-5</v>
      </c>
      <c r="M52" s="65">
        <f t="shared" si="9"/>
        <v>0.13330578901108597</v>
      </c>
      <c r="R52" s="71">
        <f t="shared" si="7"/>
        <v>0.13239013030225691</v>
      </c>
      <c r="S52" s="71"/>
      <c r="V52" s="71"/>
    </row>
    <row r="53" spans="1:23" s="65" customFormat="1" ht="11" x14ac:dyDescent="0.15">
      <c r="A53" s="72">
        <v>42</v>
      </c>
      <c r="B53" s="72">
        <v>3</v>
      </c>
      <c r="C53" s="73">
        <v>5.5322645056516802</v>
      </c>
      <c r="D53" s="72">
        <v>0</v>
      </c>
      <c r="E53" s="95">
        <v>51</v>
      </c>
      <c r="F53" s="72">
        <v>0.22500000000000001</v>
      </c>
      <c r="I53" s="71">
        <f t="shared" si="8"/>
        <v>0.13333333333333333</v>
      </c>
      <c r="J53" s="65">
        <f t="shared" si="2"/>
        <v>8.4027777777777798E-3</v>
      </c>
      <c r="M53" s="65">
        <f t="shared" si="9"/>
        <v>0.13337169759385661</v>
      </c>
      <c r="R53" s="71">
        <f t="shared" si="7"/>
        <v>0.13443636762902603</v>
      </c>
      <c r="S53" s="71"/>
      <c r="V53" s="71"/>
    </row>
    <row r="54" spans="1:23" s="65" customFormat="1" ht="11" x14ac:dyDescent="0.15">
      <c r="A54" s="72">
        <v>43</v>
      </c>
      <c r="B54" s="72">
        <v>3</v>
      </c>
      <c r="C54" s="73">
        <v>6.0879052539215825</v>
      </c>
      <c r="D54" s="72">
        <v>1</v>
      </c>
      <c r="E54" s="95">
        <v>27</v>
      </c>
      <c r="F54" s="72">
        <v>0.13600000000000001</v>
      </c>
      <c r="I54" s="71">
        <f t="shared" si="8"/>
        <v>0.13333333333333333</v>
      </c>
      <c r="J54" s="65">
        <f t="shared" si="2"/>
        <v>7.1111111111111728E-6</v>
      </c>
      <c r="M54" s="65">
        <f t="shared" si="9"/>
        <v>0.13329761069867016</v>
      </c>
      <c r="R54" s="71">
        <f>(E$7*S$5*(1+S$3*(E55-E$62)))/(S$2*(1+S$4*(C54-C$62))*E$4)</f>
        <v>0.13502158303586576</v>
      </c>
      <c r="S54" s="71"/>
      <c r="V54" s="71"/>
    </row>
    <row r="55" spans="1:23" s="65" customFormat="1" ht="11" x14ac:dyDescent="0.15">
      <c r="A55" s="72">
        <v>44</v>
      </c>
      <c r="B55" s="72">
        <v>3</v>
      </c>
      <c r="C55" s="73">
        <v>5.6796290053912442</v>
      </c>
      <c r="D55" s="72">
        <v>0</v>
      </c>
      <c r="E55" s="95">
        <v>59</v>
      </c>
      <c r="F55" s="72">
        <v>0.33400000000000002</v>
      </c>
      <c r="I55" s="71">
        <f t="shared" si="8"/>
        <v>0.13333333333333333</v>
      </c>
      <c r="J55" s="65">
        <f t="shared" si="2"/>
        <v>4.0267111111111122E-2</v>
      </c>
      <c r="M55" s="65">
        <f t="shared" si="9"/>
        <v>0.13335204058278358</v>
      </c>
      <c r="R55" s="71">
        <f>(E$7*S$5*(1+S$3*(E56-E$62)))/(S$2*(1+S$4*(C55-C$62))*E$4)</f>
        <v>0.13260110497199579</v>
      </c>
      <c r="S55" s="71"/>
      <c r="V55" s="71"/>
    </row>
    <row r="56" spans="1:23" s="65" customFormat="1" ht="11" x14ac:dyDescent="0.15">
      <c r="A56" s="72">
        <v>45</v>
      </c>
      <c r="B56" s="72">
        <v>3</v>
      </c>
      <c r="C56" s="73">
        <v>5.2449281350839652</v>
      </c>
      <c r="D56" s="72">
        <v>1</v>
      </c>
      <c r="E56" s="95">
        <v>29</v>
      </c>
      <c r="F56" s="72">
        <v>0.27900000000000003</v>
      </c>
      <c r="I56" s="71">
        <f t="shared" si="8"/>
        <v>0.13333333333333333</v>
      </c>
      <c r="J56" s="65">
        <f t="shared" si="2"/>
        <v>2.1218777777777784E-2</v>
      </c>
      <c r="M56" s="65">
        <f t="shared" si="9"/>
        <v>0.1334100421809635</v>
      </c>
      <c r="R56" s="71">
        <f>(E$7*S$5*(1+S$3*(E57-E$62)))/(S$2*(1+S$4*(C56-C$62))*E$4)</f>
        <v>0.13447501831055653</v>
      </c>
      <c r="S56" s="71"/>
      <c r="V56" s="71"/>
    </row>
    <row r="57" spans="1:23" s="65" customFormat="1" ht="11" x14ac:dyDescent="0.15">
      <c r="A57" s="72">
        <v>46</v>
      </c>
      <c r="B57" s="72">
        <v>3</v>
      </c>
      <c r="C57" s="73">
        <v>5.9603496730787882</v>
      </c>
      <c r="D57" s="72">
        <v>0</v>
      </c>
      <c r="E57" s="95">
        <v>51</v>
      </c>
      <c r="F57" s="72">
        <v>0.217</v>
      </c>
      <c r="I57" s="71">
        <f t="shared" si="8"/>
        <v>0.13333333333333333</v>
      </c>
      <c r="J57" s="65">
        <f t="shared" si="2"/>
        <v>7.0001111111111115E-3</v>
      </c>
      <c r="M57" s="65">
        <f t="shared" si="9"/>
        <v>0.13331461116535059</v>
      </c>
      <c r="R57" s="71">
        <f>(E$7*S$5*(1+S$3*(E57-E$62)))/(S$2*(1+S$4*(C57-C$62))*E$4)</f>
        <v>0.13437882549506719</v>
      </c>
      <c r="S57" s="71"/>
      <c r="V57" s="71"/>
    </row>
    <row r="58" spans="1:23" s="65" customFormat="1" ht="11" x14ac:dyDescent="0.15">
      <c r="A58" s="72">
        <v>47</v>
      </c>
      <c r="B58" s="72">
        <v>3</v>
      </c>
      <c r="C58" s="73">
        <v>5.5635793555110711</v>
      </c>
      <c r="D58" s="72">
        <v>0</v>
      </c>
      <c r="E58" s="95">
        <v>49</v>
      </c>
      <c r="F58" s="72">
        <v>0.27600000000000002</v>
      </c>
      <c r="I58" s="71">
        <f t="shared" si="8"/>
        <v>0.13333333333333333</v>
      </c>
      <c r="J58" s="65">
        <f t="shared" si="2"/>
        <v>2.0353777777777787E-2</v>
      </c>
      <c r="M58" s="65">
        <f t="shared" si="9"/>
        <v>0.13336752000831234</v>
      </c>
      <c r="R58" s="71">
        <f>(E$7*S$5*(1+S$3*(E58-E$62)))/(S$2*(1+S$4*(C58-C$62))*E$4)</f>
        <v>0.13426709674353421</v>
      </c>
      <c r="S58" s="71"/>
      <c r="V58" s="71"/>
    </row>
    <row r="59" spans="1:23" s="65" customFormat="1" ht="11" x14ac:dyDescent="0.15">
      <c r="A59" s="72">
        <v>48</v>
      </c>
      <c r="B59" s="72">
        <v>3</v>
      </c>
      <c r="C59" s="73">
        <v>5.7356310236365626</v>
      </c>
      <c r="D59" s="72">
        <v>1</v>
      </c>
      <c r="E59" s="95">
        <v>27</v>
      </c>
      <c r="F59" s="72">
        <v>0.17199999999999999</v>
      </c>
      <c r="I59" s="71">
        <f t="shared" si="8"/>
        <v>0.13333333333333333</v>
      </c>
      <c r="J59" s="65">
        <f t="shared" si="2"/>
        <v>1.4951111111111103E-3</v>
      </c>
      <c r="M59" s="65">
        <f>(E$7*N$4)/E$4*1/(N$2*(1+N$3*(C59-C$62)))</f>
        <v>0.13334457196989918</v>
      </c>
      <c r="R59" s="71">
        <f>(E$7*S$5*(1+S$3*(E59-E$62)))/(S$2*(1+S$4*(C59-C$62))*E$4)</f>
        <v>0.13242864686638273</v>
      </c>
      <c r="S59" s="71"/>
      <c r="V59" s="71"/>
    </row>
    <row r="60" spans="1:23" s="65" customFormat="1" ht="11" x14ac:dyDescent="0.15">
      <c r="A60" s="72">
        <v>49</v>
      </c>
      <c r="B60" s="72">
        <v>3</v>
      </c>
      <c r="C60" s="73">
        <v>3.8686894933854239</v>
      </c>
      <c r="D60" s="72">
        <v>0</v>
      </c>
      <c r="E60" s="95">
        <v>42</v>
      </c>
      <c r="F60" s="72">
        <v>0.70899999999999996</v>
      </c>
      <c r="I60" s="71">
        <f t="shared" si="8"/>
        <v>0.13333333333333333</v>
      </c>
      <c r="J60" s="65">
        <f t="shared" si="2"/>
        <v>0.33139211111111111</v>
      </c>
      <c r="M60" s="65">
        <f>(E$7*N$4)/E$4*1/(N$2*(1+N$3*(C60-C$62)))</f>
        <v>0.13359400518927736</v>
      </c>
      <c r="R60" s="71">
        <f>(E$7*S$5*(1+S$3*(E60-E$62)))/(S$2*(1+S$4*(C60-C$62))*E$4)</f>
        <v>0.13391641869002527</v>
      </c>
      <c r="S60" s="71"/>
      <c r="V60" s="71"/>
    </row>
    <row r="61" spans="1:23" s="65" customFormat="1" ht="11" x14ac:dyDescent="0.15">
      <c r="A61" s="72">
        <v>50</v>
      </c>
      <c r="B61" s="72">
        <v>3</v>
      </c>
      <c r="C61" s="62">
        <v>4.9644398468284967</v>
      </c>
      <c r="D61" s="72">
        <v>1</v>
      </c>
      <c r="E61" s="96">
        <v>39</v>
      </c>
      <c r="F61" s="72">
        <v>0.36599999999999999</v>
      </c>
      <c r="I61" s="71">
        <f t="shared" si="8"/>
        <v>0.13333333333333333</v>
      </c>
      <c r="J61" s="77">
        <f t="shared" si="2"/>
        <v>5.4133777777777774E-2</v>
      </c>
      <c r="M61" s="65">
        <f>(E$7*N$4)/E$4*1/(N$2*(1+N$3*(C61-C$62)))</f>
        <v>0.13344749417453197</v>
      </c>
      <c r="N61" s="77"/>
      <c r="R61" s="71">
        <f>(E$7*S$5*(1+S$3*(E61-E$62)))/(S$2*(1+S$4*(C61-C$62))*E$4)</f>
        <v>0.13352181569304486</v>
      </c>
      <c r="S61" s="78"/>
      <c r="V61" s="71"/>
      <c r="W61" s="77"/>
    </row>
    <row r="62" spans="1:23" s="16" customFormat="1" ht="19" x14ac:dyDescent="0.25">
      <c r="A62" s="29" t="s">
        <v>2</v>
      </c>
      <c r="C62" s="90">
        <f>AVERAGE(C12:C61)</f>
        <v>5.8199136937132376</v>
      </c>
      <c r="E62" s="91">
        <f>AVERAGE(E12:E61)</f>
        <v>38.1</v>
      </c>
      <c r="H62" s="36" t="s">
        <v>19</v>
      </c>
      <c r="I62" s="17"/>
      <c r="J62" s="92">
        <f>SUM(J12:J61)</f>
        <v>1.6686591511111108</v>
      </c>
      <c r="L62" s="36" t="s">
        <v>25</v>
      </c>
      <c r="M62" s="17"/>
      <c r="N62" s="92"/>
      <c r="Q62" s="36" t="s">
        <v>40</v>
      </c>
      <c r="R62" s="17"/>
      <c r="S62" s="92"/>
      <c r="U62" s="36" t="s">
        <v>32</v>
      </c>
      <c r="V62" s="17"/>
      <c r="W62" s="92"/>
    </row>
    <row r="64" spans="1:23" ht="16" thickBot="1" x14ac:dyDescent="0.25"/>
    <row r="65" spans="2:21" s="16" customFormat="1" ht="20" thickBot="1" x14ac:dyDescent="0.3">
      <c r="E65" s="103" t="s">
        <v>57</v>
      </c>
      <c r="F65" s="104"/>
      <c r="G65" s="104"/>
      <c r="H65" s="104"/>
      <c r="I65" s="104"/>
      <c r="J65" s="104"/>
      <c r="K65" s="105"/>
      <c r="L65" s="103">
        <v>0.05</v>
      </c>
      <c r="M65" s="104"/>
      <c r="N65" s="104"/>
      <c r="O65" s="105"/>
    </row>
    <row r="66" spans="2:21" s="16" customFormat="1" ht="20" thickBot="1" x14ac:dyDescent="0.3">
      <c r="B66" s="46" t="s">
        <v>41</v>
      </c>
      <c r="E66" s="47" t="s">
        <v>47</v>
      </c>
      <c r="F66" s="48"/>
      <c r="G66" s="48"/>
      <c r="H66" s="48"/>
      <c r="I66" s="47"/>
      <c r="J66" s="49"/>
      <c r="K66" s="50"/>
      <c r="L66" s="51" t="s">
        <v>43</v>
      </c>
      <c r="M66" s="52" t="s">
        <v>44</v>
      </c>
      <c r="N66" s="53" t="s">
        <v>45</v>
      </c>
      <c r="O66" s="54" t="s">
        <v>46</v>
      </c>
    </row>
    <row r="67" spans="2:21" s="16" customFormat="1" ht="19" x14ac:dyDescent="0.25">
      <c r="E67" s="83" t="s">
        <v>71</v>
      </c>
      <c r="F67" s="84"/>
      <c r="G67" s="84"/>
      <c r="H67" s="84"/>
      <c r="I67" s="83" t="s">
        <v>73</v>
      </c>
      <c r="J67" s="84"/>
      <c r="K67" s="85"/>
      <c r="L67" s="7"/>
      <c r="M67" s="7"/>
      <c r="N67" s="7"/>
      <c r="O67" s="7"/>
    </row>
    <row r="68" spans="2:21" s="16" customFormat="1" ht="20" thickBot="1" x14ac:dyDescent="0.3">
      <c r="E68" s="83" t="s">
        <v>72</v>
      </c>
      <c r="F68" s="84"/>
      <c r="H68" s="84"/>
      <c r="I68" s="83" t="s">
        <v>42</v>
      </c>
      <c r="J68" s="84"/>
      <c r="K68" s="85"/>
      <c r="L68" s="13"/>
      <c r="M68" s="8"/>
      <c r="N68" s="8"/>
      <c r="O68" s="9"/>
    </row>
    <row r="69" spans="2:21" s="16" customFormat="1" ht="20" thickBot="1" x14ac:dyDescent="0.3">
      <c r="E69" s="57"/>
      <c r="F69" s="58"/>
      <c r="G69" s="58"/>
      <c r="H69" s="58"/>
      <c r="I69" s="57"/>
      <c r="J69" s="58"/>
      <c r="K69" s="59"/>
      <c r="L69" s="55">
        <f>L67-L68</f>
        <v>0</v>
      </c>
      <c r="M69" s="56">
        <f>M67-M68</f>
        <v>0</v>
      </c>
      <c r="N69" s="56">
        <f>N67-N68</f>
        <v>0</v>
      </c>
      <c r="O69" s="56">
        <f>O67-O68</f>
        <v>0</v>
      </c>
    </row>
    <row r="70" spans="2:21" s="16" customFormat="1" ht="19" x14ac:dyDescent="0.25">
      <c r="L70" s="60"/>
      <c r="M70" s="60"/>
      <c r="N70" s="60"/>
      <c r="O70" s="60"/>
    </row>
    <row r="71" spans="2:21" s="16" customFormat="1" ht="19" x14ac:dyDescent="0.25">
      <c r="I71" s="29"/>
      <c r="J71" s="101" t="s">
        <v>49</v>
      </c>
      <c r="L71" s="89" t="s">
        <v>48</v>
      </c>
      <c r="M71" s="89"/>
      <c r="N71" s="89" t="s">
        <v>74</v>
      </c>
      <c r="O71" s="86"/>
      <c r="T71" s="29"/>
      <c r="U71" s="29"/>
    </row>
    <row r="72" spans="2:21" s="16" customFormat="1" ht="19" x14ac:dyDescent="0.25">
      <c r="I72" s="102" t="s">
        <v>50</v>
      </c>
      <c r="J72" s="102"/>
      <c r="L72" s="87" t="e">
        <f>((J62-N62)/(M68-L68))/(N62/(M67-M68))</f>
        <v>#DIV/0!</v>
      </c>
      <c r="M72" s="86"/>
      <c r="N72" s="87" t="e">
        <f>FINV(L65,M68-L68,M67-M68)</f>
        <v>#NUM!</v>
      </c>
      <c r="O72" s="86"/>
      <c r="T72" s="29"/>
      <c r="U72" s="29"/>
    </row>
    <row r="73" spans="2:21" s="16" customFormat="1" ht="19" x14ac:dyDescent="0.25">
      <c r="I73" s="102" t="s">
        <v>51</v>
      </c>
      <c r="J73" s="102"/>
      <c r="L73" s="87" t="e">
        <f>((N62-S62)/(N68-M68))/(S62/(N67-N68))</f>
        <v>#DIV/0!</v>
      </c>
      <c r="M73" s="86"/>
      <c r="N73" s="87" t="e">
        <f>FINV(L65,N68-M68,N67-N68)</f>
        <v>#NUM!</v>
      </c>
      <c r="O73" s="86"/>
      <c r="T73" s="29"/>
      <c r="U73" s="29"/>
    </row>
    <row r="74" spans="2:21" s="16" customFormat="1" ht="19" x14ac:dyDescent="0.25">
      <c r="I74" s="102" t="s">
        <v>52</v>
      </c>
      <c r="J74" s="102"/>
      <c r="L74" s="87" t="e">
        <f>((N62-W62)/(O68-M68))/(W62/(O67-O68))</f>
        <v>#DIV/0!</v>
      </c>
      <c r="M74" s="86"/>
      <c r="N74" s="87" t="e">
        <f>FINV(L65,O68-M68,O67-O68)</f>
        <v>#NUM!</v>
      </c>
      <c r="O74" s="86"/>
      <c r="T74" s="29"/>
      <c r="U74" s="29"/>
    </row>
    <row r="80" spans="2:21" x14ac:dyDescent="0.2">
      <c r="O80" s="3"/>
    </row>
    <row r="82" spans="15:15" x14ac:dyDescent="0.2">
      <c r="O82" s="3"/>
    </row>
  </sheetData>
  <scenarios current="0">
    <scenario name="model1" count="1" user="Paul Baverel" comment="Created by Paul Baverel on 4/28/2009">
      <inputCells r="J2" val="24.6496550184183" numFmtId="2"/>
    </scenario>
  </scenarios>
  <mergeCells count="16">
    <mergeCell ref="V10:X10"/>
    <mergeCell ref="I72:J72"/>
    <mergeCell ref="D1:F1"/>
    <mergeCell ref="I1:J1"/>
    <mergeCell ref="M1:N1"/>
    <mergeCell ref="V1:W1"/>
    <mergeCell ref="I9:J9"/>
    <mergeCell ref="M9:N9"/>
    <mergeCell ref="V9:W9"/>
    <mergeCell ref="I73:J73"/>
    <mergeCell ref="I74:J74"/>
    <mergeCell ref="L65:O65"/>
    <mergeCell ref="E65:K65"/>
    <mergeCell ref="A10:F10"/>
    <mergeCell ref="I10:J10"/>
    <mergeCell ref="M10:N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topLeftCell="A58" zoomScale="75" zoomScaleNormal="75" workbookViewId="0">
      <selection activeCell="O69" sqref="O69"/>
    </sheetView>
  </sheetViews>
  <sheetFormatPr baseColWidth="10" defaultColWidth="9.1640625" defaultRowHeight="15" x14ac:dyDescent="0.2"/>
  <cols>
    <col min="1" max="2" width="9.1640625" style="2"/>
    <col min="3" max="3" width="12.5" style="2" customWidth="1"/>
    <col min="4" max="6" width="9.1640625" style="2"/>
    <col min="7" max="7" width="11.83203125" style="2" customWidth="1"/>
    <col min="8" max="8" width="10.83203125" style="2" customWidth="1"/>
    <col min="9" max="9" width="11.5" style="2" customWidth="1"/>
    <col min="10" max="10" width="10.5" style="2" customWidth="1"/>
    <col min="11" max="11" width="12" style="2" customWidth="1"/>
    <col min="12" max="13" width="14.1640625" style="2" customWidth="1"/>
    <col min="14" max="14" width="9.6640625" style="2" customWidth="1"/>
    <col min="15" max="15" width="13.1640625" style="2" customWidth="1"/>
    <col min="16" max="16" width="19.6640625" style="2" customWidth="1"/>
    <col min="17" max="17" width="13.83203125" style="2" customWidth="1"/>
    <col min="18" max="18" width="11.5" style="2" customWidth="1"/>
    <col min="19" max="19" width="17" style="2" customWidth="1"/>
    <col min="20" max="20" width="20.83203125" style="2" customWidth="1"/>
    <col min="21" max="16384" width="9.1640625" style="2"/>
  </cols>
  <sheetData>
    <row r="1" spans="1:23" s="16" customFormat="1" ht="20" thickBot="1" x14ac:dyDescent="0.3">
      <c r="B1" s="43" t="s">
        <v>23</v>
      </c>
      <c r="C1" s="44"/>
      <c r="D1" s="45"/>
      <c r="G1" s="110" t="s">
        <v>4</v>
      </c>
      <c r="H1" s="111"/>
      <c r="K1" s="110" t="s">
        <v>20</v>
      </c>
      <c r="L1" s="111"/>
      <c r="O1" s="110" t="s">
        <v>26</v>
      </c>
      <c r="P1" s="112"/>
      <c r="S1" s="110" t="s">
        <v>33</v>
      </c>
      <c r="T1" s="111"/>
    </row>
    <row r="2" spans="1:23" s="16" customFormat="1" ht="20" thickBot="1" x14ac:dyDescent="0.3">
      <c r="B2" s="18" t="s">
        <v>5</v>
      </c>
      <c r="C2" s="19">
        <v>24</v>
      </c>
      <c r="D2" s="20" t="s">
        <v>6</v>
      </c>
      <c r="G2" s="21" t="s">
        <v>59</v>
      </c>
      <c r="H2" s="22">
        <v>0.95</v>
      </c>
      <c r="K2" s="21" t="s">
        <v>59</v>
      </c>
      <c r="L2" s="22">
        <v>0.95</v>
      </c>
      <c r="O2" s="21" t="s">
        <v>59</v>
      </c>
      <c r="P2" s="22">
        <v>0.95</v>
      </c>
      <c r="S2" s="21" t="s">
        <v>59</v>
      </c>
      <c r="T2" s="22">
        <v>0.95</v>
      </c>
    </row>
    <row r="3" spans="1:23" s="16" customFormat="1" ht="20" thickBot="1" x14ac:dyDescent="0.3">
      <c r="B3" s="25" t="s">
        <v>7</v>
      </c>
      <c r="C3" s="26">
        <v>12</v>
      </c>
      <c r="D3" s="27" t="s">
        <v>6</v>
      </c>
      <c r="G3" s="21" t="s">
        <v>61</v>
      </c>
      <c r="H3" s="97">
        <v>0.05</v>
      </c>
      <c r="K3" s="21" t="s">
        <v>60</v>
      </c>
      <c r="L3" s="97">
        <v>0.05</v>
      </c>
      <c r="O3" s="21" t="s">
        <v>66</v>
      </c>
      <c r="P3" s="97">
        <v>0.05</v>
      </c>
      <c r="S3" s="21" t="s">
        <v>66</v>
      </c>
      <c r="T3" s="97">
        <v>0.05</v>
      </c>
    </row>
    <row r="4" spans="1:23" s="16" customFormat="1" ht="20" thickBot="1" x14ac:dyDescent="0.3">
      <c r="B4" s="32" t="s">
        <v>8</v>
      </c>
      <c r="C4" s="33">
        <v>6</v>
      </c>
      <c r="D4" s="34" t="s">
        <v>6</v>
      </c>
      <c r="K4" s="21" t="s">
        <v>82</v>
      </c>
      <c r="L4" s="22">
        <v>1</v>
      </c>
      <c r="O4" s="21" t="s">
        <v>67</v>
      </c>
      <c r="P4" s="97">
        <v>0.05</v>
      </c>
      <c r="S4" s="21" t="s">
        <v>67</v>
      </c>
      <c r="T4" s="97">
        <v>0.05</v>
      </c>
    </row>
    <row r="5" spans="1:23" s="16" customFormat="1" ht="20" thickBot="1" x14ac:dyDescent="0.3">
      <c r="B5" s="37" t="s">
        <v>9</v>
      </c>
      <c r="C5" s="38">
        <v>140</v>
      </c>
      <c r="D5" s="39" t="s">
        <v>10</v>
      </c>
      <c r="K5" s="17"/>
      <c r="L5" s="17"/>
      <c r="O5" s="21" t="s">
        <v>68</v>
      </c>
      <c r="P5" s="97">
        <v>0.05</v>
      </c>
      <c r="S5" s="21" t="s">
        <v>68</v>
      </c>
      <c r="T5" s="97">
        <v>0.05</v>
      </c>
      <c r="W5" s="17"/>
    </row>
    <row r="6" spans="1:23" s="16" customFormat="1" ht="20" thickBot="1" x14ac:dyDescent="0.3">
      <c r="B6" s="25" t="s">
        <v>11</v>
      </c>
      <c r="C6" s="26">
        <v>60</v>
      </c>
      <c r="D6" s="27" t="s">
        <v>10</v>
      </c>
      <c r="S6" s="21" t="s">
        <v>82</v>
      </c>
      <c r="T6" s="22">
        <v>1</v>
      </c>
    </row>
    <row r="7" spans="1:23" s="16" customFormat="1" ht="20" thickBot="1" x14ac:dyDescent="0.3">
      <c r="B7" s="40" t="s">
        <v>12</v>
      </c>
      <c r="C7" s="41">
        <v>40</v>
      </c>
      <c r="D7" s="42" t="s">
        <v>10</v>
      </c>
    </row>
    <row r="9" spans="1:23" s="16" customFormat="1" ht="19" x14ac:dyDescent="0.25">
      <c r="G9" s="106" t="s">
        <v>63</v>
      </c>
      <c r="H9" s="106"/>
      <c r="K9" s="106" t="s">
        <v>64</v>
      </c>
      <c r="L9" s="106"/>
      <c r="O9" s="106" t="s">
        <v>63</v>
      </c>
      <c r="P9" s="106"/>
      <c r="Q9" s="82"/>
      <c r="S9" s="106" t="s">
        <v>64</v>
      </c>
      <c r="T9" s="106"/>
      <c r="U9" s="82"/>
    </row>
    <row r="10" spans="1:23" s="16" customFormat="1" ht="19" x14ac:dyDescent="0.25">
      <c r="A10" s="102" t="s">
        <v>3</v>
      </c>
      <c r="B10" s="102"/>
      <c r="C10" s="102"/>
      <c r="D10" s="102"/>
      <c r="E10" s="102"/>
      <c r="F10" s="102"/>
      <c r="G10" s="106" t="s">
        <v>62</v>
      </c>
      <c r="H10" s="106"/>
      <c r="K10" s="106" t="s">
        <v>62</v>
      </c>
      <c r="L10" s="106"/>
      <c r="O10" s="116" t="s">
        <v>65</v>
      </c>
      <c r="P10" s="116"/>
      <c r="Q10" s="82"/>
      <c r="S10" s="116" t="s">
        <v>65</v>
      </c>
      <c r="T10" s="116"/>
      <c r="U10" s="82"/>
      <c r="V10" s="82"/>
    </row>
    <row r="11" spans="1:23" s="14" customFormat="1" ht="16" x14ac:dyDescent="0.2">
      <c r="A11" s="79" t="s">
        <v>0</v>
      </c>
      <c r="B11" s="79" t="s">
        <v>1</v>
      </c>
      <c r="C11" s="80" t="s">
        <v>18</v>
      </c>
      <c r="D11" s="80" t="s">
        <v>58</v>
      </c>
      <c r="G11" s="81" t="s">
        <v>75</v>
      </c>
      <c r="H11" s="81" t="s">
        <v>69</v>
      </c>
      <c r="K11" s="81" t="s">
        <v>76</v>
      </c>
      <c r="L11" s="81" t="s">
        <v>77</v>
      </c>
      <c r="O11" s="81" t="s">
        <v>79</v>
      </c>
      <c r="P11" s="81" t="s">
        <v>78</v>
      </c>
      <c r="Q11" s="15"/>
      <c r="R11" s="15"/>
      <c r="S11" s="81" t="s">
        <v>80</v>
      </c>
      <c r="T11" s="81" t="s">
        <v>81</v>
      </c>
    </row>
    <row r="12" spans="1:23" s="65" customFormat="1" ht="11" x14ac:dyDescent="0.15">
      <c r="A12" s="61">
        <v>1</v>
      </c>
      <c r="B12" s="61">
        <v>1</v>
      </c>
      <c r="C12" s="62">
        <v>0.16400000000000001</v>
      </c>
      <c r="D12" s="63">
        <v>0.56919629085452184</v>
      </c>
      <c r="E12" s="64"/>
      <c r="G12" s="66">
        <f>(H$2*$C12)/($C12+H$3)</f>
        <v>0.72803738317756994</v>
      </c>
      <c r="H12" s="66">
        <f>(D12-G12)^2</f>
        <v>2.5230492610379091E-2</v>
      </c>
      <c r="K12" s="66">
        <f>(L$2*$C12^L$4)/($C12^L$4+L$3^L$4)</f>
        <v>0.72803738317756994</v>
      </c>
      <c r="O12" s="67">
        <f>$P$2*$C12/($C12+(IF($B12=1,$P$3,IF($B12=2,$P$4,$P$5))))</f>
        <v>0.72803738317756994</v>
      </c>
      <c r="S12" s="67"/>
      <c r="W12" s="67"/>
    </row>
    <row r="13" spans="1:23" s="65" customFormat="1" ht="11" x14ac:dyDescent="0.15">
      <c r="A13" s="61">
        <v>2</v>
      </c>
      <c r="B13" s="61">
        <v>1</v>
      </c>
      <c r="C13" s="62">
        <v>0.14399999999999999</v>
      </c>
      <c r="D13" s="63">
        <v>0.45700000000000002</v>
      </c>
      <c r="E13" s="64"/>
      <c r="G13" s="66">
        <f>(H$2*$C13)/($C13+H$3)</f>
        <v>0.70515463917525756</v>
      </c>
      <c r="H13" s="66">
        <f t="shared" ref="H13:H61" si="0">(D13-G13)^2</f>
        <v>6.1580724944202261E-2</v>
      </c>
      <c r="K13" s="66">
        <f t="shared" ref="K13:K61" si="1">(L$2*$C13^L$4)/($C13^L$4+L$3^L$4)</f>
        <v>0.70515463917525756</v>
      </c>
      <c r="O13" s="67">
        <f t="shared" ref="O13:O61" si="2">$P$2*$C13/($C13+(IF($B13=1,$P$3,IF($B13=2,$P$4,$P$5))))</f>
        <v>0.70515463917525756</v>
      </c>
      <c r="S13" s="67"/>
      <c r="W13" s="67"/>
    </row>
    <row r="14" spans="1:23" s="65" customFormat="1" ht="11" x14ac:dyDescent="0.15">
      <c r="A14" s="61">
        <v>3</v>
      </c>
      <c r="B14" s="61">
        <v>1</v>
      </c>
      <c r="C14" s="62">
        <v>0.222</v>
      </c>
      <c r="D14" s="63">
        <v>0.69399999999999995</v>
      </c>
      <c r="E14" s="64"/>
      <c r="G14" s="66">
        <f t="shared" ref="G14:G43" si="3">(H$2*$C14)/($C14+H$3)</f>
        <v>0.77536764705882344</v>
      </c>
      <c r="H14" s="66">
        <f t="shared" si="0"/>
        <v>6.6206939878892665E-3</v>
      </c>
      <c r="K14" s="66">
        <f t="shared" si="1"/>
        <v>0.77536764705882344</v>
      </c>
      <c r="O14" s="67">
        <f t="shared" si="2"/>
        <v>0.77536764705882344</v>
      </c>
      <c r="S14" s="67"/>
      <c r="W14" s="67"/>
    </row>
    <row r="15" spans="1:23" s="65" customFormat="1" ht="11" x14ac:dyDescent="0.15">
      <c r="A15" s="61">
        <v>4</v>
      </c>
      <c r="B15" s="61">
        <v>1</v>
      </c>
      <c r="C15" s="62">
        <v>0.25800000000000001</v>
      </c>
      <c r="D15" s="63">
        <v>0.66492838728951709</v>
      </c>
      <c r="E15" s="64"/>
      <c r="G15" s="66">
        <f t="shared" si="3"/>
        <v>0.7957792207792207</v>
      </c>
      <c r="H15" s="66">
        <f t="shared" si="0"/>
        <v>1.7121940624950139E-2</v>
      </c>
      <c r="K15" s="66">
        <f t="shared" si="1"/>
        <v>0.7957792207792207</v>
      </c>
      <c r="O15" s="67">
        <f t="shared" si="2"/>
        <v>0.7957792207792207</v>
      </c>
      <c r="S15" s="67"/>
      <c r="W15" s="67"/>
    </row>
    <row r="16" spans="1:23" s="65" customFormat="1" ht="11" x14ac:dyDescent="0.15">
      <c r="A16" s="61">
        <v>5</v>
      </c>
      <c r="B16" s="61">
        <v>1</v>
      </c>
      <c r="C16" s="62">
        <v>0.16800000000000001</v>
      </c>
      <c r="D16" s="63">
        <v>0.51927396795994263</v>
      </c>
      <c r="E16" s="64"/>
      <c r="G16" s="66">
        <f t="shared" si="3"/>
        <v>0.73211009174311914</v>
      </c>
      <c r="H16" s="66">
        <f t="shared" si="0"/>
        <v>4.5299215587047637E-2</v>
      </c>
      <c r="K16" s="66">
        <f t="shared" si="1"/>
        <v>0.73211009174311914</v>
      </c>
      <c r="O16" s="67">
        <f t="shared" si="2"/>
        <v>0.73211009174311914</v>
      </c>
      <c r="S16" s="67"/>
      <c r="W16" s="67"/>
    </row>
    <row r="17" spans="1:23" s="65" customFormat="1" ht="11" x14ac:dyDescent="0.15">
      <c r="A17" s="61">
        <v>6</v>
      </c>
      <c r="B17" s="61">
        <v>1</v>
      </c>
      <c r="C17" s="62">
        <v>0.19</v>
      </c>
      <c r="D17" s="63">
        <v>0.6256695759847366</v>
      </c>
      <c r="E17" s="64"/>
      <c r="G17" s="66">
        <f t="shared" si="3"/>
        <v>0.75208333333333333</v>
      </c>
      <c r="H17" s="66">
        <f t="shared" si="0"/>
        <v>1.5980438046989891E-2</v>
      </c>
      <c r="K17" s="66">
        <f t="shared" si="1"/>
        <v>0.75208333333333333</v>
      </c>
      <c r="O17" s="67">
        <f t="shared" si="2"/>
        <v>0.75208333333333333</v>
      </c>
      <c r="S17" s="67"/>
      <c r="W17" s="67"/>
    </row>
    <row r="18" spans="1:23" s="65" customFormat="1" ht="11" x14ac:dyDescent="0.15">
      <c r="A18" s="61">
        <v>7</v>
      </c>
      <c r="B18" s="61">
        <v>1</v>
      </c>
      <c r="C18" s="62">
        <v>0.192</v>
      </c>
      <c r="D18" s="63">
        <v>0.55200000000000005</v>
      </c>
      <c r="E18" s="64"/>
      <c r="G18" s="66">
        <f t="shared" si="3"/>
        <v>0.75371900826446281</v>
      </c>
      <c r="H18" s="66">
        <f t="shared" si="0"/>
        <v>4.0690558295198395E-2</v>
      </c>
      <c r="K18" s="66">
        <f t="shared" si="1"/>
        <v>0.75371900826446281</v>
      </c>
      <c r="O18" s="67">
        <f t="shared" si="2"/>
        <v>0.75371900826446281</v>
      </c>
      <c r="S18" s="67"/>
      <c r="W18" s="67"/>
    </row>
    <row r="19" spans="1:23" s="65" customFormat="1" ht="11" x14ac:dyDescent="0.15">
      <c r="A19" s="61">
        <v>8</v>
      </c>
      <c r="B19" s="61">
        <v>1</v>
      </c>
      <c r="C19" s="62">
        <v>0.187</v>
      </c>
      <c r="D19" s="63">
        <v>0.56130537419159376</v>
      </c>
      <c r="E19" s="64"/>
      <c r="G19" s="66">
        <f t="shared" si="3"/>
        <v>0.74957805907173003</v>
      </c>
      <c r="H19" s="66">
        <f t="shared" si="0"/>
        <v>3.5446603871975089E-2</v>
      </c>
      <c r="K19" s="66">
        <f t="shared" si="1"/>
        <v>0.74957805907173003</v>
      </c>
      <c r="O19" s="67">
        <f t="shared" si="2"/>
        <v>0.74957805907173003</v>
      </c>
      <c r="S19" s="67"/>
      <c r="W19" s="67"/>
    </row>
    <row r="20" spans="1:23" s="65" customFormat="1" ht="11" x14ac:dyDescent="0.15">
      <c r="A20" s="61">
        <v>9</v>
      </c>
      <c r="B20" s="61">
        <v>1</v>
      </c>
      <c r="C20" s="62">
        <v>0.161</v>
      </c>
      <c r="D20" s="63">
        <v>0.51</v>
      </c>
      <c r="E20" s="64"/>
      <c r="G20" s="66">
        <f t="shared" si="3"/>
        <v>0.72488151658767763</v>
      </c>
      <c r="H20" s="66">
        <f t="shared" si="0"/>
        <v>4.6174066171020371E-2</v>
      </c>
      <c r="K20" s="66">
        <f t="shared" si="1"/>
        <v>0.72488151658767763</v>
      </c>
      <c r="O20" s="67">
        <f t="shared" si="2"/>
        <v>0.72488151658767763</v>
      </c>
      <c r="S20" s="67"/>
      <c r="W20" s="67"/>
    </row>
    <row r="21" spans="1:23" s="65" customFormat="1" ht="11" x14ac:dyDescent="0.15">
      <c r="A21" s="61">
        <v>10</v>
      </c>
      <c r="B21" s="61">
        <v>1</v>
      </c>
      <c r="C21" s="62">
        <v>0.224</v>
      </c>
      <c r="D21" s="63">
        <v>0.6822713838583464</v>
      </c>
      <c r="E21" s="64"/>
      <c r="G21" s="66">
        <f t="shared" si="3"/>
        <v>0.77664233576642328</v>
      </c>
      <c r="H21" s="66">
        <f t="shared" si="0"/>
        <v>8.9058765640365571E-3</v>
      </c>
      <c r="K21" s="66">
        <f t="shared" si="1"/>
        <v>0.77664233576642328</v>
      </c>
      <c r="O21" s="67">
        <f t="shared" si="2"/>
        <v>0.77664233576642328</v>
      </c>
      <c r="S21" s="67"/>
      <c r="W21" s="67"/>
    </row>
    <row r="22" spans="1:23" s="65" customFormat="1" ht="11" x14ac:dyDescent="0.15">
      <c r="A22" s="61">
        <v>11</v>
      </c>
      <c r="B22" s="61">
        <v>1</v>
      </c>
      <c r="C22" s="62">
        <v>0.26700000000000002</v>
      </c>
      <c r="D22" s="63">
        <v>0.7132830350504048</v>
      </c>
      <c r="E22" s="64"/>
      <c r="G22" s="66">
        <f t="shared" si="3"/>
        <v>0.8001577287066246</v>
      </c>
      <c r="H22" s="66">
        <f t="shared" si="0"/>
        <v>7.5472123978620378E-3</v>
      </c>
      <c r="K22" s="66">
        <f t="shared" si="1"/>
        <v>0.8001577287066246</v>
      </c>
      <c r="O22" s="67">
        <f t="shared" si="2"/>
        <v>0.8001577287066246</v>
      </c>
      <c r="S22" s="67"/>
      <c r="W22" s="67"/>
    </row>
    <row r="23" spans="1:23" s="65" customFormat="1" ht="11" x14ac:dyDescent="0.15">
      <c r="A23" s="61">
        <v>12</v>
      </c>
      <c r="B23" s="61">
        <v>1</v>
      </c>
      <c r="C23" s="62">
        <v>0.249</v>
      </c>
      <c r="D23" s="63">
        <v>0.67116724439202635</v>
      </c>
      <c r="E23" s="64"/>
      <c r="G23" s="66">
        <f t="shared" si="3"/>
        <v>0.79113712374581935</v>
      </c>
      <c r="H23" s="66">
        <f t="shared" si="0"/>
        <v>1.4392771952163647E-2</v>
      </c>
      <c r="K23" s="66">
        <f t="shared" si="1"/>
        <v>0.79113712374581935</v>
      </c>
      <c r="O23" s="67">
        <f t="shared" si="2"/>
        <v>0.79113712374581935</v>
      </c>
      <c r="S23" s="67"/>
      <c r="W23" s="67"/>
    </row>
    <row r="24" spans="1:23" s="65" customFormat="1" ht="11" x14ac:dyDescent="0.15">
      <c r="A24" s="61">
        <v>13</v>
      </c>
      <c r="B24" s="61">
        <v>1</v>
      </c>
      <c r="C24" s="62">
        <v>0.16700000000000001</v>
      </c>
      <c r="D24" s="63">
        <v>0.50332101836681986</v>
      </c>
      <c r="E24" s="64"/>
      <c r="G24" s="66">
        <f t="shared" si="3"/>
        <v>0.7311059907834101</v>
      </c>
      <c r="H24" s="66">
        <f t="shared" si="0"/>
        <v>5.1885993658826776E-2</v>
      </c>
      <c r="K24" s="66">
        <f t="shared" si="1"/>
        <v>0.7311059907834101</v>
      </c>
      <c r="O24" s="67">
        <f t="shared" si="2"/>
        <v>0.7311059907834101</v>
      </c>
      <c r="S24" s="67"/>
      <c r="W24" s="67"/>
    </row>
    <row r="25" spans="1:23" s="65" customFormat="1" ht="11" x14ac:dyDescent="0.15">
      <c r="A25" s="61">
        <v>14</v>
      </c>
      <c r="B25" s="61">
        <v>1</v>
      </c>
      <c r="C25" s="62">
        <v>0.13900000000000001</v>
      </c>
      <c r="D25" s="63">
        <v>0.498</v>
      </c>
      <c r="E25" s="64"/>
      <c r="G25" s="66">
        <f t="shared" si="3"/>
        <v>0.69867724867724867</v>
      </c>
      <c r="H25" s="66">
        <f t="shared" si="0"/>
        <v>4.0271358136670307E-2</v>
      </c>
      <c r="K25" s="66">
        <f t="shared" si="1"/>
        <v>0.69867724867724867</v>
      </c>
      <c r="O25" s="67">
        <f t="shared" si="2"/>
        <v>0.69867724867724867</v>
      </c>
      <c r="S25" s="67"/>
      <c r="W25" s="67"/>
    </row>
    <row r="26" spans="1:23" s="65" customFormat="1" ht="11" x14ac:dyDescent="0.15">
      <c r="A26" s="61">
        <v>15</v>
      </c>
      <c r="B26" s="61">
        <v>1</v>
      </c>
      <c r="C26" s="62">
        <v>0.155</v>
      </c>
      <c r="D26" s="63">
        <v>0.48721578867251142</v>
      </c>
      <c r="E26" s="64"/>
      <c r="G26" s="66">
        <f t="shared" si="3"/>
        <v>0.71829268292682913</v>
      </c>
      <c r="H26" s="66">
        <f t="shared" si="0"/>
        <v>5.3396531058221126E-2</v>
      </c>
      <c r="K26" s="66">
        <f t="shared" si="1"/>
        <v>0.71829268292682913</v>
      </c>
      <c r="O26" s="67">
        <f t="shared" si="2"/>
        <v>0.71829268292682913</v>
      </c>
      <c r="S26" s="67"/>
      <c r="W26" s="67"/>
    </row>
    <row r="27" spans="1:23" s="65" customFormat="1" ht="11" x14ac:dyDescent="0.15">
      <c r="A27" s="61">
        <v>16</v>
      </c>
      <c r="B27" s="61">
        <v>1</v>
      </c>
      <c r="C27" s="62">
        <v>0.1198</v>
      </c>
      <c r="D27" s="63">
        <v>0.33583844037018112</v>
      </c>
      <c r="E27" s="64"/>
      <c r="G27" s="66">
        <f t="shared" si="3"/>
        <v>0.67025912838633683</v>
      </c>
      <c r="H27" s="66">
        <f t="shared" si="0"/>
        <v>0.11183719657319895</v>
      </c>
      <c r="K27" s="66">
        <f t="shared" si="1"/>
        <v>0.67025912838633683</v>
      </c>
      <c r="O27" s="67">
        <f t="shared" si="2"/>
        <v>0.67025912838633683</v>
      </c>
      <c r="S27" s="67"/>
      <c r="W27" s="67"/>
    </row>
    <row r="28" spans="1:23" s="65" customFormat="1" ht="11" x14ac:dyDescent="0.15">
      <c r="A28" s="61">
        <v>17</v>
      </c>
      <c r="B28" s="61">
        <v>1</v>
      </c>
      <c r="C28" s="62">
        <v>0.193</v>
      </c>
      <c r="D28" s="63">
        <v>0.65258185831043014</v>
      </c>
      <c r="E28" s="64"/>
      <c r="G28" s="66">
        <f t="shared" si="3"/>
        <v>0.75452674897119343</v>
      </c>
      <c r="H28" s="66">
        <f t="shared" si="0"/>
        <v>1.0392760731834982E-2</v>
      </c>
      <c r="K28" s="66">
        <f t="shared" si="1"/>
        <v>0.75452674897119343</v>
      </c>
      <c r="O28" s="67">
        <f t="shared" si="2"/>
        <v>0.75452674897119343</v>
      </c>
      <c r="S28" s="67"/>
      <c r="W28" s="67"/>
    </row>
    <row r="29" spans="1:23" s="65" customFormat="1" ht="11" x14ac:dyDescent="0.15">
      <c r="A29" s="61">
        <v>18</v>
      </c>
      <c r="B29" s="61">
        <v>1</v>
      </c>
      <c r="C29" s="62">
        <v>0.159</v>
      </c>
      <c r="D29" s="63">
        <v>0.52300000000000002</v>
      </c>
      <c r="E29" s="64"/>
      <c r="G29" s="66">
        <f t="shared" si="3"/>
        <v>0.72272727272727266</v>
      </c>
      <c r="H29" s="66">
        <f t="shared" si="0"/>
        <v>3.9890983471074344E-2</v>
      </c>
      <c r="K29" s="66">
        <f t="shared" si="1"/>
        <v>0.72272727272727266</v>
      </c>
      <c r="O29" s="67">
        <f t="shared" si="2"/>
        <v>0.72272727272727266</v>
      </c>
      <c r="S29" s="67"/>
      <c r="W29" s="67"/>
    </row>
    <row r="30" spans="1:23" s="65" customFormat="1" ht="11" x14ac:dyDescent="0.15">
      <c r="A30" s="61">
        <v>19</v>
      </c>
      <c r="B30" s="61">
        <v>1</v>
      </c>
      <c r="C30" s="62">
        <v>0.29099999999999998</v>
      </c>
      <c r="D30" s="63">
        <v>0.74399999999999999</v>
      </c>
      <c r="E30" s="64"/>
      <c r="G30" s="66">
        <f t="shared" si="3"/>
        <v>0.81070381231671551</v>
      </c>
      <c r="H30" s="66">
        <f t="shared" si="0"/>
        <v>4.4493985775836088E-3</v>
      </c>
      <c r="K30" s="66">
        <f t="shared" si="1"/>
        <v>0.81070381231671551</v>
      </c>
      <c r="O30" s="67">
        <f t="shared" si="2"/>
        <v>0.81070381231671551</v>
      </c>
      <c r="S30" s="67"/>
      <c r="W30" s="67"/>
    </row>
    <row r="31" spans="1:23" s="65" customFormat="1" ht="11" x14ac:dyDescent="0.15">
      <c r="A31" s="61">
        <v>20</v>
      </c>
      <c r="B31" s="61">
        <v>1</v>
      </c>
      <c r="C31" s="62">
        <v>0.13</v>
      </c>
      <c r="D31" s="63">
        <v>0.3821100409655544</v>
      </c>
      <c r="E31" s="64"/>
      <c r="G31" s="66">
        <f t="shared" si="3"/>
        <v>0.68611111111111112</v>
      </c>
      <c r="H31" s="66">
        <f t="shared" si="0"/>
        <v>9.2416650649643689E-2</v>
      </c>
      <c r="K31" s="66">
        <f t="shared" si="1"/>
        <v>0.68611111111111112</v>
      </c>
      <c r="O31" s="67">
        <f t="shared" si="2"/>
        <v>0.68611111111111112</v>
      </c>
      <c r="S31" s="67"/>
      <c r="W31" s="67"/>
    </row>
    <row r="32" spans="1:23" s="65" customFormat="1" ht="11" x14ac:dyDescent="0.15">
      <c r="A32" s="68">
        <v>21</v>
      </c>
      <c r="B32" s="68">
        <v>2</v>
      </c>
      <c r="C32" s="69">
        <v>0.34799999999999998</v>
      </c>
      <c r="D32" s="70">
        <v>0.77100000000000002</v>
      </c>
      <c r="E32" s="64"/>
      <c r="G32" s="66">
        <f t="shared" si="3"/>
        <v>0.83065326633165826</v>
      </c>
      <c r="H32" s="66">
        <f>(D32-G32)^2</f>
        <v>3.5585121840357504E-3</v>
      </c>
      <c r="K32" s="66">
        <f t="shared" si="1"/>
        <v>0.83065326633165826</v>
      </c>
      <c r="O32" s="67">
        <f t="shared" si="2"/>
        <v>0.83065326633165826</v>
      </c>
      <c r="S32" s="67"/>
      <c r="T32" s="71"/>
      <c r="W32" s="67"/>
    </row>
    <row r="33" spans="1:23" s="65" customFormat="1" ht="11" x14ac:dyDescent="0.15">
      <c r="A33" s="68">
        <v>22</v>
      </c>
      <c r="B33" s="68">
        <v>2</v>
      </c>
      <c r="C33" s="69">
        <v>0.23400000000000001</v>
      </c>
      <c r="D33" s="70">
        <v>0.62893166097122499</v>
      </c>
      <c r="E33" s="64"/>
      <c r="G33" s="66">
        <f t="shared" si="3"/>
        <v>0.78274647887323934</v>
      </c>
      <c r="H33" s="66">
        <f t="shared" si="0"/>
        <v>2.3658998206229832E-2</v>
      </c>
      <c r="K33" s="66">
        <f t="shared" si="1"/>
        <v>0.78274647887323934</v>
      </c>
      <c r="O33" s="67">
        <f t="shared" si="2"/>
        <v>0.78274647887323934</v>
      </c>
      <c r="S33" s="67"/>
      <c r="T33" s="71"/>
      <c r="W33" s="67"/>
    </row>
    <row r="34" spans="1:23" s="65" customFormat="1" ht="11" x14ac:dyDescent="0.15">
      <c r="A34" s="68">
        <v>23</v>
      </c>
      <c r="B34" s="68">
        <v>2</v>
      </c>
      <c r="C34" s="69">
        <v>0.30399999999999999</v>
      </c>
      <c r="D34" s="70">
        <v>0.73799999999999999</v>
      </c>
      <c r="E34" s="64"/>
      <c r="G34" s="66">
        <f t="shared" si="3"/>
        <v>0.81581920903954808</v>
      </c>
      <c r="H34" s="66">
        <f t="shared" si="0"/>
        <v>6.055829295540883E-3</v>
      </c>
      <c r="K34" s="66">
        <f t="shared" si="1"/>
        <v>0.81581920903954808</v>
      </c>
      <c r="O34" s="67">
        <f t="shared" si="2"/>
        <v>0.81581920903954808</v>
      </c>
      <c r="S34" s="67"/>
      <c r="T34" s="71"/>
      <c r="W34" s="67"/>
    </row>
    <row r="35" spans="1:23" s="65" customFormat="1" ht="11" x14ac:dyDescent="0.15">
      <c r="A35" s="68">
        <v>24</v>
      </c>
      <c r="B35" s="68">
        <v>2</v>
      </c>
      <c r="C35" s="69">
        <v>0.14599999999999999</v>
      </c>
      <c r="D35" s="70">
        <v>0.41199999999999998</v>
      </c>
      <c r="E35" s="64"/>
      <c r="G35" s="66">
        <f t="shared" si="3"/>
        <v>0.70765306122448968</v>
      </c>
      <c r="H35" s="66">
        <f t="shared" si="0"/>
        <v>8.7410732611411857E-2</v>
      </c>
      <c r="K35" s="66">
        <f t="shared" si="1"/>
        <v>0.70765306122448968</v>
      </c>
      <c r="O35" s="67">
        <f t="shared" si="2"/>
        <v>0.70765306122448968</v>
      </c>
      <c r="S35" s="67"/>
      <c r="T35" s="71"/>
      <c r="W35" s="67"/>
    </row>
    <row r="36" spans="1:23" s="65" customFormat="1" ht="11" x14ac:dyDescent="0.15">
      <c r="A36" s="68">
        <v>25</v>
      </c>
      <c r="B36" s="68">
        <v>2</v>
      </c>
      <c r="C36" s="69">
        <v>0.20399999999999999</v>
      </c>
      <c r="D36" s="70">
        <v>0.63200000000000001</v>
      </c>
      <c r="E36" s="64"/>
      <c r="G36" s="66">
        <f t="shared" si="3"/>
        <v>0.76299212598425181</v>
      </c>
      <c r="H36" s="66">
        <f t="shared" si="0"/>
        <v>1.7158937069874099E-2</v>
      </c>
      <c r="K36" s="66">
        <f t="shared" si="1"/>
        <v>0.76299212598425181</v>
      </c>
      <c r="O36" s="67">
        <f t="shared" si="2"/>
        <v>0.76299212598425181</v>
      </c>
      <c r="S36" s="67"/>
      <c r="T36" s="71"/>
      <c r="W36" s="67"/>
    </row>
    <row r="37" spans="1:23" s="65" customFormat="1" ht="11" x14ac:dyDescent="0.15">
      <c r="A37" s="68">
        <v>26</v>
      </c>
      <c r="B37" s="68">
        <v>2</v>
      </c>
      <c r="C37" s="69">
        <v>0.22800000000000001</v>
      </c>
      <c r="D37" s="70">
        <v>0.68500000000000005</v>
      </c>
      <c r="E37" s="64"/>
      <c r="G37" s="66">
        <f t="shared" si="3"/>
        <v>0.77913669064748192</v>
      </c>
      <c r="H37" s="66">
        <f t="shared" si="0"/>
        <v>8.8617165260596997E-3</v>
      </c>
      <c r="K37" s="66">
        <f t="shared" si="1"/>
        <v>0.77913669064748192</v>
      </c>
      <c r="O37" s="67">
        <f t="shared" si="2"/>
        <v>0.77913669064748192</v>
      </c>
      <c r="S37" s="67"/>
      <c r="T37" s="71"/>
      <c r="W37" s="67"/>
    </row>
    <row r="38" spans="1:23" s="65" customFormat="1" ht="11" x14ac:dyDescent="0.15">
      <c r="A38" s="68">
        <v>27</v>
      </c>
      <c r="B38" s="68">
        <v>2</v>
      </c>
      <c r="C38" s="69">
        <v>0.247</v>
      </c>
      <c r="D38" s="70">
        <v>0.67982927609060118</v>
      </c>
      <c r="E38" s="64"/>
      <c r="G38" s="66">
        <f t="shared" si="3"/>
        <v>0.79006734006734014</v>
      </c>
      <c r="H38" s="66">
        <f t="shared" si="0"/>
        <v>1.2152430749339593E-2</v>
      </c>
      <c r="K38" s="66">
        <f t="shared" si="1"/>
        <v>0.79006734006734014</v>
      </c>
      <c r="O38" s="67">
        <f t="shared" si="2"/>
        <v>0.79006734006734014</v>
      </c>
      <c r="S38" s="67"/>
      <c r="T38" s="71"/>
      <c r="W38" s="67"/>
    </row>
    <row r="39" spans="1:23" s="65" customFormat="1" ht="11" x14ac:dyDescent="0.15">
      <c r="A39" s="68">
        <v>28</v>
      </c>
      <c r="B39" s="68">
        <v>2</v>
      </c>
      <c r="C39" s="69">
        <v>0.17199999999999999</v>
      </c>
      <c r="D39" s="70">
        <v>0.48599999999999999</v>
      </c>
      <c r="E39" s="64"/>
      <c r="G39" s="66">
        <f t="shared" si="3"/>
        <v>0.73603603603603607</v>
      </c>
      <c r="H39" s="66">
        <f t="shared" si="0"/>
        <v>6.2518019316613938E-2</v>
      </c>
      <c r="K39" s="66">
        <f t="shared" si="1"/>
        <v>0.73603603603603607</v>
      </c>
      <c r="O39" s="67">
        <f t="shared" si="2"/>
        <v>0.73603603603603607</v>
      </c>
      <c r="S39" s="67"/>
      <c r="T39" s="71"/>
      <c r="W39" s="67"/>
    </row>
    <row r="40" spans="1:23" s="65" customFormat="1" ht="11" x14ac:dyDescent="0.15">
      <c r="A40" s="68">
        <v>29</v>
      </c>
      <c r="B40" s="68">
        <v>2</v>
      </c>
      <c r="C40" s="69">
        <v>0.189</v>
      </c>
      <c r="D40" s="70">
        <v>0.56499999999999995</v>
      </c>
      <c r="E40" s="64"/>
      <c r="G40" s="66">
        <f t="shared" si="3"/>
        <v>0.75125523012552298</v>
      </c>
      <c r="H40" s="66">
        <f t="shared" si="0"/>
        <v>3.4691010749111545E-2</v>
      </c>
      <c r="K40" s="66">
        <f t="shared" si="1"/>
        <v>0.75125523012552298</v>
      </c>
      <c r="O40" s="67">
        <f t="shared" si="2"/>
        <v>0.75125523012552298</v>
      </c>
      <c r="S40" s="67"/>
      <c r="T40" s="71"/>
      <c r="W40" s="67"/>
    </row>
    <row r="41" spans="1:23" s="65" customFormat="1" ht="11" x14ac:dyDescent="0.15">
      <c r="A41" s="68">
        <v>30</v>
      </c>
      <c r="B41" s="68">
        <v>2</v>
      </c>
      <c r="C41" s="69">
        <v>0.19</v>
      </c>
      <c r="D41" s="70">
        <v>0.58199999999999996</v>
      </c>
      <c r="E41" s="64"/>
      <c r="G41" s="66">
        <f t="shared" si="3"/>
        <v>0.75208333333333333</v>
      </c>
      <c r="H41" s="66">
        <f t="shared" si="0"/>
        <v>2.8928340277777787E-2</v>
      </c>
      <c r="K41" s="66">
        <f t="shared" si="1"/>
        <v>0.75208333333333333</v>
      </c>
      <c r="O41" s="67">
        <f t="shared" si="2"/>
        <v>0.75208333333333333</v>
      </c>
      <c r="S41" s="67"/>
      <c r="T41" s="71"/>
      <c r="W41" s="67"/>
    </row>
    <row r="42" spans="1:23" s="65" customFormat="1" ht="11" x14ac:dyDescent="0.15">
      <c r="A42" s="72">
        <v>31</v>
      </c>
      <c r="B42" s="72">
        <v>3</v>
      </c>
      <c r="C42" s="73">
        <v>0.26300000000000001</v>
      </c>
      <c r="D42" s="74">
        <v>0.68516860795617585</v>
      </c>
      <c r="E42" s="64"/>
      <c r="G42" s="66">
        <f t="shared" si="3"/>
        <v>0.79824281150159737</v>
      </c>
      <c r="H42" s="66">
        <f t="shared" si="0"/>
        <v>1.2785775507431417E-2</v>
      </c>
      <c r="K42" s="66">
        <f t="shared" si="1"/>
        <v>0.79824281150159737</v>
      </c>
      <c r="O42" s="67">
        <f t="shared" si="2"/>
        <v>0.79824281150159737</v>
      </c>
      <c r="S42" s="67"/>
      <c r="T42" s="71"/>
      <c r="W42" s="67"/>
    </row>
    <row r="43" spans="1:23" s="65" customFormat="1" ht="11" x14ac:dyDescent="0.15">
      <c r="A43" s="72">
        <v>32</v>
      </c>
      <c r="B43" s="72">
        <v>3</v>
      </c>
      <c r="C43" s="73">
        <v>0.307</v>
      </c>
      <c r="D43" s="74">
        <v>0.7126365858817586</v>
      </c>
      <c r="E43" s="64"/>
      <c r="G43" s="66">
        <f t="shared" si="3"/>
        <v>0.81694677871148458</v>
      </c>
      <c r="H43" s="66">
        <f t="shared" si="0"/>
        <v>1.0880616328174617E-2</v>
      </c>
      <c r="K43" s="66">
        <f t="shared" si="1"/>
        <v>0.81694677871148458</v>
      </c>
      <c r="O43" s="67">
        <f t="shared" si="2"/>
        <v>0.81694677871148458</v>
      </c>
      <c r="S43" s="67"/>
      <c r="T43" s="71"/>
      <c r="W43" s="67"/>
    </row>
    <row r="44" spans="1:23" s="65" customFormat="1" ht="11" x14ac:dyDescent="0.15">
      <c r="A44" s="72">
        <v>33</v>
      </c>
      <c r="B44" s="72">
        <v>3</v>
      </c>
      <c r="C44" s="73">
        <v>0.151</v>
      </c>
      <c r="D44" s="74">
        <v>0.41199999999999998</v>
      </c>
      <c r="E44" s="64"/>
      <c r="G44" s="66">
        <f t="shared" ref="G44:G61" si="4">(H$2*$C44)/($C44+H$3)</f>
        <v>0.71368159203980097</v>
      </c>
      <c r="H44" s="66">
        <f t="shared" si="0"/>
        <v>9.101178297566892E-2</v>
      </c>
      <c r="K44" s="66">
        <f t="shared" si="1"/>
        <v>0.71368159203980097</v>
      </c>
      <c r="O44" s="67">
        <f t="shared" si="2"/>
        <v>0.71368159203980097</v>
      </c>
      <c r="S44" s="67"/>
      <c r="T44" s="71"/>
      <c r="W44" s="67"/>
    </row>
    <row r="45" spans="1:23" s="65" customFormat="1" ht="11" x14ac:dyDescent="0.15">
      <c r="A45" s="72">
        <v>34</v>
      </c>
      <c r="B45" s="72">
        <v>3</v>
      </c>
      <c r="C45" s="73">
        <v>0.38900000000000001</v>
      </c>
      <c r="D45" s="74">
        <v>0.76400000000000001</v>
      </c>
      <c r="E45" s="64"/>
      <c r="G45" s="66">
        <f t="shared" si="4"/>
        <v>0.8417995444191344</v>
      </c>
      <c r="H45" s="66">
        <f t="shared" si="0"/>
        <v>6.0527691118248657E-3</v>
      </c>
      <c r="K45" s="66">
        <f t="shared" si="1"/>
        <v>0.8417995444191344</v>
      </c>
      <c r="O45" s="67">
        <f t="shared" si="2"/>
        <v>0.8417995444191344</v>
      </c>
      <c r="S45" s="67"/>
      <c r="T45" s="71"/>
      <c r="W45" s="67"/>
    </row>
    <row r="46" spans="1:23" s="65" customFormat="1" ht="11" x14ac:dyDescent="0.15">
      <c r="A46" s="72">
        <v>35</v>
      </c>
      <c r="B46" s="72">
        <v>3</v>
      </c>
      <c r="C46" s="73">
        <v>0.26600000000000001</v>
      </c>
      <c r="D46" s="74">
        <v>0.69147871923009796</v>
      </c>
      <c r="E46" s="64"/>
      <c r="G46" s="66">
        <f t="shared" si="4"/>
        <v>0.7996835443037974</v>
      </c>
      <c r="H46" s="66">
        <f t="shared" si="0"/>
        <v>1.1708284169229895E-2</v>
      </c>
      <c r="K46" s="66">
        <f t="shared" si="1"/>
        <v>0.7996835443037974</v>
      </c>
      <c r="O46" s="67">
        <f t="shared" si="2"/>
        <v>0.7996835443037974</v>
      </c>
      <c r="S46" s="67"/>
      <c r="T46" s="71"/>
      <c r="W46" s="67"/>
    </row>
    <row r="47" spans="1:23" s="65" customFormat="1" ht="11" x14ac:dyDescent="0.15">
      <c r="A47" s="72">
        <v>36</v>
      </c>
      <c r="B47" s="72">
        <v>3</v>
      </c>
      <c r="C47" s="73">
        <v>0.151</v>
      </c>
      <c r="D47" s="74">
        <v>0.38700000000000001</v>
      </c>
      <c r="E47" s="64"/>
      <c r="G47" s="66">
        <f t="shared" si="4"/>
        <v>0.71368159203980097</v>
      </c>
      <c r="H47" s="66">
        <f t="shared" si="0"/>
        <v>0.10672086257765895</v>
      </c>
      <c r="K47" s="66">
        <f t="shared" si="1"/>
        <v>0.71368159203980097</v>
      </c>
      <c r="O47" s="67">
        <f t="shared" si="2"/>
        <v>0.71368159203980097</v>
      </c>
      <c r="S47" s="67"/>
      <c r="T47" s="71"/>
      <c r="W47" s="67"/>
    </row>
    <row r="48" spans="1:23" s="65" customFormat="1" ht="11" x14ac:dyDescent="0.15">
      <c r="A48" s="72">
        <v>37</v>
      </c>
      <c r="B48" s="72">
        <v>3</v>
      </c>
      <c r="C48" s="73">
        <v>0.95399999999999996</v>
      </c>
      <c r="D48" s="74">
        <v>0.82299999999999995</v>
      </c>
      <c r="E48" s="64"/>
      <c r="G48" s="66">
        <f t="shared" si="4"/>
        <v>0.90268924302788833</v>
      </c>
      <c r="H48" s="66">
        <f t="shared" si="0"/>
        <v>6.350375454357857E-3</v>
      </c>
      <c r="K48" s="66">
        <f t="shared" si="1"/>
        <v>0.90268924302788833</v>
      </c>
      <c r="O48" s="67">
        <f t="shared" si="2"/>
        <v>0.90268924302788833</v>
      </c>
      <c r="S48" s="67"/>
      <c r="T48" s="71"/>
      <c r="W48" s="67"/>
    </row>
    <row r="49" spans="1:23" s="65" customFormat="1" ht="11" x14ac:dyDescent="0.15">
      <c r="A49" s="72">
        <v>38</v>
      </c>
      <c r="B49" s="72">
        <v>3</v>
      </c>
      <c r="C49" s="73">
        <v>0.214</v>
      </c>
      <c r="D49" s="74">
        <v>0.57699999999999996</v>
      </c>
      <c r="E49" s="64"/>
      <c r="G49" s="66">
        <f t="shared" si="4"/>
        <v>0.77007575757575741</v>
      </c>
      <c r="H49" s="66">
        <f t="shared" si="0"/>
        <v>3.7278248163452661E-2</v>
      </c>
      <c r="K49" s="66">
        <f t="shared" si="1"/>
        <v>0.77007575757575741</v>
      </c>
      <c r="O49" s="67">
        <f t="shared" si="2"/>
        <v>0.77007575757575741</v>
      </c>
      <c r="S49" s="67"/>
      <c r="T49" s="71"/>
      <c r="W49" s="67"/>
    </row>
    <row r="50" spans="1:23" s="65" customFormat="1" ht="11" x14ac:dyDescent="0.15">
      <c r="A50" s="72">
        <v>39</v>
      </c>
      <c r="B50" s="72">
        <v>3</v>
      </c>
      <c r="C50" s="73">
        <v>0.24299999999999999</v>
      </c>
      <c r="D50" s="74">
        <v>0.58799999999999997</v>
      </c>
      <c r="E50" s="64"/>
      <c r="G50" s="66">
        <f t="shared" si="4"/>
        <v>0.78788395904436859</v>
      </c>
      <c r="H50" s="66">
        <f t="shared" si="0"/>
        <v>3.995359708325083E-2</v>
      </c>
      <c r="K50" s="66">
        <f t="shared" si="1"/>
        <v>0.78788395904436859</v>
      </c>
      <c r="O50" s="67">
        <f t="shared" si="2"/>
        <v>0.78788395904436859</v>
      </c>
      <c r="S50" s="67"/>
      <c r="T50" s="71"/>
      <c r="W50" s="67"/>
    </row>
    <row r="51" spans="1:23" s="65" customFormat="1" ht="11" x14ac:dyDescent="0.15">
      <c r="A51" s="72">
        <v>40</v>
      </c>
      <c r="B51" s="72">
        <v>3</v>
      </c>
      <c r="C51" s="73">
        <v>0.27300000000000002</v>
      </c>
      <c r="D51" s="74">
        <v>0.7139360424919986</v>
      </c>
      <c r="E51" s="64"/>
      <c r="G51" s="66">
        <f t="shared" si="4"/>
        <v>0.80294117647058827</v>
      </c>
      <c r="H51" s="66">
        <f t="shared" si="0"/>
        <v>7.9219138745466964E-3</v>
      </c>
      <c r="K51" s="66">
        <f t="shared" si="1"/>
        <v>0.80294117647058827</v>
      </c>
      <c r="O51" s="67">
        <f t="shared" si="2"/>
        <v>0.80294117647058827</v>
      </c>
      <c r="S51" s="67"/>
      <c r="T51" s="71"/>
      <c r="W51" s="67"/>
    </row>
    <row r="52" spans="1:23" s="65" customFormat="1" ht="11" x14ac:dyDescent="0.15">
      <c r="A52" s="72">
        <v>41</v>
      </c>
      <c r="B52" s="72">
        <v>3</v>
      </c>
      <c r="C52" s="73">
        <v>0.14299999999999999</v>
      </c>
      <c r="D52" s="74">
        <v>0.35899999999999999</v>
      </c>
      <c r="E52" s="64"/>
      <c r="G52" s="66">
        <f t="shared" si="4"/>
        <v>0.70388601036269416</v>
      </c>
      <c r="H52" s="66">
        <f t="shared" si="0"/>
        <v>0.1189463601438964</v>
      </c>
      <c r="K52" s="66">
        <f t="shared" si="1"/>
        <v>0.70388601036269416</v>
      </c>
      <c r="O52" s="67">
        <f t="shared" si="2"/>
        <v>0.70388601036269416</v>
      </c>
      <c r="S52" s="67"/>
      <c r="T52" s="71"/>
      <c r="W52" s="67"/>
    </row>
    <row r="53" spans="1:23" s="65" customFormat="1" ht="11" x14ac:dyDescent="0.15">
      <c r="A53" s="72">
        <v>42</v>
      </c>
      <c r="B53" s="72">
        <v>3</v>
      </c>
      <c r="C53" s="73">
        <v>0.22500000000000001</v>
      </c>
      <c r="D53" s="74">
        <v>0.65992464784968297</v>
      </c>
      <c r="E53" s="64"/>
      <c r="G53" s="66">
        <f t="shared" si="4"/>
        <v>0.77727272727272723</v>
      </c>
      <c r="H53" s="66">
        <f t="shared" si="0"/>
        <v>1.3770571744277104E-2</v>
      </c>
      <c r="K53" s="66">
        <f t="shared" si="1"/>
        <v>0.77727272727272723</v>
      </c>
      <c r="O53" s="67">
        <f t="shared" si="2"/>
        <v>0.77727272727272723</v>
      </c>
      <c r="S53" s="67"/>
      <c r="T53" s="71"/>
      <c r="W53" s="67"/>
    </row>
    <row r="54" spans="1:23" s="65" customFormat="1" ht="11" x14ac:dyDescent="0.15">
      <c r="A54" s="72">
        <v>43</v>
      </c>
      <c r="B54" s="72">
        <v>3</v>
      </c>
      <c r="C54" s="73">
        <v>0.13600000000000001</v>
      </c>
      <c r="D54" s="74">
        <v>0.436</v>
      </c>
      <c r="E54" s="64"/>
      <c r="G54" s="66">
        <f t="shared" si="4"/>
        <v>0.69462365591397857</v>
      </c>
      <c r="H54" s="66">
        <f t="shared" si="0"/>
        <v>6.6886195398311976E-2</v>
      </c>
      <c r="K54" s="66">
        <f t="shared" si="1"/>
        <v>0.69462365591397857</v>
      </c>
      <c r="O54" s="67">
        <f t="shared" si="2"/>
        <v>0.69462365591397857</v>
      </c>
      <c r="S54" s="67"/>
      <c r="T54" s="71"/>
      <c r="W54" s="67"/>
    </row>
    <row r="55" spans="1:23" s="65" customFormat="1" ht="11" x14ac:dyDescent="0.15">
      <c r="A55" s="72">
        <v>44</v>
      </c>
      <c r="B55" s="72">
        <v>3</v>
      </c>
      <c r="C55" s="73">
        <v>0.33400000000000002</v>
      </c>
      <c r="D55" s="74">
        <v>0.76700000000000002</v>
      </c>
      <c r="E55" s="64"/>
      <c r="G55" s="66">
        <f t="shared" si="4"/>
        <v>0.82630208333333344</v>
      </c>
      <c r="H55" s="66">
        <f t="shared" si="0"/>
        <v>3.5167370876736216E-3</v>
      </c>
      <c r="K55" s="66">
        <f t="shared" si="1"/>
        <v>0.82630208333333344</v>
      </c>
      <c r="O55" s="67">
        <f t="shared" si="2"/>
        <v>0.82630208333333344</v>
      </c>
      <c r="S55" s="67"/>
      <c r="T55" s="71"/>
      <c r="W55" s="67"/>
    </row>
    <row r="56" spans="1:23" s="65" customFormat="1" ht="11" x14ac:dyDescent="0.15">
      <c r="A56" s="72">
        <v>45</v>
      </c>
      <c r="B56" s="72">
        <v>3</v>
      </c>
      <c r="C56" s="73">
        <v>0.27900000000000003</v>
      </c>
      <c r="D56" s="74">
        <v>0.72908537523804418</v>
      </c>
      <c r="E56" s="64"/>
      <c r="G56" s="66">
        <f t="shared" si="4"/>
        <v>0.80562310030395134</v>
      </c>
      <c r="H56" s="66">
        <f t="shared" si="0"/>
        <v>5.8580233582643942E-3</v>
      </c>
      <c r="K56" s="66">
        <f t="shared" si="1"/>
        <v>0.80562310030395134</v>
      </c>
      <c r="O56" s="67">
        <f t="shared" si="2"/>
        <v>0.80562310030395134</v>
      </c>
      <c r="S56" s="67"/>
      <c r="T56" s="71"/>
      <c r="W56" s="67"/>
    </row>
    <row r="57" spans="1:23" s="65" customFormat="1" ht="11" x14ac:dyDescent="0.15">
      <c r="A57" s="72">
        <v>46</v>
      </c>
      <c r="B57" s="72">
        <v>3</v>
      </c>
      <c r="C57" s="73">
        <v>0.217</v>
      </c>
      <c r="D57" s="74">
        <v>0.64149414447421438</v>
      </c>
      <c r="E57" s="64"/>
      <c r="G57" s="66">
        <f t="shared" si="4"/>
        <v>0.77209737827715352</v>
      </c>
      <c r="H57" s="66">
        <f t="shared" si="0"/>
        <v>1.7057204679785186E-2</v>
      </c>
      <c r="K57" s="66">
        <f t="shared" si="1"/>
        <v>0.77209737827715352</v>
      </c>
      <c r="O57" s="67">
        <f t="shared" si="2"/>
        <v>0.77209737827715352</v>
      </c>
      <c r="S57" s="67"/>
      <c r="T57" s="71"/>
      <c r="W57" s="67"/>
    </row>
    <row r="58" spans="1:23" s="65" customFormat="1" ht="11" x14ac:dyDescent="0.15">
      <c r="A58" s="72">
        <v>47</v>
      </c>
      <c r="B58" s="72">
        <v>3</v>
      </c>
      <c r="C58" s="73">
        <v>0.27600000000000002</v>
      </c>
      <c r="D58" s="74">
        <v>0.73766787036630588</v>
      </c>
      <c r="E58" s="64"/>
      <c r="G58" s="66">
        <f t="shared" si="4"/>
        <v>0.80429447852760727</v>
      </c>
      <c r="H58" s="66">
        <f t="shared" si="0"/>
        <v>4.439104915079593E-3</v>
      </c>
      <c r="K58" s="66">
        <f t="shared" si="1"/>
        <v>0.80429447852760727</v>
      </c>
      <c r="O58" s="67">
        <f t="shared" si="2"/>
        <v>0.80429447852760727</v>
      </c>
      <c r="S58" s="67"/>
      <c r="T58" s="71"/>
      <c r="W58" s="67"/>
    </row>
    <row r="59" spans="1:23" s="65" customFormat="1" ht="11" x14ac:dyDescent="0.15">
      <c r="A59" s="72">
        <v>48</v>
      </c>
      <c r="B59" s="72">
        <v>3</v>
      </c>
      <c r="C59" s="73">
        <v>0.17199999999999999</v>
      </c>
      <c r="D59" s="74">
        <v>0.46100000000000002</v>
      </c>
      <c r="E59" s="64"/>
      <c r="G59" s="66">
        <f t="shared" si="4"/>
        <v>0.73603603603603607</v>
      </c>
      <c r="H59" s="66">
        <f t="shared" si="0"/>
        <v>7.5644821118415723E-2</v>
      </c>
      <c r="K59" s="66">
        <f t="shared" si="1"/>
        <v>0.73603603603603607</v>
      </c>
      <c r="O59" s="67">
        <f t="shared" si="2"/>
        <v>0.73603603603603607</v>
      </c>
      <c r="S59" s="67"/>
      <c r="T59" s="71"/>
      <c r="W59" s="67"/>
    </row>
    <row r="60" spans="1:23" s="65" customFormat="1" ht="11" x14ac:dyDescent="0.15">
      <c r="A60" s="72">
        <v>49</v>
      </c>
      <c r="B60" s="72">
        <v>3</v>
      </c>
      <c r="C60" s="73">
        <v>0.70899999999999996</v>
      </c>
      <c r="D60" s="74">
        <v>0.78900000000000003</v>
      </c>
      <c r="E60" s="64"/>
      <c r="G60" s="66">
        <f t="shared" si="4"/>
        <v>0.88741765480895918</v>
      </c>
      <c r="H60" s="66">
        <f t="shared" si="0"/>
        <v>9.6860347780954384E-3</v>
      </c>
      <c r="K60" s="66">
        <f t="shared" si="1"/>
        <v>0.88741765480895918</v>
      </c>
      <c r="O60" s="67">
        <f t="shared" si="2"/>
        <v>0.88741765480895918</v>
      </c>
      <c r="S60" s="67"/>
      <c r="T60" s="71"/>
      <c r="W60" s="67"/>
    </row>
    <row r="61" spans="1:23" s="65" customFormat="1" ht="11" x14ac:dyDescent="0.15">
      <c r="A61" s="72">
        <v>50</v>
      </c>
      <c r="B61" s="72">
        <v>3</v>
      </c>
      <c r="C61" s="75">
        <v>0.36599999999999999</v>
      </c>
      <c r="D61" s="74">
        <v>0.73953984870509093</v>
      </c>
      <c r="E61" s="64"/>
      <c r="G61" s="66">
        <f t="shared" si="4"/>
        <v>0.83581730769230766</v>
      </c>
      <c r="H61" s="76">
        <f t="shared" si="0"/>
        <v>9.2693491090352007E-3</v>
      </c>
      <c r="K61" s="66">
        <f t="shared" si="1"/>
        <v>0.83581730769230766</v>
      </c>
      <c r="L61" s="77"/>
      <c r="O61" s="67">
        <f t="shared" si="2"/>
        <v>0.83581730769230766</v>
      </c>
      <c r="P61" s="77"/>
      <c r="S61" s="67"/>
      <c r="T61" s="78"/>
      <c r="W61" s="67"/>
    </row>
    <row r="62" spans="1:23" s="16" customFormat="1" ht="19" x14ac:dyDescent="0.25">
      <c r="A62" s="29"/>
      <c r="C62" s="90"/>
      <c r="F62" s="36" t="s">
        <v>19</v>
      </c>
      <c r="G62" s="17"/>
      <c r="H62" s="92">
        <f>SUM(H12:H61)</f>
        <v>1.6702646224751949</v>
      </c>
      <c r="J62" s="36" t="s">
        <v>25</v>
      </c>
      <c r="K62" s="17"/>
      <c r="L62" s="92"/>
      <c r="N62" s="36" t="s">
        <v>32</v>
      </c>
      <c r="O62" s="17"/>
      <c r="P62" s="92"/>
      <c r="R62" s="36" t="s">
        <v>40</v>
      </c>
      <c r="S62" s="17"/>
      <c r="T62" s="92"/>
    </row>
    <row r="64" spans="1:23" ht="16" thickBot="1" x14ac:dyDescent="0.25"/>
    <row r="65" spans="2:24" s="16" customFormat="1" ht="20" thickBot="1" x14ac:dyDescent="0.3">
      <c r="E65" s="113" t="s">
        <v>57</v>
      </c>
      <c r="F65" s="114"/>
      <c r="G65" s="114"/>
      <c r="H65" s="114"/>
      <c r="I65" s="114"/>
      <c r="J65" s="114"/>
      <c r="K65" s="115"/>
      <c r="L65" s="104">
        <v>0.05</v>
      </c>
      <c r="M65" s="104"/>
      <c r="N65" s="104"/>
      <c r="O65" s="105"/>
    </row>
    <row r="66" spans="2:24" s="16" customFormat="1" ht="20" thickBot="1" x14ac:dyDescent="0.3">
      <c r="B66" s="46" t="s">
        <v>41</v>
      </c>
      <c r="E66" s="47" t="s">
        <v>47</v>
      </c>
      <c r="F66" s="48"/>
      <c r="G66" s="48"/>
      <c r="H66" s="48"/>
      <c r="I66" s="47"/>
      <c r="J66" s="49"/>
      <c r="K66" s="50"/>
      <c r="L66" s="51" t="s">
        <v>43</v>
      </c>
      <c r="M66" s="52" t="s">
        <v>44</v>
      </c>
      <c r="N66" s="53" t="s">
        <v>45</v>
      </c>
      <c r="O66" s="54" t="s">
        <v>46</v>
      </c>
    </row>
    <row r="67" spans="2:24" s="16" customFormat="1" ht="19" x14ac:dyDescent="0.25">
      <c r="E67" s="83" t="s">
        <v>71</v>
      </c>
      <c r="F67" s="84"/>
      <c r="G67" s="84"/>
      <c r="H67" s="84"/>
      <c r="I67" s="83" t="s">
        <v>73</v>
      </c>
      <c r="J67" s="84"/>
      <c r="K67" s="85"/>
      <c r="L67" s="7"/>
      <c r="M67" s="7"/>
      <c r="N67" s="7"/>
      <c r="O67" s="7"/>
    </row>
    <row r="68" spans="2:24" s="16" customFormat="1" ht="20" thickBot="1" x14ac:dyDescent="0.3">
      <c r="E68" s="83" t="s">
        <v>72</v>
      </c>
      <c r="F68" s="84"/>
      <c r="G68" s="84"/>
      <c r="H68" s="84"/>
      <c r="I68" s="83" t="s">
        <v>42</v>
      </c>
      <c r="J68" s="84"/>
      <c r="K68" s="85"/>
      <c r="L68" s="13"/>
      <c r="M68" s="8"/>
      <c r="N68" s="8"/>
      <c r="O68" s="9"/>
    </row>
    <row r="69" spans="2:24" s="16" customFormat="1" ht="20" thickBot="1" x14ac:dyDescent="0.3">
      <c r="E69" s="57"/>
      <c r="F69" s="58"/>
      <c r="G69" s="58"/>
      <c r="H69" s="58"/>
      <c r="I69" s="57"/>
      <c r="J69" s="58"/>
      <c r="K69" s="59"/>
      <c r="L69" s="55">
        <f>L67-L68</f>
        <v>0</v>
      </c>
      <c r="M69" s="56">
        <f t="shared" ref="M69:O69" si="5">M67-M68</f>
        <v>0</v>
      </c>
      <c r="N69" s="56">
        <f t="shared" si="5"/>
        <v>0</v>
      </c>
      <c r="O69" s="56">
        <f t="shared" si="5"/>
        <v>0</v>
      </c>
    </row>
    <row r="70" spans="2:24" s="16" customFormat="1" ht="19" x14ac:dyDescent="0.25"/>
    <row r="71" spans="2:24" s="16" customFormat="1" ht="19" x14ac:dyDescent="0.25">
      <c r="J71" s="46" t="s">
        <v>49</v>
      </c>
      <c r="L71" s="89" t="s">
        <v>83</v>
      </c>
      <c r="M71" s="89"/>
      <c r="N71" s="89" t="s">
        <v>74</v>
      </c>
      <c r="O71" s="89"/>
      <c r="W71" s="29"/>
      <c r="X71" s="29"/>
    </row>
    <row r="72" spans="2:24" s="16" customFormat="1" ht="19" x14ac:dyDescent="0.25">
      <c r="I72" s="102" t="s">
        <v>50</v>
      </c>
      <c r="J72" s="102"/>
      <c r="L72" s="87" t="e">
        <f>((H62-L62)/(M68-L68))/(L62/(M67-M68))</f>
        <v>#DIV/0!</v>
      </c>
      <c r="M72" s="86"/>
      <c r="N72" s="87" t="e">
        <f>FINV(L65,M68-L68,M67-M68)</f>
        <v>#NUM!</v>
      </c>
      <c r="O72" s="86"/>
      <c r="W72" s="29"/>
      <c r="X72" s="29"/>
    </row>
    <row r="73" spans="2:24" s="16" customFormat="1" ht="19" x14ac:dyDescent="0.25">
      <c r="I73" s="102" t="s">
        <v>70</v>
      </c>
      <c r="J73" s="102"/>
      <c r="L73" s="87" t="e">
        <f>((H62-P62)/(N68-L68))/(P62/(N67-N68))</f>
        <v>#DIV/0!</v>
      </c>
      <c r="M73" s="86"/>
      <c r="N73" s="87" t="e">
        <f>FINV(L65,N68-L68,N67-N68)</f>
        <v>#NUM!</v>
      </c>
      <c r="O73" s="86"/>
      <c r="W73" s="29"/>
      <c r="X73" s="29"/>
    </row>
    <row r="74" spans="2:24" ht="19" x14ac:dyDescent="0.25">
      <c r="I74" s="102" t="s">
        <v>52</v>
      </c>
      <c r="J74" s="102"/>
      <c r="L74" s="87" t="e">
        <f>((L62-T62)/(O68-M68))/(T62/(O67-O68))</f>
        <v>#DIV/0!</v>
      </c>
      <c r="M74" s="86"/>
      <c r="N74" s="87" t="e">
        <f>FINV(L65,O68-M68,O67-O68)</f>
        <v>#NUM!</v>
      </c>
      <c r="O74" s="88"/>
      <c r="W74" s="3"/>
      <c r="X74" s="3"/>
    </row>
    <row r="80" spans="2:24" x14ac:dyDescent="0.2">
      <c r="O80" s="3"/>
    </row>
    <row r="82" spans="15:17" x14ac:dyDescent="0.2">
      <c r="O82" s="3"/>
      <c r="Q82" s="10"/>
    </row>
    <row r="83" spans="15:17" x14ac:dyDescent="0.2">
      <c r="Q83" s="11"/>
    </row>
  </sheetData>
  <mergeCells count="18">
    <mergeCell ref="I72:J72"/>
    <mergeCell ref="I73:J73"/>
    <mergeCell ref="I74:J74"/>
    <mergeCell ref="O10:P10"/>
    <mergeCell ref="S10:T10"/>
    <mergeCell ref="A10:F10"/>
    <mergeCell ref="G10:H10"/>
    <mergeCell ref="K10:L10"/>
    <mergeCell ref="E65:K65"/>
    <mergeCell ref="L65:O65"/>
    <mergeCell ref="G1:H1"/>
    <mergeCell ref="K1:L1"/>
    <mergeCell ref="O1:P1"/>
    <mergeCell ref="S1:T1"/>
    <mergeCell ref="G9:H9"/>
    <mergeCell ref="K9:L9"/>
    <mergeCell ref="O9:P9"/>
    <mergeCell ref="S9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PK</vt:lpstr>
      <vt:lpstr>PD</vt:lpstr>
    </vt:vector>
  </TitlesOfParts>
  <Company>Inst f Farm Biovetenskap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Baverel</dc:creator>
  <cp:lastModifiedBy>Microsoft Office User</cp:lastModifiedBy>
  <dcterms:created xsi:type="dcterms:W3CDTF">2009-04-27T12:06:51Z</dcterms:created>
  <dcterms:modified xsi:type="dcterms:W3CDTF">2022-05-22T19:26:56Z</dcterms:modified>
</cp:coreProperties>
</file>