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lister Rebello\Desktop\Analysis Projects\Crowdfunding Analysis\Module 1 Challenge\Starter_Code\"/>
    </mc:Choice>
  </mc:AlternateContent>
  <xr:revisionPtr revIDLastSave="0" documentId="13_ncr:1_{1415871C-88DA-4582-A4B8-052C5AC9E95F}" xr6:coauthVersionLast="47" xr6:coauthVersionMax="47" xr10:uidLastSave="{00000000-0000-0000-0000-000000000000}"/>
  <bookViews>
    <workbookView xWindow="-108" yWindow="-108" windowWidth="23256" windowHeight="12456" tabRatio="650" activeTab="1" xr2:uid="{00000000-000D-0000-FFFF-FFFF00000000}"/>
  </bookViews>
  <sheets>
    <sheet name="Crowdfunding" sheetId="1" r:id="rId1"/>
    <sheet name="Category Stats" sheetId="2" r:id="rId2"/>
    <sheet name="SubCategory Stats" sheetId="3" r:id="rId3"/>
    <sheet name="LaunchDateOutcomes" sheetId="4" r:id="rId4"/>
    <sheet name="GoalOutcomes" sheetId="5" r:id="rId5"/>
    <sheet name="Statistical Analysis" sheetId="6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6" l="1"/>
  <c r="H13" i="6"/>
  <c r="I11" i="6"/>
  <c r="I10" i="6"/>
  <c r="I9" i="6"/>
  <c r="H11" i="6"/>
  <c r="H10" i="6"/>
  <c r="H9" i="6"/>
  <c r="I6" i="6"/>
  <c r="H6" i="6"/>
  <c r="I7" i="6"/>
  <c r="H7" i="6"/>
  <c r="I5" i="6"/>
  <c r="H5" i="6"/>
  <c r="I4" i="6"/>
  <c r="H4" i="6"/>
  <c r="I3" i="6"/>
  <c r="H3" i="6"/>
  <c r="I2" i="6"/>
  <c r="I8" i="6" s="1"/>
  <c r="H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6" i="5"/>
  <c r="C7" i="5"/>
  <c r="C5" i="5"/>
  <c r="C4" i="5"/>
  <c r="C3" i="5"/>
  <c r="B13" i="5"/>
  <c r="B12" i="5"/>
  <c r="B11" i="5"/>
  <c r="B10" i="5"/>
  <c r="B9" i="5"/>
  <c r="E9" i="5" s="1"/>
  <c r="B8" i="5"/>
  <c r="E8" i="5" s="1"/>
  <c r="B7" i="5"/>
  <c r="B6" i="5"/>
  <c r="E6" i="5" s="1"/>
  <c r="B5" i="5"/>
  <c r="B4" i="5"/>
  <c r="C2" i="5"/>
  <c r="B2" i="5"/>
  <c r="B3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8" i="6" l="1"/>
  <c r="E5" i="5"/>
  <c r="H5" i="5" s="1"/>
  <c r="E7" i="5"/>
  <c r="E10" i="5"/>
  <c r="F10" i="5" s="1"/>
  <c r="E3" i="5"/>
  <c r="G3" i="5" s="1"/>
  <c r="G7" i="5"/>
  <c r="E4" i="5"/>
  <c r="H4" i="5" s="1"/>
  <c r="H6" i="5"/>
  <c r="H7" i="5"/>
  <c r="H8" i="5"/>
  <c r="H9" i="5"/>
  <c r="F2" i="5"/>
  <c r="G8" i="5"/>
  <c r="H10" i="5"/>
  <c r="G6" i="5"/>
  <c r="G9" i="5"/>
  <c r="E2" i="5"/>
  <c r="H2" i="5" s="1"/>
  <c r="E13" i="5"/>
  <c r="H13" i="5" s="1"/>
  <c r="F9" i="5"/>
  <c r="E12" i="5"/>
  <c r="H12" i="5" s="1"/>
  <c r="F8" i="5"/>
  <c r="E11" i="5"/>
  <c r="H11" i="5" s="1"/>
  <c r="F7" i="5"/>
  <c r="F6" i="5"/>
  <c r="F4" i="5"/>
  <c r="F3" i="5"/>
  <c r="G5" i="5" l="1"/>
  <c r="F5" i="5"/>
  <c r="H3" i="5"/>
  <c r="G10" i="5"/>
  <c r="G4" i="5"/>
  <c r="G13" i="5"/>
  <c r="F12" i="5"/>
  <c r="F11" i="5"/>
  <c r="F13" i="5"/>
  <c r="G12" i="5"/>
  <c r="G11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<sst xmlns="http://schemas.openxmlformats.org/spreadsheetml/2006/main" count="7070" uniqueCount="2122">
  <si>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</si>
  <si>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</si>
  <si>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</si>
  <si>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</si>
  <si>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</si>
  <si>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</si>
  <si>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</si>
  <si>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</si>
  <si>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</si>
  <si>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</si>
  <si>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</si>
  <si>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</si>
  <si>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</si>
  <si>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</si>
  <si>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</si>
  <si>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</si>
  <si>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</si>
  <si>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</si>
  <si>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</si>
  <si>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</si>
  <si>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</si>
  <si>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</si>
  <si>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</si>
  <si>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</si>
  <si>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</si>
  <si>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</si>
  <si>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</si>
  <si>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</si>
  <si>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</si>
  <si>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</si>
  <si>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</si>
  <si>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</si>
  <si>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</si>
  <si>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</si>
  <si>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</si>
  <si>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</si>
  <si>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</si>
  <si>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</si>
  <si>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</si>
  <si>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</si>
  <si>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</si>
  <si>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</si>
  <si>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</si>
  <si>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</si>
  <si>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</si>
  <si>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</si>
  <si>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</si>
  <si>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</si>
  <si>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</si>
  <si>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</si>
  <si>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</si>
  <si>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</si>
  <si>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</si>
  <si>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</si>
  <si>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</si>
  <si>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</si>
  <si>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</si>
  <si>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</si>
  <si>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</si>
  <si>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</si>
  <si>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</si>
  <si>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</si>
  <si>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</si>
  <si>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</si>
  <si>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</si>
  <si>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</si>
  <si>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</si>
  <si>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</si>
  <si>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</si>
  <si>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</si>
  <si>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</si>
  <si>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</si>
  <si>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</si>
  <si>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</si>
  <si>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</si>
  <si>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</si>
  <si>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</si>
  <si>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</si>
  <si>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</si>
  <si>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</si>
  <si>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</si>
  <si>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</si>
  <si>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</si>
  <si>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</si>
  <si>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</si>
  <si>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</si>
  <si>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</si>
  <si>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</si>
  <si>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</si>
  <si>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</si>
  <si>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</si>
  <si>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</si>
  <si>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</si>
  <si>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</si>
  <si>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</si>
  <si>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</si>
  <si>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</si>
  <si>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</si>
  <si>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</si>
  <si>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</si>
  <si>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</si>
  <si>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</si>
  <si>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</si>
  <si>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</si>
  <si>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</si>
  <si>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</si>
  <si>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</si>
  <si>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</si>
  <si>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</si>
  <si>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</si>
  <si>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</si>
  <si>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</si>
  <si>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</si>
  <si>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</si>
  <si>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</si>
  <si>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</si>
  <si>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</si>
  <si>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</si>
  <si>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</si>
  <si>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</si>
  <si>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</si>
  <si>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</si>
  <si>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</si>
  <si>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</si>
  <si>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</si>
  <si>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</si>
  <si>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</si>
  <si>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</si>
  <si>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</si>
  <si>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</si>
  <si>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</si>
  <si>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</si>
  <si>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</si>
  <si>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</si>
  <si>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</si>
  <si>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</si>
  <si>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</si>
  <si>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</si>
  <si>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</si>
  <si>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</si>
  <si>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</si>
  <si>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</si>
  <si>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</si>
  <si>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</si>
  <si>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</si>
  <si>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</si>
  <si>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</si>
  <si>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</si>
  <si>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</si>
  <si>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</si>
  <si>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</si>
  <si>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</si>
  <si>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</si>
  <si>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</si>
  <si>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</si>
  <si>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</si>
  <si>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</si>
  <si>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</si>
  <si>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</si>
  <si>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</si>
  <si>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</si>
  <si>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</si>
  <si>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</si>
  <si>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</si>
  <si>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</si>
  <si>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</si>
  <si>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</si>
  <si>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</si>
  <si>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</si>
  <si>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</si>
  <si>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</si>
  <si>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</si>
  <si>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</si>
  <si>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</si>
  <si>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</si>
  <si>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</si>
  <si>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</si>
  <si>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</si>
  <si>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</si>
  <si>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</si>
  <si>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</si>
  <si>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</si>
  <si>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</si>
  <si>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</si>
  <si>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</si>
  <si>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</si>
  <si>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</si>
  <si>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</si>
  <si>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</si>
  <si>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</si>
  <si>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</si>
  <si>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</si>
  <si>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</si>
  <si>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</si>
  <si>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</si>
  <si>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</si>
  <si>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</si>
  <si>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</si>
  <si>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</si>
  <si>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</si>
  <si>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</si>
  <si>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</si>
  <si>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</si>
  <si>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</si>
  <si>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</si>
  <si>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</si>
  <si>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</si>
  <si>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</si>
  <si>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</si>
  <si>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</si>
  <si>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</si>
  <si>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</si>
  <si>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</si>
  <si>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</si>
  <si>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</si>
  <si>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</si>
  <si>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</si>
  <si>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</si>
  <si>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</si>
  <si>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</si>
  <si>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</si>
  <si>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</si>
  <si>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</si>
  <si>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</si>
  <si>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</si>
  <si>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</si>
  <si>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</si>
  <si>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</si>
  <si>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</si>
  <si>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</si>
  <si>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</si>
  <si>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</si>
  <si>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</si>
  <si>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</si>
  <si>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</si>
  <si>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</si>
  <si>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</si>
  <si>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</si>
  <si>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</si>
  <si>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</si>
  <si>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</si>
  <si>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</si>
  <si>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</si>
  <si>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</si>
  <si>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</si>
  <si>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</si>
  <si>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</si>
  <si>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</si>
  <si>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</si>
  <si>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</si>
  <si>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</si>
  <si>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</si>
  <si>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</si>
  <si>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</si>
  <si>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</si>
  <si>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</si>
  <si>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</si>
  <si>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</si>
  <si>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</si>
  <si>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</si>
  <si>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</si>
  <si>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</si>
  <si>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</si>
  <si>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</si>
  <si>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</si>
  <si>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</si>
  <si>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</si>
  <si>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</si>
  <si>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</si>
  <si>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</si>
  <si>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</si>
  <si>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</si>
  <si>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</si>
  <si>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</si>
  <si>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</si>
  <si>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</si>
  <si>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</si>
  <si>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</si>
  <si>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</si>
  <si>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</si>
  <si>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</si>
  <si>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</si>
  <si>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</si>
  <si>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</si>
  <si>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</si>
  <si>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</si>
  <si>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</si>
  <si>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</si>
  <si>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</si>
  <si>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</si>
  <si>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</si>
  <si>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</si>
  <si>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</si>
  <si>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</si>
  <si>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</si>
  <si>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</si>
  <si>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</si>
  <si>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</si>
  <si>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</si>
  <si>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</si>
  <si>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</si>
  <si>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</si>
  <si>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</si>
  <si>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</si>
  <si>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</si>
  <si>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</si>
  <si>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</si>
  <si>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</si>
  <si>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</si>
  <si>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</si>
  <si>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</si>
  <si>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</si>
  <si>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</si>
  <si>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</si>
  <si>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</si>
  <si>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</si>
  <si>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</si>
  <si>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</si>
  <si>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</si>
  <si>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</si>
  <si>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</si>
  <si>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</si>
  <si>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</si>
  <si>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</si>
  <si>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</si>
  <si>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</si>
  <si>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</si>
  <si>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</si>
  <si>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</si>
  <si>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</si>
  <si>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</si>
  <si>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</si>
  <si>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</si>
  <si>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</si>
  <si>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</si>
  <si>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</si>
  <si>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</si>
  <si>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</si>
  <si>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</si>
  <si>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</si>
  <si>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</si>
  <si>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</si>
  <si>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</si>
  <si>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</si>
  <si>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</si>
  <si>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</si>
  <si>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</si>
  <si>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</si>
  <si>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</si>
  <si>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</si>
  <si>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</si>
  <si>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</si>
  <si>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</si>
  <si>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</si>
  <si>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</si>
  <si>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</si>
  <si>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</si>
  <si>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</si>
  <si>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</si>
  <si>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</si>
  <si>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</si>
  <si>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</si>
  <si>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</si>
  <si>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</si>
  <si>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</si>
  <si>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</si>
  <si>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</si>
  <si>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</si>
  <si>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</si>
  <si>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</si>
  <si>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</si>
  <si>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</si>
  <si>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</si>
  <si>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</si>
  <si>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</si>
  <si>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</si>
  <si>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</si>
  <si>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</si>
  <si>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</si>
  <si>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</si>
  <si>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</si>
  <si>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</si>
  <si>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</si>
  <si>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</si>
  <si>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</si>
  <si>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</si>
  <si>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</si>
  <si>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</si>
  <si>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</si>
  <si>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</si>
  <si>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</si>
  <si>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</si>
  <si>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</si>
  <si>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</si>
  <si>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</si>
  <si>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</si>
  <si>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</si>
  <si>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</si>
  <si>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</si>
  <si>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</si>
  <si>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</si>
  <si>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</si>
  <si>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</si>
  <si>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</si>
  <si>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</si>
  <si>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</si>
  <si>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</si>
  <si>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</si>
  <si>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</si>
  <si>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</si>
  <si>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</si>
  <si>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</si>
  <si>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</si>
  <si>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</si>
  <si>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</si>
  <si>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</si>
  <si>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</si>
  <si>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</si>
  <si>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</si>
  <si>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</si>
  <si>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</si>
  <si>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</si>
  <si>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</si>
  <si>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</si>
  <si>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</si>
  <si>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</si>
  <si>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</si>
  <si>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</si>
  <si>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</si>
  <si>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</si>
  <si>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</si>
  <si>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</si>
  <si>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</si>
  <si>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</si>
  <si>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</si>
  <si>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</si>
  <si>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</si>
  <si>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</si>
  <si>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</si>
  <si>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</si>
  <si>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</si>
  <si>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</si>
  <si>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</si>
  <si>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</si>
  <si>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</si>
  <si>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</si>
  <si>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</si>
  <si>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</si>
  <si>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</si>
  <si>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</si>
  <si>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</si>
  <si>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</si>
  <si>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</si>
  <si>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</si>
  <si>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</si>
  <si>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</si>
  <si>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</si>
  <si>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</si>
  <si>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</si>
  <si>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</si>
  <si>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</si>
  <si>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</si>
  <si>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</si>
  <si>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</si>
  <si>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</si>
  <si>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</si>
  <si>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</si>
  <si>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</si>
  <si>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</si>
  <si>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</si>
  <si>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</si>
  <si>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</si>
  <si>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</si>
  <si>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</si>
  <si>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</si>
  <si>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</si>
  <si>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</si>
  <si>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</si>
  <si>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</si>
  <si>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</si>
  <si>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</si>
  <si>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</si>
  <si>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</si>
  <si>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</si>
  <si>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</si>
  <si>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</si>
  <si>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</si>
  <si>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</si>
  <si>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</si>
  <si>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</si>
  <si>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</si>
  <si>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</si>
  <si>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</si>
  <si>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</si>
  <si>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</si>
  <si>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</si>
  <si>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</si>
  <si>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</si>
  <si>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</si>
  <si>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</si>
  <si>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</si>
  <si>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</si>
  <si>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</si>
  <si>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</si>
  <si>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</si>
  <si>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</si>
  <si>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</si>
  <si>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</si>
  <si>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</si>
  <si>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</si>
  <si>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</si>
  <si>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</si>
  <si>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</si>
  <si>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</si>
  <si>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</si>
  <si>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</si>
  <si>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</si>
  <si>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</si>
  <si>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</si>
  <si>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</si>
  <si>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</si>
  <si>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</si>
  <si>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</si>
  <si>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</si>
  <si>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</si>
  <si>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</si>
  <si>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</si>
  <si>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</si>
  <si>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</si>
  <si>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</si>
  <si>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</si>
  <si>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</si>
  <si>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</si>
  <si>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</si>
  <si>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</si>
  <si>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</si>
  <si>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</si>
  <si>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</si>
  <si>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</si>
  <si>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</si>
  <si>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</si>
  <si>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</si>
  <si>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</si>
  <si>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</si>
  <si>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</si>
  <si>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</si>
  <si>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</si>
  <si>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</si>
  <si>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</si>
  <si>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</si>
  <si>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</si>
  <si>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</si>
  <si>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</si>
  <si>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</si>
  <si>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</si>
  <si>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</si>
  <si>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</si>
  <si>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</si>
  <si>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</si>
  <si>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</si>
  <si>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</si>
  <si>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</si>
  <si>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</si>
  <si>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</si>
  <si>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</si>
  <si>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</si>
  <si>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</si>
  <si>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</si>
  <si>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</si>
  <si>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</si>
  <si>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</si>
  <si>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</si>
  <si>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</si>
  <si>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</si>
  <si>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</si>
  <si>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</si>
  <si>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</si>
  <si>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</si>
  <si>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</si>
  <si>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</si>
  <si>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</si>
  <si>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</si>
  <si>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</si>
  <si>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</si>
  <si>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</si>
  <si>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</si>
  <si>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</si>
  <si>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</si>
  <si>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</si>
  <si>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</si>
  <si>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</si>
  <si>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</si>
  <si>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</si>
  <si>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</si>
  <si>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</si>
  <si>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</si>
  <si>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</si>
  <si>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</si>
  <si>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</si>
  <si>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</si>
  <si>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</si>
  <si>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</si>
  <si>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</si>
  <si>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</si>
  <si>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</si>
  <si>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</si>
  <si>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</si>
  <si>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</si>
  <si>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</si>
  <si>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</si>
  <si>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</si>
  <si>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</si>
  <si>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</si>
  <si>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</si>
  <si>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</si>
  <si>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</si>
  <si>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</si>
  <si>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</si>
  <si>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</si>
  <si>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</si>
  <si>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</si>
  <si>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</si>
  <si>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</si>
  <si>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</si>
  <si>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</si>
  <si>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</si>
  <si>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</si>
  <si>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</si>
  <si>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</si>
  <si>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</si>
  <si>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</si>
  <si>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</si>
  <si>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</si>
  <si>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</si>
  <si>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</si>
  <si>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</si>
  <si>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</si>
  <si>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</si>
  <si>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</si>
  <si>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</si>
  <si>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</si>
  <si>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</si>
  <si>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</si>
  <si>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</si>
  <si>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</si>
  <si>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</si>
  <si>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</si>
  <si>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</si>
  <si>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</si>
  <si>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</si>
  <si>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</si>
  <si>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</si>
  <si>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</si>
  <si>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</si>
  <si>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</si>
  <si>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</si>
  <si>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</si>
  <si>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</si>
  <si>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</si>
  <si>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</si>
  <si>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</si>
  <si>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</si>
  <si>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</si>
  <si>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</si>
  <si>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</si>
  <si>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</si>
  <si>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</si>
  <si>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</si>
  <si>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</si>
  <si>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</si>
  <si>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</si>
  <si>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</si>
  <si>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</si>
  <si>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</si>
  <si>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</si>
  <si>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</si>
  <si>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</si>
  <si>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</si>
  <si>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</si>
  <si>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</si>
  <si>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</si>
  <si>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</si>
  <si>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</si>
  <si>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</si>
  <si>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</si>
  <si>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</si>
  <si>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</si>
  <si>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</si>
  <si>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</si>
  <si>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</si>
  <si>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</si>
  <si>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</si>
  <si>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</si>
  <si>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</si>
  <si>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</si>
  <si>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</si>
  <si>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</si>
  <si>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</si>
  <si>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</si>
  <si>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</si>
  <si>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</si>
  <si>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</si>
  <si>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</si>
  <si>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</si>
  <si>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</si>
  <si>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</si>
  <si>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</si>
  <si>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</si>
  <si>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</si>
  <si>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</si>
  <si>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</si>
  <si>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</si>
  <si>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</si>
  <si>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</si>
  <si>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</si>
  <si>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</si>
  <si>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</si>
  <si>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</si>
  <si>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</si>
  <si>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</si>
  <si>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</si>
  <si>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</si>
  <si>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</si>
  <si>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</si>
  <si>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</si>
  <si>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</si>
  <si>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</si>
  <si>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</si>
  <si>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</si>
  <si>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</si>
  <si>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</si>
  <si>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</si>
  <si>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</si>
  <si>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</si>
  <si>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</si>
  <si>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</si>
  <si>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</si>
  <si>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</si>
  <si>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</si>
  <si>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</si>
  <si>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</si>
  <si>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</si>
  <si>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</si>
  <si>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</si>
  <si>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</si>
  <si>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</si>
  <si>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</si>
  <si>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</si>
  <si>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</si>
  <si>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</si>
  <si>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</si>
  <si>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</si>
  <si>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</si>
  <si>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</si>
  <si>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</si>
  <si>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</si>
  <si>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</si>
  <si>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</si>
  <si>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</si>
  <si>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</si>
  <si>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</si>
  <si>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</si>
  <si>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</si>
  <si>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</si>
  <si>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</si>
  <si>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</si>
  <si>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</si>
  <si>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</si>
  <si>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</si>
  <si>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</si>
  <si>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</si>
  <si>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</si>
  <si>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</si>
  <si>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</si>
  <si>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</si>
  <si>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</si>
  <si>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</si>
  <si>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</si>
  <si>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</si>
  <si>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</si>
  <si>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</si>
  <si>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</si>
  <si>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</si>
  <si>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</si>
  <si>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</si>
  <si>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</si>
  <si>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</si>
  <si>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</si>
  <si>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</si>
  <si>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</si>
  <si>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</si>
  <si>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</si>
  <si>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</si>
  <si>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</si>
  <si>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</si>
  <si>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</si>
  <si>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</si>
  <si>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</si>
  <si>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</si>
  <si>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</si>
  <si>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</si>
  <si>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</si>
  <si>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</si>
  <si>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</si>
  <si>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</si>
  <si>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</si>
  <si>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</si>
  <si>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</si>
  <si>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</si>
  <si>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</si>
  <si>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</si>
  <si>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</si>
  <si>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</si>
  <si>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</si>
  <si>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</si>
  <si>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</si>
  <si>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</si>
  <si>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</si>
  <si>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</si>
  <si>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</si>
  <si>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</si>
  <si>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</si>
  <si>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</si>
  <si>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</si>
  <si>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</si>
  <si>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</si>
  <si>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</si>
  <si>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</si>
  <si>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</si>
  <si>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</si>
  <si>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</si>
  <si>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</si>
  <si>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</si>
  <si>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</si>
  <si>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</si>
  <si>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</si>
  <si>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</si>
  <si>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</si>
  <si>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</si>
  <si>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</si>
  <si>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</si>
  <si>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</si>
  <si>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</si>
  <si>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</si>
  <si>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</si>
  <si>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</si>
  <si>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</si>
  <si>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</si>
  <si>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</si>
  <si>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</si>
  <si>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</si>
  <si>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</si>
  <si>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</si>
  <si>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</si>
  <si>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</si>
  <si>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</si>
  <si>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</si>
  <si>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</si>
  <si>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</si>
  <si>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</si>
  <si>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</si>
  <si>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</si>
  <si>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</si>
  <si>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</si>
  <si>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</si>
  <si>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</si>
  <si>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</si>
  <si>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</si>
  <si>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</si>
  <si>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</si>
  <si>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</si>
  <si>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</si>
  <si>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</si>
  <si>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</si>
  <si>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</si>
  <si>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</si>
  <si>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</si>
  <si>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</si>
  <si>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</si>
  <si>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</si>
  <si>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</si>
  <si>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</si>
  <si>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</si>
  <si>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</si>
  <si>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</si>
  <si>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</si>
  <si>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</si>
  <si>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</si>
  <si>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</si>
  <si>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</si>
  <si>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</si>
  <si>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</si>
  <si>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</si>
  <si>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</si>
  <si>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</si>
  <si>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</si>
  <si>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</si>
  <si>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</si>
  <si>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</si>
  <si>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</si>
  <si>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</si>
  <si>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</si>
  <si>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</si>
  <si>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</si>
  <si>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</si>
  <si>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</si>
  <si>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</si>
  <si>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</si>
  <si>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</si>
  <si>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</si>
  <si>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</si>
  <si>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</si>
  <si>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</si>
  <si>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</si>
  <si>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</si>
  <si>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</si>
  <si>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</si>
  <si>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</si>
  <si>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</si>
  <si>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</si>
  <si>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</si>
  <si>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</si>
  <si>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</si>
  <si>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</si>
  <si>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</si>
  <si>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</si>
  <si>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</si>
  <si>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</si>
  <si>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</si>
  <si>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</si>
  <si>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</si>
  <si>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</si>
  <si>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</si>
  <si>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</si>
  <si>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</si>
  <si>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</si>
  <si>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</si>
  <si>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</si>
  <si>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</si>
  <si>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</si>
  <si>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</si>
  <si>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</si>
  <si>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</si>
  <si>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</si>
  <si>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</si>
  <si>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</si>
  <si>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</si>
  <si>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</si>
  <si>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</si>
  <si>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</si>
  <si>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</si>
  <si>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</si>
  <si>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</si>
  <si>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</si>
  <si>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</si>
  <si>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</si>
  <si>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</si>
  <si>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</si>
  <si>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</si>
  <si>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</si>
  <si>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</si>
  <si>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</si>
  <si>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</si>
  <si>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</si>
  <si>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</si>
  <si>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</si>
  <si>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</si>
  <si>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</si>
  <si>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</si>
  <si>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</si>
  <si>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</si>
  <si>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</si>
  <si>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</si>
  <si>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</si>
  <si>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</si>
  <si>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</si>
  <si>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</si>
  <si>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</si>
  <si>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</si>
  <si>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</si>
  <si>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</si>
  <si>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</si>
  <si>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</si>
  <si>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</si>
  <si>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</si>
  <si>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</si>
  <si>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</si>
  <si>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</si>
  <si>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</si>
  <si>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</si>
  <si>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</si>
  <si>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</si>
  <si>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</si>
  <si>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</si>
  <si>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</si>
  <si>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</si>
  <si>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</si>
  <si>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</si>
  <si>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</si>
  <si>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</si>
  <si>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</si>
  <si>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</si>
  <si>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</si>
  <si>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</si>
  <si>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</si>
  <si>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</si>
  <si>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</si>
  <si>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</si>
  <si>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</si>
  <si>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</si>
  <si>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</si>
  <si>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</si>
  <si>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</si>
  <si>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</si>
  <si>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</si>
  <si>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</si>
  <si>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</si>
  <si>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</si>
  <si>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</si>
  <si>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</si>
  <si>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</si>
  <si>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</si>
  <si>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</si>
  <si>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</si>
  <si>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</si>
  <si>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</si>
  <si>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</si>
  <si>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</si>
  <si>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</si>
  <si>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</si>
  <si>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</si>
  <si>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</si>
  <si>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</si>
  <si>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</si>
  <si>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</si>
  <si>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</si>
  <si>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</si>
  <si>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</si>
  <si>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</si>
  <si>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</si>
  <si>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</si>
  <si>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</si>
  <si>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</si>
  <si>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</si>
  <si>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</si>
  <si>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</si>
  <si>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</si>
  <si>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</si>
  <si>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</si>
  <si>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</si>
  <si>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</si>
  <si>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</si>
  <si>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</si>
  <si>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</si>
  <si>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</si>
  <si>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</si>
  <si>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</si>
  <si>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</si>
  <si>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</si>
  <si>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</si>
  <si>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</si>
  <si>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</si>
  <si>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</si>
  <si>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</si>
  <si>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</si>
  <si>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</si>
  <si>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</si>
  <si>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</si>
  <si>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</si>
  <si>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</si>
  <si>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</si>
  <si>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</si>
  <si>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</si>
  <si>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</si>
  <si>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</si>
  <si>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</si>
  <si>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</si>
  <si>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</si>
  <si>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</si>
  <si>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</si>
  <si>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</si>
  <si>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</si>
  <si>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</si>
  <si>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</si>
  <si>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</si>
  <si>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</si>
  <si>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</si>
  <si>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</si>
  <si>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</si>
  <si>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</si>
  <si>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</si>
  <si>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</si>
  <si>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</si>
  <si>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</si>
  <si>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</si>
  <si>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</si>
  <si>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</si>
  <si>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</si>
  <si>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</si>
  <si>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</si>
  <si>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</si>
  <si>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</si>
  <si>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</si>
  <si>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</si>
  <si>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</si>
  <si>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</si>
  <si>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</si>
  <si>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</si>
  <si>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</si>
  <si>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</si>
  <si>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</si>
  <si>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</si>
  <si>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</si>
  <si>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</si>
  <si>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</si>
  <si>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</si>
  <si>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</si>
  <si>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</si>
  <si>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</si>
  <si>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</si>
  <si>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</si>
  <si>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</si>
  <si>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</si>
  <si>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</si>
  <si>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</si>
  <si>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</si>
  <si>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</si>
  <si>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</si>
  <si>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</si>
  <si>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</si>
  <si>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</si>
  <si>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</si>
  <si>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</si>
  <si>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</si>
  <si>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</si>
  <si>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</si>
  <si>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</si>
  <si>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</si>
  <si>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</si>
  <si>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</si>
  <si>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</si>
  <si>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</si>
  <si>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</si>
  <si>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</si>
  <si>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</si>
  <si>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</si>
  <si>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</si>
  <si>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</si>
  <si>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</si>
  <si>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</si>
  <si>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</si>
  <si>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</si>
  <si>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</si>
  <si>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</si>
  <si>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</si>
  <si>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</si>
  <si>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</si>
  <si>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</si>
  <si>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</si>
  <si>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</si>
  <si>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</si>
  <si>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</si>
  <si>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</si>
  <si>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</si>
  <si>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</si>
  <si>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</si>
  <si>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</si>
  <si>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</si>
  <si>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</si>
  <si>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</si>
  <si>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</si>
  <si>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</si>
  <si>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</si>
  <si>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</si>
  <si>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</si>
  <si>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</si>
  <si>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</si>
  <si>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</si>
  <si>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</si>
  <si>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</si>
  <si>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</si>
  <si>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</si>
  <si>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</si>
  <si>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</si>
  <si>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</si>
  <si>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</si>
  <si>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</si>
  <si>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</si>
  <si>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</si>
  <si>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</si>
  <si>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</si>
  <si>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</si>
  <si>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</si>
  <si>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</si>
  <si>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</si>
  <si>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</si>
  <si>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</si>
  <si>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</si>
  <si>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</si>
  <si>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</si>
  <si>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</si>
  <si>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</si>
  <si>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</si>
  <si>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</si>
  <si>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</si>
  <si>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</si>
  <si>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</si>
  <si>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</si>
  <si>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</si>
  <si>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</si>
  <si>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</si>
  <si>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</si>
  <si>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</si>
  <si>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</si>
  <si>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</si>
  <si>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</si>
  <si>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</si>
  <si>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</si>
  <si>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</si>
  <si>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</si>
  <si>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</si>
  <si>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</si>
  <si>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</si>
  <si>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</si>
  <si>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</si>
  <si>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</si>
  <si>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</si>
  <si>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</si>
  <si>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</si>
  <si>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</si>
  <si>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</si>
  <si>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</si>
  <si>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</si>
  <si>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</si>
  <si>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</si>
  <si>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</si>
  <si>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</si>
  <si>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</si>
  <si>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</si>
  <si>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</si>
  <si>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</si>
  <si>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</si>
  <si>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</si>
  <si>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</si>
  <si>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</si>
  <si>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</si>
  <si>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</si>
  <si>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</si>
  <si>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</si>
  <si>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</si>
  <si>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</si>
  <si>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</si>
  <si>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</si>
  <si>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</si>
  <si>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</si>
  <si>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</si>
  <si>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</si>
  <si>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</si>
  <si>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</si>
  <si>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</si>
  <si>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</si>
  <si>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</si>
  <si>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</si>
  <si>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</si>
  <si>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</si>
  <si>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</si>
  <si>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</si>
  <si>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</si>
  <si>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</si>
  <si>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</si>
  <si>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</si>
  <si>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</si>
  <si>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</si>
  <si>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</si>
  <si>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</si>
  <si>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</si>
  <si>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</si>
  <si>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</si>
  <si>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</si>
  <si>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</si>
  <si>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</si>
  <si>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</si>
  <si>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</si>
  <si>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</si>
  <si>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</si>
  <si>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</si>
  <si>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</si>
  <si>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</si>
  <si>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</si>
  <si>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</si>
  <si>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</si>
  <si>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</si>
  <si>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</si>
  <si>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</si>
  <si>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</si>
  <si>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</si>
  <si>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</si>
  <si>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</si>
  <si>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</si>
  <si>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</si>
  <si>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</si>
  <si>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</si>
  <si>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</si>
  <si>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</si>
  <si>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</si>
  <si>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</si>
  <si>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</si>
  <si>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</si>
  <si>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</si>
  <si>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</si>
  <si>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</si>
  <si>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</si>
  <si>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</si>
  <si>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</si>
  <si>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</si>
  <si>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</si>
  <si>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</si>
  <si>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</si>
  <si>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</si>
  <si>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</si>
  <si>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</si>
  <si>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</si>
  <si>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</si>
  <si>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</si>
  <si>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</si>
  <si>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</si>
  <si>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</si>
  <si>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</si>
  <si>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</si>
  <si>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</si>
  <si>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</si>
  <si>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</si>
  <si>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</si>
  <si>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</si>
  <si>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</si>
  <si>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</si>
  <si>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</si>
  <si>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</si>
  <si>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</si>
  <si>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</si>
  <si>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</si>
  <si>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</si>
  <si>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</si>
  <si>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</si>
  <si>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</si>
  <si>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</si>
  <si>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</si>
  <si>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</si>
  <si>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</si>
  <si>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</si>
  <si>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</si>
  <si>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</si>
  <si>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</si>
  <si>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</si>
  <si>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</si>
  <si>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</si>
  <si>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</si>
  <si>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</si>
  <si>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</si>
  <si>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</si>
  <si>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</si>
  <si>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</si>
  <si>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</si>
  <si>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</si>
  <si>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</si>
  <si>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</si>
  <si>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</si>
  <si>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</si>
  <si>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</si>
  <si>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</si>
  <si>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</si>
  <si>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</si>
  <si>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</si>
  <si>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</si>
  <si>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</si>
  <si>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</si>
  <si>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</si>
  <si>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</si>
  <si>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</si>
  <si>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</si>
  <si>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</si>
  <si>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</si>
  <si>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</si>
  <si>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</si>
  <si>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</si>
  <si>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</si>
  <si>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</si>
  <si>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</si>
  <si>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</si>
  <si>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</si>
  <si>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</si>
  <si>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</si>
  <si>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</si>
  <si>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</si>
  <si>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</si>
  <si>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</si>
  <si>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</si>
  <si>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</si>
  <si>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</si>
  <si>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</si>
  <si>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</si>
  <si>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</si>
  <si>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</si>
  <si>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</si>
  <si>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</si>
  <si>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</si>
  <si>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</si>
  <si>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</si>
  <si>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</si>
  <si>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</si>
  <si>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</si>
  <si>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</si>
  <si>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</si>
  <si>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</si>
  <si>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</si>
  <si>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</si>
  <si>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</si>
  <si>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</si>
  <si>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</si>
  <si>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</si>
  <si>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</si>
  <si>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</si>
  <si>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</si>
  <si>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</si>
  <si>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</si>
  <si>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</si>
  <si>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</si>
  <si>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</si>
  <si>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</si>
  <si>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</si>
  <si>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</si>
  <si>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</si>
  <si>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</si>
  <si>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</si>
  <si>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</si>
  <si>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</si>
  <si>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</si>
  <si>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</si>
  <si>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</si>
  <si>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</si>
  <si>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</si>
  <si>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</si>
  <si>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</si>
  <si>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</si>
  <si>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</si>
  <si>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</si>
  <si>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</si>
  <si>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</si>
  <si>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</si>
  <si>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</si>
  <si>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</si>
  <si>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</si>
  <si>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</si>
  <si>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</si>
  <si>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</si>
  <si>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</si>
  <si>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</si>
  <si>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</si>
  <si>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</si>
  <si>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</si>
  <si>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</si>
  <si>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</si>
  <si>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</si>
  <si>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</si>
  <si>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</si>
  <si>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</si>
  <si>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</si>
  <si>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</si>
  <si>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</si>
  <si>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</si>
  <si>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</si>
  <si>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</si>
  <si>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</si>
  <si>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</si>
  <si>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</si>
  <si>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</si>
  <si>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</si>
  <si>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</si>
  <si>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</si>
  <si>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</si>
  <si>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</si>
  <si>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</si>
  <si>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</si>
  <si>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</si>
  <si>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</si>
  <si>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</si>
  <si>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</si>
  <si>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</si>
  <si>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</si>
  <si>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</si>
  <si>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</si>
  <si>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</si>
  <si>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</si>
  <si>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</si>
  <si>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</si>
  <si>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</si>
  <si>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</si>
  <si>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</si>
  <si>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</si>
  <si>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</si>
  <si>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</si>
  <si>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</si>
  <si>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</si>
  <si>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</si>
  <si>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</si>
  <si>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</si>
  <si>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</si>
  <si>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</si>
  <si>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</si>
  <si>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</si>
  <si>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</si>
  <si>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</si>
  <si>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</si>
  <si>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</si>
  <si>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</si>
  <si>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</si>
  <si>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</si>
  <si>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</si>
  <si>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</si>
  <si>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</si>
  <si>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</si>
  <si>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</si>
  <si>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</si>
  <si>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</si>
  <si>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</si>
  <si>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</si>
  <si>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</si>
  <si>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</si>
  <si>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</si>
  <si>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</si>
  <si>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</si>
  <si>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</si>
  <si>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</si>
  <si>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</si>
  <si>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</si>
  <si>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</si>
  <si>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</si>
  <si>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</si>
  <si>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</si>
  <si>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</si>
  <si>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</si>
  <si>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</si>
  <si>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</si>
  <si>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</si>
  <si>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</si>
  <si>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</si>
  <si>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</si>
  <si>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</si>
  <si>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</si>
  <si>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</si>
  <si>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</si>
  <si>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</si>
  <si>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</si>
  <si>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</si>
  <si>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</si>
  <si>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</si>
  <si>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</si>
  <si>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</si>
  <si>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</si>
  <si>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</si>
  <si>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</si>
  <si>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</si>
  <si>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</si>
  <si>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</si>
  <si>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</si>
  <si>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</si>
  <si>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</si>
  <si>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</si>
  <si>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</si>
  <si>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</si>
  <si>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</si>
  <si>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</si>
  <si>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</si>
  <si>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</si>
  <si>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</si>
  <si>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</si>
  <si>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</si>
  <si>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</si>
  <si>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</si>
  <si>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</si>
  <si>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</si>
  <si>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</si>
  <si>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</si>
  <si>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</si>
  <si>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</si>
  <si>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</si>
  <si>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</si>
  <si>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</si>
  <si>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</si>
  <si>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</si>
  <si>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</si>
  <si>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</si>
  <si>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</si>
  <si>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</si>
  <si>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</si>
  <si>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</si>
  <si>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</si>
  <si>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</si>
  <si>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</si>
  <si>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</si>
  <si>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</si>
  <si>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</si>
  <si>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</si>
  <si>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</si>
  <si>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</si>
  <si>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</si>
  <si>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</si>
  <si>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</si>
  <si>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</si>
  <si>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</si>
  <si>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</si>
  <si>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</si>
  <si>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</si>
  <si>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</si>
  <si>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</si>
  <si>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</si>
  <si>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</si>
  <si>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</si>
  <si>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</si>
  <si>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</si>
  <si>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</si>
  <si>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</si>
  <si>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</si>
  <si>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</si>
  <si>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</si>
  <si>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</si>
  <si>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</si>
  <si>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</si>
  <si>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</si>
  <si>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</si>
  <si>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</si>
  <si>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</si>
  <si>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</si>
  <si>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</si>
  <si>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</si>
  <si>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</si>
  <si>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</si>
  <si>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</si>
  <si>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</si>
  <si>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</si>
  <si>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</si>
  <si>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</si>
  <si>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</si>
  <si>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</si>
  <si>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</si>
  <si>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</si>
  <si>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</si>
  <si>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</si>
  <si>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</si>
  <si>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</si>
  <si>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</si>
  <si>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</si>
  <si>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</si>
  <si>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</si>
  <si>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</si>
  <si>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</si>
  <si>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</si>
  <si>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</si>
  <si>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</si>
  <si>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</si>
  <si>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</si>
  <si>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</si>
  <si>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</si>
  <si>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</si>
  <si>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</si>
  <si>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</si>
  <si>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</si>
  <si>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</si>
  <si>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</si>
  <si>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</si>
  <si>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</si>
  <si>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</si>
  <si>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</si>
  <si>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</si>
  <si>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</si>
  <si>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</si>
  <si>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</si>
  <si>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</si>
  <si>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</si>
  <si>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</si>
  <si>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</si>
  <si>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</si>
  <si>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</si>
  <si>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</si>
  <si>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</si>
  <si>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</si>
  <si>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</si>
  <si>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</si>
  <si>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</si>
  <si>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</si>
  <si>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</si>
  <si>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</si>
  <si>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</si>
  <si>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</si>
  <si>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</si>
  <si>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</si>
  <si>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</si>
  <si>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</si>
  <si>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</si>
  <si>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</si>
  <si>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</si>
  <si>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</si>
  <si>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</si>
  <si>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</si>
  <si>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</si>
  <si>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</si>
  <si>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</si>
  <si>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</si>
  <si>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</si>
  <si>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</si>
  <si>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</si>
  <si>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</si>
  <si>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</si>
  <si>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</si>
  <si>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</si>
  <si>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</si>
  <si>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</si>
  <si>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</si>
  <si>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</si>
  <si>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</si>
  <si>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</si>
  <si>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</si>
  <si>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</si>
  <si>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</si>
  <si>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</si>
  <si>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</si>
  <si>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</si>
  <si>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</si>
  <si>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</si>
  <si>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</si>
  <si>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</si>
  <si>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</si>
  <si>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</si>
  <si>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</si>
  <si>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</si>
  <si>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</si>
  <si>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</si>
  <si>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</si>
  <si>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</si>
  <si>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</si>
  <si>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</si>
  <si>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</si>
  <si>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</si>
  <si>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</si>
  <si>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</si>
  <si>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</si>
  <si>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</si>
  <si>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</si>
  <si>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</si>
  <si>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</si>
  <si>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</si>
  <si>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</si>
  <si>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</si>
  <si>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</si>
  <si>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</si>
  <si>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</si>
  <si>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</si>
  <si>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</si>
  <si>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</si>
  <si>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</si>
  <si>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</si>
  <si>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</si>
  <si>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</si>
  <si>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</si>
  <si>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</si>
  <si>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</si>
  <si>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</si>
  <si>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</si>
  <si>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</si>
  <si>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</si>
  <si>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</si>
  <si>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</si>
  <si>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</si>
  <si>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</si>
  <si>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</si>
  <si>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</si>
  <si>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</si>
  <si>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</si>
  <si>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</si>
  <si>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</si>
  <si>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</si>
  <si>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</si>
  <si>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</si>
  <si>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</si>
  <si>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</si>
  <si>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</si>
  <si>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</si>
  <si>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</si>
  <si>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</si>
  <si>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</si>
  <si>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</si>
  <si>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</si>
  <si>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</si>
  <si>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</si>
  <si>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</si>
  <si>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</si>
  <si>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</si>
  <si>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</si>
  <si>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</si>
  <si>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</si>
  <si>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</si>
  <si>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</si>
  <si>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</si>
  <si>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</si>
  <si>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</si>
  <si>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</si>
  <si>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</si>
  <si>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</si>
  <si>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</si>
  <si>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</si>
  <si>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</si>
  <si>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</si>
  <si>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</si>
  <si>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</si>
  <si>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</si>
  <si>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</si>
  <si>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</si>
  <si>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</si>
  <si>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</si>
  <si>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</si>
  <si>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</si>
  <si>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</si>
  <si>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</si>
  <si>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</si>
  <si>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</si>
  <si>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</si>
  <si>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</si>
  <si>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</si>
  <si>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</si>
  <si>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</si>
  <si>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</si>
  <si>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</si>
  <si>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</si>
  <si>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</si>
  <si>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</si>
  <si>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</si>
  <si>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</si>
  <si>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</si>
  <si>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</si>
  <si>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</si>
  <si>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</si>
  <si>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</si>
  <si>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</si>
  <si>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</si>
  <si>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</si>
  <si>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</si>
  <si>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</si>
  <si>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</si>
  <si>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</si>
  <si>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</si>
  <si>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</si>
  <si>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</si>
  <si>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</si>
  <si>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</si>
  <si>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</si>
  <si>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</si>
  <si>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</si>
  <si>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</si>
  <si>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</si>
  <si>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</si>
  <si>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</si>
  <si>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</si>
  <si>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</si>
  <si>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</si>
  <si>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</si>
  <si>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</si>
  <si>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</si>
  <si>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</si>
  <si>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</si>
  <si>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</si>
  <si>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</si>
  <si>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</si>
  <si>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</si>
  <si>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</si>
  <si>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</si>
  <si>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</si>
  <si>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</si>
  <si>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</si>
  <si>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</si>
  <si>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</si>
  <si>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</si>
  <si>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</si>
  <si>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</si>
  <si>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</si>
  <si>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</si>
  <si>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</si>
  <si>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</si>
  <si>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</si>
  <si>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</si>
  <si>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</si>
  <si>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</si>
  <si>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</si>
  <si>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</si>
  <si>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</si>
  <si>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</si>
  <si>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</si>
  <si>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</si>
  <si>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</si>
  <si>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</si>
  <si>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</si>
  <si>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</si>
  <si>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</si>
  <si>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</si>
  <si>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</si>
  <si>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</si>
  <si>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</si>
  <si>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</si>
  <si>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</si>
  <si>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</si>
  <si>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</si>
  <si>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</si>
  <si>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</si>
  <si>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</si>
  <si>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</si>
  <si>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</si>
  <si>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</si>
  <si>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</si>
  <si>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</si>
  <si>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</si>
  <si>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</si>
  <si>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</si>
  <si>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</si>
  <si>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</si>
  <si>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</si>
  <si>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</si>
  <si>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</si>
  <si>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</si>
  <si>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</si>
  <si>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</si>
  <si>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</si>
  <si>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</si>
  <si>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</si>
  <si>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</si>
  <si>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</si>
  <si>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</si>
  <si>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</si>
  <si>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</si>
  <si>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</si>
  <si>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</si>
  <si>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</si>
  <si>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</si>
  <si>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</si>
  <si>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</si>
  <si>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</si>
  <si>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</si>
  <si>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</si>
  <si>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</si>
  <si>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</si>
  <si>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</si>
  <si>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</si>
  <si>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</si>
  <si>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</si>
  <si>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</si>
  <si>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</si>
  <si>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</si>
  <si>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</si>
  <si>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</si>
  <si>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</si>
  <si>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</si>
  <si>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</si>
  <si>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</si>
  <si>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</si>
  <si>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</si>
  <si>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</si>
  <si>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</si>
  <si>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</si>
  <si>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</si>
  <si>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</si>
  <si>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</si>
  <si>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</si>
  <si>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</si>
  <si>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</si>
  <si>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</si>
  <si>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</si>
  <si>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</si>
  <si>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</si>
  <si>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</si>
  <si>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</si>
  <si>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</si>
  <si>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</si>
  <si>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</si>
  <si>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</si>
  <si>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</si>
  <si>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</si>
  <si>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</si>
  <si>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</si>
  <si>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</si>
  <si>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</si>
  <si>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</si>
  <si>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</si>
  <si>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</si>
  <si>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</si>
  <si>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</si>
  <si>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</si>
  <si>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</si>
  <si>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</si>
  <si>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</si>
  <si>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</si>
  <si>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</si>
  <si>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</si>
  <si>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</si>
  <si>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</si>
  <si>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</si>
  <si>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</si>
  <si>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</si>
  <si>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</si>
  <si>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</si>
  <si>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</si>
  <si>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</si>
  <si>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</si>
  <si>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</si>
  <si>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</si>
  <si>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</si>
  <si>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</si>
  <si>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</si>
  <si>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</si>
  <si>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</si>
  <si>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</si>
  <si>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</si>
  <si>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</si>
  <si>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</si>
  <si>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</si>
  <si>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</si>
  <si>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</si>
  <si>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</si>
  <si>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</si>
  <si>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</si>
  <si>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</si>
  <si>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</si>
  <si>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</si>
  <si>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Avgerage Donation</t>
  </si>
  <si>
    <t>Parent Category</t>
  </si>
  <si>
    <t>Sub-Category</t>
  </si>
  <si>
    <t>Date Created Conversion</t>
  </si>
  <si>
    <t>Date Ended Conversion</t>
  </si>
  <si>
    <t>Row Labels</t>
  </si>
  <si>
    <t>Grand Total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</si>
  <si>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</si>
  <si>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</si>
  <si>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</si>
  <si>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</si>
  <si>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</si>
  <si>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</si>
  <si>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</si>
  <si>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</si>
  <si>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</si>
  <si>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</si>
  <si>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</si>
  <si>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</si>
  <si>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</si>
  <si>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</si>
  <si>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</si>
  <si>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</si>
  <si>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</si>
  <si>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</si>
  <si>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</si>
  <si>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</si>
  <si>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</si>
  <si>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</si>
  <si>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</si>
  <si>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</si>
  <si>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</si>
  <si>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</si>
  <si>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</si>
  <si>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</si>
  <si>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</si>
  <si>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</si>
  <si>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</si>
  <si>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</si>
  <si>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</si>
  <si>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</si>
  <si>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</si>
  <si>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</si>
  <si>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</si>
  <si>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</si>
  <si>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</si>
  <si>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</si>
  <si>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</si>
  <si>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</si>
  <si>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</si>
  <si>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</si>
  <si>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</si>
  <si>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</si>
  <si>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</si>
  <si>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</si>
  <si>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</si>
  <si>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</si>
  <si>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</si>
  <si>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</si>
  <si>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</si>
  <si>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</si>
  <si>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</si>
  <si>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</si>
  <si>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</si>
  <si>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</si>
  <si>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</si>
  <si>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10000 to 14999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</si>
  <si>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</si>
  <si>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</si>
  <si>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</si>
  <si>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</si>
  <si>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</si>
  <si>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</si>
  <si>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</si>
  <si>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</si>
  <si>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</si>
  <si>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</t>
  </si>
  <si>
    <t>Unsuccessful Campaign</t>
  </si>
  <si>
    <t xml:space="preserve"> </t>
  </si>
  <si>
    <t>The mean number of backers</t>
  </si>
  <si>
    <t>The median number of backers</t>
  </si>
  <si>
    <t>The minimum number of backers</t>
  </si>
  <si>
    <t>The maximum number of backers</t>
  </si>
  <si>
    <t>Statistical Analysis on Backers</t>
  </si>
  <si>
    <t>Z Score</t>
  </si>
  <si>
    <t>1st Quartile</t>
  </si>
  <si>
    <t>2nd Quartile</t>
  </si>
  <si>
    <t>3rd Quartile</t>
  </si>
  <si>
    <t xml:space="preserve">The variance </t>
  </si>
  <si>
    <t>The standard deviation</t>
  </si>
  <si>
    <t>InterQuartile Range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</si>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</sst>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\/yy"/>
    <numFmt numFmtId="165" formatCode="0\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B2B2B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65" fontId="0" fillId="0" borderId="0" xfId="0" applyNumberFormat="1"/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6" fillId="34" borderId="10" xfId="0" applyFont="1" applyFill="1" applyBorder="1"/>
    <xf numFmtId="0" fontId="16" fillId="33" borderId="10" xfId="0" applyFont="1" applyFill="1" applyBorder="1"/>
    <xf numFmtId="2" fontId="0" fillId="35" borderId="10" xfId="0" applyNumberFormat="1" applyFill="1" applyBorder="1"/>
    <xf numFmtId="2" fontId="0" fillId="35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 val="0"/>
      </font>
      <numFmt numFmtId="2" formatCode="0.00"/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000"/>
        </patternFill>
      </fill>
    </dxf>
    <dxf>
      <alignment horizontal="center"/>
    </dxf>
    <dxf>
      <alignment horizontal="center"/>
    </dxf>
    <dxf>
      <alignment vertical="bottom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</a:t>
            </a:r>
            <a:r>
              <a:rPr lang="en-CA" baseline="0"/>
              <a:t> on Category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'Category Stats'!$A$7:$A$16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Stats'!$B$7:$B$16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C-47BC-B512-2E27E3B65A99}"/>
            </c:ext>
          </c:extLst>
        </c:ser>
        <c:ser>
          <c:idx val="1"/>
          <c:order val="1"/>
          <c:tx>
            <c:strRef>
              <c:f>'Category Stats'!$C$5:$C$6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Stats'!$A$7:$A$16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Stats'!$C$7:$C$16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C-47BC-B512-2E27E3B65A99}"/>
            </c:ext>
          </c:extLst>
        </c:ser>
        <c:ser>
          <c:idx val="2"/>
          <c:order val="2"/>
          <c:tx>
            <c:strRef>
              <c:f>'Category Stats'!$D$5:$D$6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'Category Stats'!$A$7:$A$16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Stats'!$D$7:$D$16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9C-47BC-B512-2E27E3B65A99}"/>
            </c:ext>
          </c:extLst>
        </c:ser>
        <c:ser>
          <c:idx val="3"/>
          <c:order val="3"/>
          <c:tx>
            <c:strRef>
              <c:f>'Category Stats'!$E$5:$E$6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Stats'!$A$7:$A$16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Stats'!$E$7:$E$16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9C-47BC-B512-2E27E3B65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398943"/>
        <c:axId val="1372749711"/>
      </c:barChart>
      <c:catAx>
        <c:axId val="15039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749711"/>
        <c:crosses val="autoZero"/>
        <c:auto val="1"/>
        <c:lblAlgn val="ctr"/>
        <c:lblOffset val="100"/>
        <c:noMultiLvlLbl val="0"/>
      </c:catAx>
      <c:valAx>
        <c:axId val="137274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753146382055093"/>
          <c:y val="0.28048174689774263"/>
          <c:w val="9.2013753116197639E-2"/>
          <c:h val="0.36829160399893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Stats!PivotTable2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SubCategory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4-40B1-BA67-1FCAE2AA99FD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4-40B1-BA67-1FCAE2AA99FD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4-40B1-BA67-1FCAE2AA99FD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E4-40B1-BA67-1FCAE2AA9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5041039"/>
        <c:axId val="382174783"/>
      </c:barChart>
      <c:catAx>
        <c:axId val="21504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74783"/>
        <c:crosses val="autoZero"/>
        <c:auto val="1"/>
        <c:lblAlgn val="ctr"/>
        <c:lblOffset val="100"/>
        <c:noMultiLvlLbl val="0"/>
      </c:catAx>
      <c:valAx>
        <c:axId val="38217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4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[CrowdfundingBook.xlsx]LaunchDateOutcomes!PivotTable3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</a:t>
            </a:r>
            <a:r>
              <a:rPr lang="en-CA" baseline="0"/>
              <a:t>s Based on Launch Date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5050"/>
            </a:solidFill>
            <a:round/>
          </a:ln>
          <a:effectLst/>
        </c:spPr>
        <c:marker>
          <c:symbol val="circle"/>
          <c:size val="5"/>
          <c:spPr>
            <a:solidFill>
              <a:srgbClr val="FF5050"/>
            </a:solidFill>
            <a:ln w="9525">
              <a:solidFill>
                <a:srgbClr val="FF5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9-462E-89CF-661C141AF467}"/>
            </c:ext>
          </c:extLst>
        </c:ser>
        <c:ser>
          <c:idx val="1"/>
          <c:order val="1"/>
          <c:tx>
            <c:strRef>
              <c:f>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5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9525">
                <a:solidFill>
                  <a:srgbClr val="FF5050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69-462E-89CF-661C141AF467}"/>
            </c:ext>
          </c:extLst>
        </c:ser>
        <c:ser>
          <c:idx val="2"/>
          <c:order val="2"/>
          <c:tx>
            <c:strRef>
              <c:f>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69-462E-89CF-661C141AF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423999"/>
        <c:axId val="495503455"/>
      </c:lineChart>
      <c:catAx>
        <c:axId val="391423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03455"/>
        <c:crosses val="autoZero"/>
        <c:auto val="1"/>
        <c:lblAlgn val="ctr"/>
        <c:lblOffset val="100"/>
        <c:noMultiLvlLbl val="0"/>
      </c:catAx>
      <c:valAx>
        <c:axId val="4955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2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GoalOutcomes!$F$2:$F$13</c:f>
              <c:numCache>
                <c:formatCode>0\%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B-44DE-81A6-4474C7C091DE}"/>
            </c:ext>
          </c:extLst>
        </c:ser>
        <c:ser>
          <c:idx val="1"/>
          <c:order val="1"/>
          <c:tx>
            <c:strRef>
              <c:f>GoalOutcomes!$G$1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GoalOutcomes!$G$2:$G$13</c:f>
              <c:numCache>
                <c:formatCode>0\%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B-44DE-81A6-4474C7C091DE}"/>
            </c:ext>
          </c:extLst>
        </c:ser>
        <c:ser>
          <c:idx val="2"/>
          <c:order val="2"/>
          <c:tx>
            <c:strRef>
              <c:f>GoalOutcomes!$H$1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GoalOutcomes!$H$2:$H$13</c:f>
              <c:numCache>
                <c:formatCode>0\%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B-44DE-81A6-4474C7C09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368639"/>
        <c:axId val="400141503"/>
      </c:lineChart>
      <c:catAx>
        <c:axId val="30636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41503"/>
        <c:crosses val="autoZero"/>
        <c:auto val="1"/>
        <c:lblAlgn val="ctr"/>
        <c:lblOffset val="100"/>
        <c:noMultiLvlLbl val="0"/>
      </c:catAx>
      <c:valAx>
        <c:axId val="40014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6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1</xdr:row>
      <xdr:rowOff>83820</xdr:rowOff>
    </xdr:from>
    <xdr:to>
      <xdr:col>17</xdr:col>
      <xdr:colOff>563880</xdr:colOff>
      <xdr:row>19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6AC1D-3529-498B-6648-AF050B35A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5</xdr:row>
      <xdr:rowOff>68580</xdr:rowOff>
    </xdr:from>
    <xdr:to>
      <xdr:col>19</xdr:col>
      <xdr:colOff>632460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5ED4C0-941D-DEBF-F0F5-13A90A831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</xdr:colOff>
      <xdr:row>2</xdr:row>
      <xdr:rowOff>110490</xdr:rowOff>
    </xdr:from>
    <xdr:to>
      <xdr:col>15</xdr:col>
      <xdr:colOff>182880</xdr:colOff>
      <xdr:row>19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C4CED1-2272-B847-4695-B3728DD78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14</xdr:row>
      <xdr:rowOff>11430</xdr:rowOff>
    </xdr:from>
    <xdr:to>
      <xdr:col>8</xdr:col>
      <xdr:colOff>114300</xdr:colOff>
      <xdr:row>30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015822-DAB5-E239-2737-FD61A638C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ister Rebello" refreshedDate="45230.910068634257" createdVersion="8" refreshedVersion="8" minRefreshableVersion="3" recordCount="1000" xr:uid="{98006B7F-FE33-4504-93A3-28B46D6D660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A4FF2-64DE-4948-9C3A-4F7E242E7E0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:F16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">
    <format dxfId="24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28D37-7C0F-4997-8DD2-1F5A9B9E678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">
    <format dxfId="23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721272-4C5E-44F4-87F4-A29E5E3959E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6" subtotal="count" baseField="0" baseItem="0"/>
  </dataFields>
  <formats count="3">
    <format dxfId="22">
      <pivotArea collapsedLevelsAreSubtotals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1">
      <pivotArea collapsedLevelsAreSubtotals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0">
      <pivotArea grandRow="1" outline="0" collapsedLevelsAreSubtotals="1" fieldPosition="0"/>
    </format>
  </formats>
  <chartFormats count="7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4B76-6AE8-4D04-9721-AC535A8C5D2F}" name="Table1" displayName="Table1" ref="G1:I9" totalsRowCount="1" headerRowDxfId="5" totalsRowDxfId="4">
  <tableColumns count="3">
    <tableColumn id="1" xr3:uid="{CD809EF9-5E9F-4BAE-BEA2-30ED8A560E2B}" name="Statistical Analysis on Backers" totalsRowLabel="1st Quartile" dataDxfId="7" totalsRowDxfId="3"/>
    <tableColumn id="2" xr3:uid="{53ED6621-4D9F-4638-9EFA-3E8F40F7A717}" name="Successful Campaign" totalsRowFunction="custom" dataDxfId="1" totalsRowDxfId="0">
      <totalsRowFormula>_xlfn.QUARTILE.EXC(B2:B566,1)</totalsRowFormula>
    </tableColumn>
    <tableColumn id="4" xr3:uid="{51015BF3-ED6E-43F6-A733-4B18E32976A6}" name="Unsuccessful Campaign" totalsRowFunction="custom" dataDxfId="6" totalsRowDxfId="2">
      <totalsRowFormula>_xlfn.QUARTILE.EXC(E2:E365,1)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26" zoomScale="90" zoomScaleNormal="90" workbookViewId="0">
      <selection activeCell="K2" sqref="K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26.59765625" style="3" customWidth="1"/>
    <col min="6" max="6" width="17.3984375" bestFit="1" customWidth="1"/>
    <col min="8" max="8" width="13" bestFit="1" customWidth="1"/>
    <col min="9" max="9" width="13" customWidth="1"/>
    <col min="12" max="13" width="11.19921875" bestFit="1" customWidth="1"/>
    <col min="14" max="15" width="11.19921875" customWidth="1"/>
    <col min="18" max="18" width="28" bestFit="1" customWidth="1"/>
    <col min="19" max="20" width="28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31.2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31.2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>
        <v>158</v>
      </c>
      <c r="I3" s="4">
        <f>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ref="I4:I67" si="3">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31.2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31.2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31.2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31.2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31.2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31.2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31.2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31.2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31.2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31.2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31.2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31.2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31.2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31.2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31.2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31.2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31.2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31.2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31.2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31.2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31.2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31.2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31.2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31.2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31.2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31.2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31.2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31.2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31.2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31.2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31.2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31.2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31.2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31.2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31.2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5">(((L67/60)/60)/24)+DATE(1970,1,1)</f>
        <v>40570.25</v>
      </c>
      <c r="O67" s="6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31.2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ref="I68:I131" si="7">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5"/>
        <v>42102.208333333328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5"/>
        <v>40203.25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31.2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5"/>
        <v>42943.208333333328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5"/>
        <v>40531.25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5"/>
        <v>40484.208333333336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5"/>
        <v>43799.25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5"/>
        <v>42186.208333333328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31.2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5"/>
        <v>42701.25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31.2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5"/>
        <v>42456.208333333328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31.2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5"/>
        <v>43296.208333333328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31.2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5"/>
        <v>42027.25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5"/>
        <v>40448.208333333336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5"/>
        <v>43206.208333333328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31.2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5"/>
        <v>43267.208333333328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31.2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5"/>
        <v>42976.208333333328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31.2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5"/>
        <v>43062.25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31.2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5"/>
        <v>43482.25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5"/>
        <v>42579.208333333328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5"/>
        <v>41118.208333333336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31.2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5"/>
        <v>40797.208333333336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5"/>
        <v>42128.208333333328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5"/>
        <v>40610.25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31.2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5"/>
        <v>42110.208333333328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31.2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5"/>
        <v>40283.208333333336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5"/>
        <v>42425.25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5"/>
        <v>42588.208333333328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5"/>
        <v>40352.208333333336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31.2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5"/>
        <v>41202.208333333336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31.2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5"/>
        <v>43562.208333333328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5"/>
        <v>43752.208333333328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5"/>
        <v>40612.25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31.2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5"/>
        <v>42180.208333333328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5"/>
        <v>42212.208333333328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5"/>
        <v>41968.25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31.2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5"/>
        <v>40835.208333333336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31.2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5"/>
        <v>42056.25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31.2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5"/>
        <v>43234.208333333328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31.2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5"/>
        <v>40475.208333333336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31.2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5"/>
        <v>42878.208333333328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31.2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5"/>
        <v>41366.208333333336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31.2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5"/>
        <v>43716.208333333328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5"/>
        <v>43213.208333333328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5"/>
        <v>41005.208333333336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31.2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5"/>
        <v>41651.25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46.8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5"/>
        <v>43354.208333333328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31.2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5"/>
        <v>41174.208333333336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31.2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5"/>
        <v>41875.208333333336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5"/>
        <v>42990.208333333328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5"/>
        <v>43564.208333333328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31.2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5"/>
        <v>43056.25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5"/>
        <v>42265.208333333328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31.2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5"/>
        <v>40808.208333333336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31.2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5"/>
        <v>41665.25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5"/>
        <v>41806.208333333336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5"/>
        <v>42111.208333333328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31.2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5"/>
        <v>41917.208333333336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5"/>
        <v>41970.25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5"/>
        <v>42332.25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5"/>
        <v>43598.208333333328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31.2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5"/>
        <v>43362.208333333328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31.2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5"/>
        <v>42596.208333333328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31.2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5"/>
        <v>40310.208333333336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5"/>
        <v>40417.208333333336</v>
      </c>
      <c r="O130" s="6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31.2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9">(((L131/60)/60)/24)+DATE(1970,1,1)</f>
        <v>42038.25</v>
      </c>
      <c r="O131" s="6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31.2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ref="I132:I195" si="11">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9"/>
        <v>40842.208333333336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9"/>
        <v>41607.25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9"/>
        <v>43112.25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31.2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9"/>
        <v>40767.208333333336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9"/>
        <v>40713.208333333336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9"/>
        <v>41340.25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9"/>
        <v>41797.208333333336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31.2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9"/>
        <v>40457.208333333336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9"/>
        <v>41180.208333333336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31.2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9"/>
        <v>42115.208333333328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9"/>
        <v>43156.25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31.2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9"/>
        <v>42167.208333333328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9"/>
        <v>41005.208333333336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31.2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9"/>
        <v>40357.208333333336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31.2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9"/>
        <v>43633.208333333328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9"/>
        <v>41889.208333333336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9"/>
        <v>40855.25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9"/>
        <v>42534.208333333328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9"/>
        <v>42941.208333333328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31.2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9"/>
        <v>41275.25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9"/>
        <v>43450.25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31.2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9"/>
        <v>41799.208333333336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31.2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9"/>
        <v>42783.25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9"/>
        <v>41201.208333333336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31.2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9"/>
        <v>42502.208333333328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31.2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9"/>
        <v>40262.208333333336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31.2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9"/>
        <v>43743.208333333328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31.2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9"/>
        <v>41638.25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31.2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9"/>
        <v>42346.25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9"/>
        <v>43551.208333333328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31.2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9"/>
        <v>43582.208333333328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9"/>
        <v>42270.208333333328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9"/>
        <v>43442.25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9"/>
        <v>43028.208333333328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31.2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9"/>
        <v>43016.208333333328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9"/>
        <v>42948.208333333328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31.2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9"/>
        <v>40534.25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31.2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9"/>
        <v>41435.208333333336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31.2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9"/>
        <v>43518.25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31.2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9"/>
        <v>41077.208333333336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9"/>
        <v>42950.208333333328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9"/>
        <v>41718.208333333336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9"/>
        <v>41839.208333333336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9"/>
        <v>41412.208333333336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9"/>
        <v>42282.208333333328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9"/>
        <v>42613.208333333328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9"/>
        <v>42616.208333333328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31.2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9"/>
        <v>40497.25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31.2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9"/>
        <v>42999.208333333328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9"/>
        <v>41350.208333333336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31.2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9"/>
        <v>40259.208333333336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9"/>
        <v>43012.208333333328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46.8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9"/>
        <v>43631.208333333328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9"/>
        <v>40430.208333333336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31.2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9"/>
        <v>43588.208333333328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31.2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9"/>
        <v>43233.208333333328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9"/>
        <v>41782.208333333336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31.2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9"/>
        <v>41328.25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31.2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9"/>
        <v>41975.25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31.2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9"/>
        <v>42433.25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9"/>
        <v>41429.208333333336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31.2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9"/>
        <v>43536.208333333328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9"/>
        <v>41817.208333333336</v>
      </c>
      <c r="O194" s="6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3">(((L195/60)/60)/24)+DATE(1970,1,1)</f>
        <v>43198.208333333328</v>
      </c>
      <c r="O195" s="6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31.2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ref="I196:I259" si="15">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3"/>
        <v>42261.208333333328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31.2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3"/>
        <v>43310.208333333328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31.2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3"/>
        <v>42616.208333333328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31.2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3"/>
        <v>42909.208333333328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31.2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3"/>
        <v>40396.208333333336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31.2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3"/>
        <v>42192.208333333328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3"/>
        <v>40262.208333333336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3"/>
        <v>41845.208333333336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31.2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3"/>
        <v>40818.208333333336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3"/>
        <v>42752.25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31.2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3"/>
        <v>40636.208333333336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3"/>
        <v>43390.208333333328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31.2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3"/>
        <v>40236.25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3"/>
        <v>43340.208333333328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31.2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3"/>
        <v>43048.25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3"/>
        <v>42496.208333333328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3"/>
        <v>42797.25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3"/>
        <v>41513.208333333336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3"/>
        <v>43814.25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3"/>
        <v>40488.208333333336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31.2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3"/>
        <v>40409.208333333336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31.2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3"/>
        <v>43509.25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3"/>
        <v>40869.25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31.2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3"/>
        <v>43583.208333333328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3"/>
        <v>40858.25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31.2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3"/>
        <v>41137.208333333336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3"/>
        <v>40725.208333333336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3"/>
        <v>41081.208333333336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3"/>
        <v>41914.208333333336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3"/>
        <v>42445.208333333328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3"/>
        <v>41906.208333333336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31.2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3"/>
        <v>41762.208333333336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31.2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3"/>
        <v>40276.208333333336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3"/>
        <v>42139.208333333328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3"/>
        <v>42613.208333333328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31.2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3"/>
        <v>42887.208333333328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31.2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3"/>
        <v>43805.25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31.2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3"/>
        <v>41415.208333333336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3"/>
        <v>42576.208333333328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3"/>
        <v>40706.208333333336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31.2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3"/>
        <v>42969.208333333328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3"/>
        <v>42779.25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31.2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3"/>
        <v>43641.208333333328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3"/>
        <v>41754.208333333336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3"/>
        <v>43083.25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3"/>
        <v>42245.208333333328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31.2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3"/>
        <v>40396.208333333336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3"/>
        <v>41742.208333333336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3"/>
        <v>42865.208333333328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3"/>
        <v>43163.25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3"/>
        <v>41834.208333333336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31.2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3"/>
        <v>41736.208333333336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3"/>
        <v>41491.208333333336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31.2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3"/>
        <v>42726.25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31.2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3"/>
        <v>42004.25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31.2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3"/>
        <v>42006.25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31.2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3"/>
        <v>40203.25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3"/>
        <v>41252.25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3"/>
        <v>41572.208333333336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31.2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3"/>
        <v>40641.208333333336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3"/>
        <v>42787.25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3"/>
        <v>40590.25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3"/>
        <v>42393.25</v>
      </c>
      <c r="O258" s="6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31.2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7">(((L259/60)/60)/24)+DATE(1970,1,1)</f>
        <v>41338.25</v>
      </c>
      <c r="O259" s="6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31.2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ref="I260:I323" si="19">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7"/>
        <v>42712.25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7"/>
        <v>41251.25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7"/>
        <v>41180.208333333336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7"/>
        <v>40415.208333333336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7"/>
        <v>40638.208333333336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7"/>
        <v>40187.25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7"/>
        <v>41317.25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31.2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7"/>
        <v>42372.25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31.2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7"/>
        <v>41950.25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7"/>
        <v>41206.208333333336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31.2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7"/>
        <v>41186.208333333336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31.2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7"/>
        <v>43496.25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31.2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7"/>
        <v>40514.25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7"/>
        <v>42345.25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7"/>
        <v>43656.208333333328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31.2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7"/>
        <v>42995.208333333328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7"/>
        <v>43045.25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7"/>
        <v>43561.208333333328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7"/>
        <v>41018.208333333336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7"/>
        <v>40378.208333333336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31.2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7"/>
        <v>41239.25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7"/>
        <v>43346.208333333328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7"/>
        <v>43060.25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31.2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7"/>
        <v>40979.25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31.2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7"/>
        <v>42701.25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7"/>
        <v>42520.208333333328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31.2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7"/>
        <v>41030.208333333336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31.2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7"/>
        <v>42623.208333333328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7"/>
        <v>42697.25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31.2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7"/>
        <v>42122.208333333328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7"/>
        <v>40982.208333333336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31.2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7"/>
        <v>42219.208333333328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31.2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7"/>
        <v>41404.208333333336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31.2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7"/>
        <v>40831.208333333336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7"/>
        <v>40984.208333333336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7"/>
        <v>40456.208333333336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7"/>
        <v>43399.208333333328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7"/>
        <v>41562.208333333336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7"/>
        <v>43493.25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31.2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7"/>
        <v>41653.25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7"/>
        <v>42426.25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7"/>
        <v>42432.25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7"/>
        <v>42977.208333333328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7"/>
        <v>42061.25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31.2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7"/>
        <v>43345.208333333328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31.2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7"/>
        <v>42376.25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31.2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7"/>
        <v>42589.208333333328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7"/>
        <v>42448.208333333328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46.8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7"/>
        <v>42930.208333333328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7"/>
        <v>41066.208333333336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31.2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7"/>
        <v>40651.208333333336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31.2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7"/>
        <v>40807.208333333336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31.2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7"/>
        <v>40277.208333333336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7"/>
        <v>40590.25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7"/>
        <v>41572.208333333336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7"/>
        <v>40966.25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31.2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7"/>
        <v>43536.208333333328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7"/>
        <v>41783.208333333336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31.2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7"/>
        <v>43788.25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31.2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7"/>
        <v>42869.208333333328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7"/>
        <v>41684.25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7"/>
        <v>40402.208333333336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31.2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7"/>
        <v>40673.208333333336</v>
      </c>
      <c r="O322" s="6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1">(((L323/60)/60)/24)+DATE(1970,1,1)</f>
        <v>40634.208333333336</v>
      </c>
      <c r="O323" s="6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ref="I324:I387" si="23">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1"/>
        <v>40507.25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31.2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1"/>
        <v>41725.208333333336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1"/>
        <v>42176.208333333328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1"/>
        <v>43267.208333333328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1"/>
        <v>42364.25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31.2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1"/>
        <v>43705.208333333328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1"/>
        <v>43434.25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31.2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1"/>
        <v>42716.25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1"/>
        <v>43077.25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1"/>
        <v>40896.25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1"/>
        <v>41361.208333333336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31.2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1"/>
        <v>43424.25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31.2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1"/>
        <v>43110.25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1"/>
        <v>43784.25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31.2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1"/>
        <v>40527.25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1"/>
        <v>43780.25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31.2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1"/>
        <v>40821.208333333336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31.2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1"/>
        <v>42949.208333333328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1"/>
        <v>40889.25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1"/>
        <v>42244.208333333328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31.2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1"/>
        <v>41475.208333333336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31.2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1"/>
        <v>41597.25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1"/>
        <v>43122.25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31.2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1"/>
        <v>42194.208333333328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31.2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1"/>
        <v>42971.208333333328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1"/>
        <v>42046.25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31.2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1"/>
        <v>42782.25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31.2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1"/>
        <v>42930.208333333328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1"/>
        <v>42144.208333333328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31.2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1"/>
        <v>42240.208333333328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1"/>
        <v>42315.25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31.2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1"/>
        <v>43651.208333333328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31.2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1"/>
        <v>41520.208333333336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1"/>
        <v>42757.25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31.2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1"/>
        <v>40922.25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31.2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1"/>
        <v>42250.208333333328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31.2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1"/>
        <v>43322.208333333328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31.2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1"/>
        <v>40782.208333333336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31.2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1"/>
        <v>40544.25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31.2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1"/>
        <v>43015.208333333328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31.2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1"/>
        <v>40570.25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31.2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1"/>
        <v>40904.25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31.2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1"/>
        <v>43164.25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31.2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1"/>
        <v>42733.25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31.2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1"/>
        <v>40546.25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31.2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1"/>
        <v>41930.208333333336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1"/>
        <v>40464.208333333336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31.2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1"/>
        <v>41308.25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31.2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1"/>
        <v>43570.208333333328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31.2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1"/>
        <v>42043.25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1"/>
        <v>42012.25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1"/>
        <v>42964.208333333328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1"/>
        <v>43476.25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1"/>
        <v>42293.208333333328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1"/>
        <v>41826.208333333336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1"/>
        <v>43760.208333333328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1"/>
        <v>43241.208333333328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31.2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1"/>
        <v>40843.208333333336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1"/>
        <v>41448.208333333336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31.2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1"/>
        <v>42163.208333333328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1"/>
        <v>43024.208333333328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31.2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1"/>
        <v>43509.25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1"/>
        <v>42776.25</v>
      </c>
      <c r="O386" s="6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5">(((L387/60)/60)/24)+DATE(1970,1,1)</f>
        <v>43553.208333333328</v>
      </c>
      <c r="O387" s="6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ref="I388:I451" si="27">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5"/>
        <v>40355.208333333336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31.2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5"/>
        <v>41072.208333333336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5"/>
        <v>40912.25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31.2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5"/>
        <v>40479.208333333336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5"/>
        <v>41530.208333333336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5"/>
        <v>41653.25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5"/>
        <v>40549.25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31.2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5"/>
        <v>42933.208333333328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31.2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5"/>
        <v>41484.208333333336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5"/>
        <v>40885.25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5"/>
        <v>43378.208333333328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5"/>
        <v>41417.208333333336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5"/>
        <v>43228.208333333328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5"/>
        <v>40576.25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5"/>
        <v>41502.208333333336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5"/>
        <v>43765.208333333328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5"/>
        <v>40914.25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31.2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5"/>
        <v>40310.208333333336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31.2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5"/>
        <v>43053.25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31.2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5"/>
        <v>43255.208333333328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5"/>
        <v>41304.25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31.2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5"/>
        <v>43751.208333333328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31.2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5"/>
        <v>42541.208333333328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31.2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5"/>
        <v>42843.208333333328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31.2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5"/>
        <v>42122.208333333328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31.2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5"/>
        <v>42884.208333333328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31.2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5"/>
        <v>41642.25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31.2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5"/>
        <v>43431.25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31.2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5"/>
        <v>40288.208333333336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31.2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5"/>
        <v>40921.25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5"/>
        <v>40560.25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5"/>
        <v>43407.208333333328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31.2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5"/>
        <v>41035.208333333336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31.2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5"/>
        <v>40899.25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31.2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5"/>
        <v>42911.208333333328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31.2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5"/>
        <v>42915.208333333328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5"/>
        <v>40285.208333333336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31.2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5"/>
        <v>40808.208333333336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31.2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5"/>
        <v>43208.208333333328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31.2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5"/>
        <v>42213.208333333328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31.2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5"/>
        <v>41332.25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5"/>
        <v>41895.208333333336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31.2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5"/>
        <v>40585.25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31.2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5"/>
        <v>41680.25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5"/>
        <v>43737.208333333328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31.2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5"/>
        <v>43273.208333333328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5"/>
        <v>41761.208333333336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31.2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5"/>
        <v>41603.25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5"/>
        <v>42705.25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5"/>
        <v>41988.25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31.2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5"/>
        <v>43575.208333333328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5"/>
        <v>42260.208333333328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5"/>
        <v>41337.25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31.2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5"/>
        <v>42680.208333333328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5"/>
        <v>42916.208333333328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5"/>
        <v>41025.208333333336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31.2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5"/>
        <v>42980.208333333328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31.2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5"/>
        <v>40451.208333333336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5"/>
        <v>40748.208333333336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5"/>
        <v>40515.25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31.2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5"/>
        <v>41261.25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5"/>
        <v>43088.25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31.2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5"/>
        <v>41378.208333333336</v>
      </c>
      <c r="O450" s="6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29">(((L451/60)/60)/24)+DATE(1970,1,1)</f>
        <v>43530.25</v>
      </c>
      <c r="O451" s="6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ref="I452:I515" si="31">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9"/>
        <v>43394.208333333328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9"/>
        <v>42935.208333333328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9"/>
        <v>40365.208333333336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9"/>
        <v>42705.25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31.2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9"/>
        <v>41568.208333333336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9"/>
        <v>40809.208333333336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9"/>
        <v>43141.25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31.2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9"/>
        <v>42657.208333333328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9"/>
        <v>40265.208333333336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31.2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9"/>
        <v>42001.25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9"/>
        <v>40399.208333333336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31.2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9"/>
        <v>41757.208333333336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9"/>
        <v>41304.25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9"/>
        <v>41639.25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31.2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9"/>
        <v>43142.25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9"/>
        <v>43127.25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31.2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9"/>
        <v>41409.208333333336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9"/>
        <v>42331.25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9"/>
        <v>43569.208333333328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9"/>
        <v>42142.208333333328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9"/>
        <v>42716.25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9"/>
        <v>41031.208333333336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9"/>
        <v>43535.208333333328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31.2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9"/>
        <v>43277.208333333328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9"/>
        <v>41989.25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9"/>
        <v>41450.208333333336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9"/>
        <v>43322.208333333328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9"/>
        <v>40720.208333333336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9"/>
        <v>42072.208333333328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31.2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9"/>
        <v>42945.208333333328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9"/>
        <v>40248.25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9"/>
        <v>41913.208333333336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9"/>
        <v>40963.25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31.2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9"/>
        <v>43811.25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9"/>
        <v>41855.208333333336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9"/>
        <v>43626.208333333328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9"/>
        <v>43168.25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9"/>
        <v>42845.208333333328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31.2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9"/>
        <v>42403.25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31.2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9"/>
        <v>40406.208333333336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9"/>
        <v>43786.25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9"/>
        <v>41456.208333333336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9"/>
        <v>40336.208333333336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31.2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9"/>
        <v>43645.208333333328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9"/>
        <v>40990.208333333336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31.2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9"/>
        <v>41800.208333333336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31.2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9"/>
        <v>42876.208333333328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9"/>
        <v>42724.25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9"/>
        <v>42005.25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9"/>
        <v>42444.208333333328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31.2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9"/>
        <v>41395.208333333336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31.2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9"/>
        <v>41345.208333333336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31.2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9"/>
        <v>41117.208333333336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9"/>
        <v>42186.208333333328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31.2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9"/>
        <v>42142.208333333328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31.2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9"/>
        <v>41341.25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31.2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9"/>
        <v>43062.25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9"/>
        <v>41373.208333333336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31.2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9"/>
        <v>43310.208333333328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9"/>
        <v>41034.208333333336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31.2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9"/>
        <v>43251.208333333328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31.2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9"/>
        <v>43671.208333333328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29"/>
        <v>41825.208333333336</v>
      </c>
      <c r="O514" s="6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31.2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3">(((L515/60)/60)/24)+DATE(1970,1,1)</f>
        <v>40430.208333333336</v>
      </c>
      <c r="O515" s="6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31.2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ref="I516:I579" si="35">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3"/>
        <v>41614.25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3"/>
        <v>40900.25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31.2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3"/>
        <v>40396.208333333336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31.2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3"/>
        <v>42860.208333333328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3"/>
        <v>43154.25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3"/>
        <v>42012.25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3"/>
        <v>43574.208333333328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31.2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3"/>
        <v>42605.208333333328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3"/>
        <v>41093.208333333336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3"/>
        <v>40241.25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31.2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3"/>
        <v>40294.208333333336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3"/>
        <v>40505.25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3"/>
        <v>42364.25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31.2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3"/>
        <v>42405.25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3"/>
        <v>41601.25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3"/>
        <v>41769.208333333336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3"/>
        <v>40421.208333333336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3"/>
        <v>41589.25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31.2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3"/>
        <v>43125.25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31.2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3"/>
        <v>41479.208333333336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31.2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3"/>
        <v>43329.208333333328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31.2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3"/>
        <v>43259.208333333328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31.2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3"/>
        <v>40414.208333333336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31.2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3"/>
        <v>43342.208333333328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31.2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3"/>
        <v>41539.208333333336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3"/>
        <v>43647.208333333328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31.2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3"/>
        <v>43225.208333333328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31.2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3"/>
        <v>42165.208333333328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31.2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3"/>
        <v>42391.25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31.2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3"/>
        <v>41528.208333333336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3"/>
        <v>42377.25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3"/>
        <v>43824.25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3"/>
        <v>43360.208333333328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31.2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3"/>
        <v>42029.25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3"/>
        <v>42461.208333333328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3"/>
        <v>41422.208333333336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3"/>
        <v>40968.25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3"/>
        <v>41993.25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31.2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3"/>
        <v>42700.25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3"/>
        <v>40545.25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3"/>
        <v>42723.25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3"/>
        <v>41731.208333333336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3"/>
        <v>40792.208333333336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3"/>
        <v>42279.208333333328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31.2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3"/>
        <v>42424.25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31.2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3"/>
        <v>42584.208333333328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3"/>
        <v>40865.25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3"/>
        <v>40833.208333333336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3"/>
        <v>43536.208333333328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31.2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3"/>
        <v>43417.25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31.2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3"/>
        <v>42078.208333333328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31.2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3"/>
        <v>40862.25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31.2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3"/>
        <v>42424.25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3"/>
        <v>41830.208333333336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31.2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3"/>
        <v>40374.208333333336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31.2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3"/>
        <v>40554.25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31.2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3"/>
        <v>41993.25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31.2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3"/>
        <v>42174.208333333328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3"/>
        <v>42275.208333333328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31.2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3"/>
        <v>41761.208333333336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3"/>
        <v>43806.25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3"/>
        <v>41779.208333333336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3"/>
        <v>43040.208333333328</v>
      </c>
      <c r="O578" s="6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7">(((L579/60)/60)/24)+DATE(1970,1,1)</f>
        <v>40613.25</v>
      </c>
      <c r="O579" s="6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ref="I580:I643" si="39">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7"/>
        <v>40878.25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31.2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7"/>
        <v>40762.208333333336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31.2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7"/>
        <v>41696.25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31.2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7"/>
        <v>40662.208333333336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31.2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7"/>
        <v>42165.208333333328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7"/>
        <v>40959.25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7"/>
        <v>41024.208333333336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7"/>
        <v>40255.208333333336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7"/>
        <v>40499.25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31.2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7"/>
        <v>43484.25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7"/>
        <v>40262.208333333336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7"/>
        <v>42190.208333333328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7"/>
        <v>41994.25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31.2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7"/>
        <v>40373.208333333336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7"/>
        <v>41789.208333333336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7"/>
        <v>41724.208333333336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7"/>
        <v>42548.208333333328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7"/>
        <v>40253.208333333336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7"/>
        <v>42434.25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7"/>
        <v>43786.25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31.2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7"/>
        <v>40344.208333333336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7"/>
        <v>42047.25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7"/>
        <v>41485.208333333336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7"/>
        <v>41789.208333333336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7"/>
        <v>42160.208333333328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31.2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7"/>
        <v>43573.208333333328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31.2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7"/>
        <v>40565.25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31.2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7"/>
        <v>42280.208333333328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31.2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7"/>
        <v>42436.25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31.2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7"/>
        <v>41721.208333333336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31.2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7"/>
        <v>43530.25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31.2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7"/>
        <v>43481.25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7"/>
        <v>41259.25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7"/>
        <v>41480.208333333336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7"/>
        <v>40474.208333333336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7"/>
        <v>42973.208333333328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7"/>
        <v>42746.25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31.2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7"/>
        <v>42489.208333333328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31.2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7"/>
        <v>41537.208333333336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31.2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7"/>
        <v>41794.208333333336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31.2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7"/>
        <v>41396.208333333336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31.2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7"/>
        <v>40669.208333333336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31.2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7"/>
        <v>42559.208333333328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31.2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7"/>
        <v>42626.208333333328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7"/>
        <v>43205.208333333328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7"/>
        <v>42201.208333333328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7"/>
        <v>42029.25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7"/>
        <v>43857.25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7"/>
        <v>40449.208333333336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31.2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7"/>
        <v>40345.208333333336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31.2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7"/>
        <v>40455.208333333336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7"/>
        <v>42557.208333333328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31.2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7"/>
        <v>43586.208333333328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31.2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7"/>
        <v>43550.208333333328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7"/>
        <v>41945.208333333336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7"/>
        <v>42315.25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7"/>
        <v>42819.208333333328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7"/>
        <v>41314.25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7"/>
        <v>40926.25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31.2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7"/>
        <v>42688.25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7"/>
        <v>40386.208333333336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7"/>
        <v>43309.208333333328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31.2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7"/>
        <v>42387.25</v>
      </c>
      <c r="O642" s="6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1">(((L643/60)/60)/24)+DATE(1970,1,1)</f>
        <v>42786.25</v>
      </c>
      <c r="O643" s="6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31.2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ref="I644:I707" si="43">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1"/>
        <v>43451.25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31.2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1"/>
        <v>42795.25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31.2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1"/>
        <v>43452.25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31.2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1"/>
        <v>43369.208333333328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31.2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1"/>
        <v>41346.208333333336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31.2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1"/>
        <v>43199.208333333328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31.2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1"/>
        <v>42922.208333333328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1"/>
        <v>40471.208333333336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1"/>
        <v>41828.208333333336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1"/>
        <v>41692.25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1"/>
        <v>42587.208333333328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1"/>
        <v>42468.208333333328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31.2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1"/>
        <v>42240.208333333328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31.2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1"/>
        <v>42796.25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1"/>
        <v>43097.25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1"/>
        <v>43096.25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31.2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1"/>
        <v>42246.208333333328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31.2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1"/>
        <v>40570.25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31.2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1"/>
        <v>42237.208333333328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31.2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1"/>
        <v>40996.208333333336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31.2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1"/>
        <v>43443.25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1"/>
        <v>40458.208333333336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1"/>
        <v>40959.25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31.2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1"/>
        <v>40733.208333333336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1"/>
        <v>41516.208333333336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1"/>
        <v>41892.208333333336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1"/>
        <v>41122.208333333336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31.2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1"/>
        <v>42912.208333333328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1"/>
        <v>42425.25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1"/>
        <v>40390.208333333336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31.2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1"/>
        <v>43180.208333333328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31.2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1"/>
        <v>42475.208333333328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31.2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1"/>
        <v>40774.208333333336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31.2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1"/>
        <v>43719.208333333328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31.2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1"/>
        <v>41178.208333333336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31.2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1"/>
        <v>42561.208333333328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1"/>
        <v>43484.25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31.2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1"/>
        <v>43756.208333333328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1"/>
        <v>43813.25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1"/>
        <v>40898.25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31.2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1"/>
        <v>41619.25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1"/>
        <v>43359.208333333328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1"/>
        <v>40358.208333333336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31.2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1"/>
        <v>42239.208333333328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1"/>
        <v>43186.208333333328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1"/>
        <v>42806.25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31.2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1"/>
        <v>43475.25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1"/>
        <v>41576.208333333336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31.2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1"/>
        <v>40874.25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31.2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1"/>
        <v>41185.208333333336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1"/>
        <v>43655.208333333328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1"/>
        <v>43025.208333333328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1"/>
        <v>43066.25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31.2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1"/>
        <v>42322.25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1"/>
        <v>42114.208333333328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1"/>
        <v>43190.208333333328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1"/>
        <v>40871.25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31.2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1"/>
        <v>43641.208333333328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1"/>
        <v>40203.25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1"/>
        <v>40629.208333333336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1"/>
        <v>41477.208333333336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1"/>
        <v>41020.208333333336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1"/>
        <v>42555.208333333328</v>
      </c>
      <c r="O706" s="6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5">(((L707/60)/60)/24)+DATE(1970,1,1)</f>
        <v>41619.25</v>
      </c>
      <c r="O707" s="6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ref="I708:I771" si="47">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5"/>
        <v>43471.25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5"/>
        <v>43442.25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5"/>
        <v>42877.208333333328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31.2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5"/>
        <v>41018.208333333336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5"/>
        <v>43295.208333333328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5"/>
        <v>42393.25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5"/>
        <v>42559.208333333328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31.2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5"/>
        <v>42604.208333333328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31.2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5"/>
        <v>41870.208333333336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5"/>
        <v>40397.208333333336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5"/>
        <v>41465.208333333336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5"/>
        <v>40777.208333333336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31.2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5"/>
        <v>41442.208333333336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5"/>
        <v>41058.208333333336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5"/>
        <v>43152.25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31.2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5"/>
        <v>43194.208333333328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5"/>
        <v>43045.25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31.2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5"/>
        <v>42431.25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5"/>
        <v>41934.208333333336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31.2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5"/>
        <v>41958.25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5"/>
        <v>40476.208333333336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31.2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5"/>
        <v>43485.25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5"/>
        <v>42515.208333333328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5"/>
        <v>41309.25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31.2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5"/>
        <v>42147.208333333328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31.2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5"/>
        <v>42939.208333333328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31.2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5"/>
        <v>42816.208333333328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31.2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5"/>
        <v>41844.208333333336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31.2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5"/>
        <v>42763.25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5"/>
        <v>42459.208333333328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31.2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5"/>
        <v>42055.25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5"/>
        <v>42685.25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5"/>
        <v>41959.25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5"/>
        <v>41089.208333333336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5"/>
        <v>42769.25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5"/>
        <v>40321.208333333336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31.2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5"/>
        <v>40197.25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5"/>
        <v>42298.208333333328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5"/>
        <v>43322.208333333328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5"/>
        <v>40328.208333333336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31.2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5"/>
        <v>40825.208333333336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31.2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5"/>
        <v>40423.208333333336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5"/>
        <v>40238.25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31.2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5"/>
        <v>41920.208333333336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5"/>
        <v>40360.208333333336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31.2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5"/>
        <v>42446.208333333328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31.2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5"/>
        <v>40395.208333333336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31.2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5"/>
        <v>40321.208333333336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5"/>
        <v>41210.208333333336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31.2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5"/>
        <v>43096.25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5"/>
        <v>42024.25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31.2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5"/>
        <v>40675.208333333336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5"/>
        <v>41936.208333333336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5"/>
        <v>43136.25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5"/>
        <v>43678.208333333328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31.2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5"/>
        <v>42938.208333333328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31.2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5"/>
        <v>41241.25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5"/>
        <v>41037.208333333336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5"/>
        <v>40676.208333333336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31.2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5"/>
        <v>42840.208333333328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5"/>
        <v>43362.208333333328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31.2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5"/>
        <v>42283.208333333328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31.2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5"/>
        <v>41619.25</v>
      </c>
      <c r="O770" s="6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49">(((L771/60)/60)/24)+DATE(1970,1,1)</f>
        <v>41501.208333333336</v>
      </c>
      <c r="O771" s="6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ref="I772:I835" si="51">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49"/>
        <v>41743.208333333336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31.2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49"/>
        <v>43491.25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31.2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49"/>
        <v>43505.25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31.2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49"/>
        <v>42838.208333333328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49"/>
        <v>42513.208333333328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49"/>
        <v>41949.25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31.2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49"/>
        <v>43650.208333333328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31.2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49"/>
        <v>40809.208333333336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31.2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49"/>
        <v>40768.208333333336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31.2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49"/>
        <v>42230.208333333328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49"/>
        <v>42573.208333333328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31.2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49"/>
        <v>40482.208333333336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31.2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49"/>
        <v>40603.25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31.2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49"/>
        <v>41625.25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31.2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49"/>
        <v>42435.25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49"/>
        <v>43582.208333333328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31.2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49"/>
        <v>43186.208333333328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31.2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49"/>
        <v>40684.208333333336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31.2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49"/>
        <v>41202.208333333336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31.2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49"/>
        <v>41786.208333333336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31.2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49"/>
        <v>40223.25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31.2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49"/>
        <v>42715.25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31.2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49"/>
        <v>41451.208333333336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31.2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49"/>
        <v>41450.208333333336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49"/>
        <v>43091.25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49"/>
        <v>42675.208333333328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31.2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49"/>
        <v>41859.208333333336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49"/>
        <v>43464.25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49"/>
        <v>41060.208333333336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49"/>
        <v>42399.25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49"/>
        <v>42167.208333333328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31.2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49"/>
        <v>43830.25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49"/>
        <v>43650.208333333328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49"/>
        <v>43492.25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1.2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49"/>
        <v>43102.25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49"/>
        <v>41958.25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49"/>
        <v>40973.25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49"/>
        <v>43753.208333333328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49"/>
        <v>42507.208333333328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31.2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49"/>
        <v>41135.208333333336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49"/>
        <v>43067.25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31.2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49"/>
        <v>42378.25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31.2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49"/>
        <v>43206.208333333328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49"/>
        <v>41148.208333333336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49"/>
        <v>42517.208333333328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49"/>
        <v>43068.25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49"/>
        <v>41680.25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31.2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49"/>
        <v>43589.208333333328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49"/>
        <v>43486.25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49"/>
        <v>41237.25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49"/>
        <v>43310.208333333328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31.2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49"/>
        <v>42794.25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31.2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49"/>
        <v>41698.25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49"/>
        <v>41892.208333333336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31.2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49"/>
        <v>40348.208333333336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31.2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49"/>
        <v>42941.208333333328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49"/>
        <v>40525.25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49"/>
        <v>40666.208333333336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49"/>
        <v>43340.208333333328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31.2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49"/>
        <v>42164.208333333328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46.8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49"/>
        <v>43103.25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49"/>
        <v>40994.208333333336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31.2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49"/>
        <v>42299.208333333328</v>
      </c>
      <c r="O834" s="6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31.2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3">(((L835/60)/60)/24)+DATE(1970,1,1)</f>
        <v>40588.25</v>
      </c>
      <c r="O835" s="6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31.2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ref="I836:I899" si="55">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3"/>
        <v>41448.208333333336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3"/>
        <v>42063.25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3"/>
        <v>40214.25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31.2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3"/>
        <v>40629.208333333336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31.2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3"/>
        <v>43370.208333333328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3"/>
        <v>41715.208333333336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3"/>
        <v>41836.208333333336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31.2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3"/>
        <v>42419.25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3"/>
        <v>43266.208333333328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3"/>
        <v>43338.208333333328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3"/>
        <v>40930.25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3"/>
        <v>43235.208333333328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3"/>
        <v>43302.208333333328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3"/>
        <v>43107.25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31.2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3"/>
        <v>40341.208333333336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3"/>
        <v>40948.25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3"/>
        <v>40866.25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3"/>
        <v>41031.208333333336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3"/>
        <v>40740.208333333336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31.2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3"/>
        <v>40714.208333333336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3"/>
        <v>43787.25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31.2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3"/>
        <v>40712.208333333336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3"/>
        <v>41023.208333333336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3"/>
        <v>40944.25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3"/>
        <v>43211.208333333328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3"/>
        <v>41334.25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3"/>
        <v>43515.25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31.2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3"/>
        <v>40258.208333333336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3"/>
        <v>40756.208333333336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31.2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3"/>
        <v>42172.208333333328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3"/>
        <v>42601.208333333328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3"/>
        <v>41897.208333333336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31.2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3"/>
        <v>40671.208333333336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3"/>
        <v>43382.208333333328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31.2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3"/>
        <v>41559.208333333336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31.2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3"/>
        <v>40350.208333333336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31.2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3"/>
        <v>42240.208333333328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3"/>
        <v>43040.208333333328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31.2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3"/>
        <v>43346.208333333328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31.2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3"/>
        <v>41647.25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3"/>
        <v>40291.208333333336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31.2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3"/>
        <v>40556.25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3"/>
        <v>43624.208333333328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31.2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3"/>
        <v>42577.208333333328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31.2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3"/>
        <v>43845.25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31.2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3"/>
        <v>42788.25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3"/>
        <v>43667.208333333328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31.2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3"/>
        <v>42194.208333333328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31.2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3"/>
        <v>42025.25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3"/>
        <v>40323.208333333336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31.2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3"/>
        <v>41763.208333333336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31.2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3"/>
        <v>40335.208333333336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31.2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3"/>
        <v>40416.208333333336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3"/>
        <v>42202.208333333328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3"/>
        <v>42836.208333333328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3"/>
        <v>41710.208333333336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31.2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3"/>
        <v>43640.208333333328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3"/>
        <v>40880.25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3"/>
        <v>40319.208333333336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31.2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3"/>
        <v>42170.208333333328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3"/>
        <v>41466.208333333336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3"/>
        <v>43134.25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3"/>
        <v>40738.208333333336</v>
      </c>
      <c r="O898" s="6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7">(((L899/60)/60)/24)+DATE(1970,1,1)</f>
        <v>43583.208333333328</v>
      </c>
      <c r="O899" s="6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ref="I900:I963" si="59">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7"/>
        <v>43815.25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31.2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7"/>
        <v>41554.208333333336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31.2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7"/>
        <v>41901.208333333336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31.2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7"/>
        <v>43298.208333333328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31.2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7"/>
        <v>42399.25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7"/>
        <v>41034.208333333336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7"/>
        <v>41186.208333333336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31.2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7"/>
        <v>41536.208333333336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7"/>
        <v>42868.208333333328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31.2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7"/>
        <v>40660.208333333336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31.2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7"/>
        <v>41031.208333333336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31.2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7"/>
        <v>43255.208333333328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31.2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7"/>
        <v>42026.25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31.2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7"/>
        <v>43717.208333333328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31.2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7"/>
        <v>41157.208333333336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31.2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7"/>
        <v>43597.208333333328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31.2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7"/>
        <v>41490.208333333336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7"/>
        <v>42976.208333333328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7"/>
        <v>41991.25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7"/>
        <v>40722.208333333336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7"/>
        <v>41117.208333333336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31.2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7"/>
        <v>43022.208333333328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7"/>
        <v>43503.25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31.2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7"/>
        <v>40951.25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31.2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7"/>
        <v>43443.25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7"/>
        <v>40373.208333333336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31.2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7"/>
        <v>43769.208333333328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7"/>
        <v>43000.208333333328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31.2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7"/>
        <v>42502.208333333328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7"/>
        <v>41102.208333333336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31.2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7"/>
        <v>41637.25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7"/>
        <v>42858.208333333328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1.2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7"/>
        <v>42060.25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31.2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7"/>
        <v>41818.208333333336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31.2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7"/>
        <v>41709.208333333336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31.2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7"/>
        <v>41372.208333333336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7"/>
        <v>42422.25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7"/>
        <v>42209.208333333328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31.2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7"/>
        <v>43668.208333333328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7"/>
        <v>42334.25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7"/>
        <v>43263.208333333328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7"/>
        <v>40670.208333333336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7"/>
        <v>41244.25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31.2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7"/>
        <v>40552.25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7"/>
        <v>40568.25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31.2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7"/>
        <v>41906.208333333336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31.2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7"/>
        <v>42776.25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31.2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7"/>
        <v>41004.208333333336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7"/>
        <v>40710.208333333336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31.2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7"/>
        <v>41908.208333333336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7"/>
        <v>41985.25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7"/>
        <v>42112.208333333328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7"/>
        <v>43571.208333333328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7"/>
        <v>42730.25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7"/>
        <v>42591.208333333328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7"/>
        <v>42358.25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31.2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7"/>
        <v>41174.208333333336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7"/>
        <v>41238.25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31.2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7"/>
        <v>42360.25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31.2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7"/>
        <v>40955.25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7"/>
        <v>40350.208333333336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7"/>
        <v>40357.208333333336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31.2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7"/>
        <v>42408.25</v>
      </c>
      <c r="O962" s="6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1">(((L963/60)/60)/24)+DATE(1970,1,1)</f>
        <v>40591.25</v>
      </c>
      <c r="O963" s="6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ref="I964:I1001" si="63">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1"/>
        <v>41592.25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1"/>
        <v>40607.25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31.2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1"/>
        <v>42135.208333333328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1"/>
        <v>40203.25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31.2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1"/>
        <v>42901.208333333328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31.2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1"/>
        <v>41005.208333333336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46.8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1"/>
        <v>40544.25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1"/>
        <v>43821.25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1"/>
        <v>40672.208333333336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1"/>
        <v>41555.208333333336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1"/>
        <v>41792.208333333336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31.2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1"/>
        <v>40522.25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31.2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1"/>
        <v>41412.208333333336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31.2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1"/>
        <v>42337.25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1"/>
        <v>40571.25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31.2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1"/>
        <v>43138.25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31.2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1"/>
        <v>42686.25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31.2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1"/>
        <v>42078.208333333328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31.2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1"/>
        <v>42307.208333333328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1"/>
        <v>43094.25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31.2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1"/>
        <v>40743.208333333336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31.2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1"/>
        <v>43681.208333333328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1"/>
        <v>43716.208333333328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1"/>
        <v>41614.25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1"/>
        <v>40638.208333333336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31.2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1"/>
        <v>42852.208333333328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31.2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1"/>
        <v>42686.25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1"/>
        <v>43571.208333333328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31.2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1"/>
        <v>42432.25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31.2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1"/>
        <v>41907.208333333336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1"/>
        <v>43227.208333333328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31.2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1"/>
        <v>42362.25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31.2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1"/>
        <v>41929.208333333336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31.2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1"/>
        <v>43408.208333333328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1"/>
        <v>41276.25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31.2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1"/>
        <v>41659.25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31.2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1"/>
        <v>40220.25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1"/>
        <v>42550.208333333328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5050"/>
        <color rgb="FF92D050"/>
        <color rgb="FF0070C0"/>
      </colorScale>
    </cfRule>
  </conditionalFormatting>
  <conditionalFormatting sqref="G1:G1048576">
    <cfRule type="containsText" dxfId="19" priority="3" operator="containsText" text="canceled">
      <formula>NOT(ISERROR(SEARCH("canceled",G1)))</formula>
    </cfRule>
    <cfRule type="containsText" dxfId="18" priority="4" operator="containsText" text="live">
      <formula>NOT(ISERROR(SEARCH("live",G1)))</formula>
    </cfRule>
    <cfRule type="containsText" dxfId="17" priority="5" operator="containsText" text="successful">
      <formula>NOT(ISERROR(SEARCH("successful",G1)))</formula>
    </cfRule>
    <cfRule type="containsText" dxfId="16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898C-FDA6-4259-84F1-A8CF6D88162B}">
  <sheetPr codeName="Sheet2"/>
  <dimension ref="A3:I23"/>
  <sheetViews>
    <sheetView tabSelected="1" workbookViewId="0">
      <selection activeCell="E11" sqref="E1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3" spans="1:6" x14ac:dyDescent="0.3">
      <c r="A3" s="7" t="s">
        <v>6</v>
      </c>
      <c r="B3" t="s">
        <v>2037</v>
      </c>
    </row>
    <row r="5" spans="1:6" x14ac:dyDescent="0.3">
      <c r="A5" s="7" t="s">
        <v>2048</v>
      </c>
      <c r="B5" s="7" t="s">
        <v>2038</v>
      </c>
    </row>
    <row r="6" spans="1:6" x14ac:dyDescent="0.3">
      <c r="A6" s="7" t="s">
        <v>2035</v>
      </c>
      <c r="B6" t="s">
        <v>74</v>
      </c>
      <c r="C6" t="s">
        <v>14</v>
      </c>
      <c r="D6" t="s">
        <v>47</v>
      </c>
      <c r="E6" t="s">
        <v>20</v>
      </c>
      <c r="F6" t="s">
        <v>2036</v>
      </c>
    </row>
    <row r="7" spans="1:6" x14ac:dyDescent="0.3">
      <c r="A7" s="8" t="s">
        <v>2039</v>
      </c>
      <c r="B7" s="12">
        <v>11</v>
      </c>
      <c r="C7" s="12">
        <v>60</v>
      </c>
      <c r="D7" s="12">
        <v>5</v>
      </c>
      <c r="E7" s="12">
        <v>102</v>
      </c>
      <c r="F7" s="12">
        <v>178</v>
      </c>
    </row>
    <row r="8" spans="1:6" x14ac:dyDescent="0.3">
      <c r="A8" s="8" t="s">
        <v>2040</v>
      </c>
      <c r="B8" s="12">
        <v>4</v>
      </c>
      <c r="C8" s="12">
        <v>20</v>
      </c>
      <c r="D8" s="12"/>
      <c r="E8" s="12">
        <v>22</v>
      </c>
      <c r="F8" s="12">
        <v>46</v>
      </c>
    </row>
    <row r="9" spans="1:6" x14ac:dyDescent="0.3">
      <c r="A9" s="8" t="s">
        <v>2041</v>
      </c>
      <c r="B9" s="12">
        <v>1</v>
      </c>
      <c r="C9" s="12">
        <v>23</v>
      </c>
      <c r="D9" s="12">
        <v>3</v>
      </c>
      <c r="E9" s="12">
        <v>21</v>
      </c>
      <c r="F9" s="12">
        <v>48</v>
      </c>
    </row>
    <row r="10" spans="1:6" x14ac:dyDescent="0.3">
      <c r="A10" s="8" t="s">
        <v>2042</v>
      </c>
      <c r="B10" s="12"/>
      <c r="C10" s="12"/>
      <c r="D10" s="12"/>
      <c r="E10" s="12">
        <v>4</v>
      </c>
      <c r="F10" s="12">
        <v>4</v>
      </c>
    </row>
    <row r="11" spans="1:6" x14ac:dyDescent="0.3">
      <c r="A11" s="8" t="s">
        <v>2043</v>
      </c>
      <c r="B11" s="12">
        <v>10</v>
      </c>
      <c r="C11" s="12">
        <v>66</v>
      </c>
      <c r="D11" s="12"/>
      <c r="E11" s="12">
        <v>99</v>
      </c>
      <c r="F11" s="12">
        <v>175</v>
      </c>
    </row>
    <row r="12" spans="1:6" x14ac:dyDescent="0.3">
      <c r="A12" s="8" t="s">
        <v>2044</v>
      </c>
      <c r="B12" s="12">
        <v>4</v>
      </c>
      <c r="C12" s="12">
        <v>11</v>
      </c>
      <c r="D12" s="12">
        <v>1</v>
      </c>
      <c r="E12" s="12">
        <v>26</v>
      </c>
      <c r="F12" s="12">
        <v>42</v>
      </c>
    </row>
    <row r="13" spans="1:6" x14ac:dyDescent="0.3">
      <c r="A13" s="8" t="s">
        <v>2045</v>
      </c>
      <c r="B13" s="12">
        <v>2</v>
      </c>
      <c r="C13" s="12">
        <v>24</v>
      </c>
      <c r="D13" s="12">
        <v>1</v>
      </c>
      <c r="E13" s="12">
        <v>40</v>
      </c>
      <c r="F13" s="12">
        <v>67</v>
      </c>
    </row>
    <row r="14" spans="1:6" x14ac:dyDescent="0.3">
      <c r="A14" s="8" t="s">
        <v>2046</v>
      </c>
      <c r="B14" s="12">
        <v>2</v>
      </c>
      <c r="C14" s="12">
        <v>28</v>
      </c>
      <c r="D14" s="12">
        <v>2</v>
      </c>
      <c r="E14" s="12">
        <v>64</v>
      </c>
      <c r="F14" s="12">
        <v>96</v>
      </c>
    </row>
    <row r="15" spans="1:6" x14ac:dyDescent="0.3">
      <c r="A15" s="8" t="s">
        <v>2047</v>
      </c>
      <c r="B15" s="12">
        <v>23</v>
      </c>
      <c r="C15" s="12">
        <v>132</v>
      </c>
      <c r="D15" s="12">
        <v>2</v>
      </c>
      <c r="E15" s="12">
        <v>187</v>
      </c>
      <c r="F15" s="12">
        <v>344</v>
      </c>
    </row>
    <row r="16" spans="1:6" x14ac:dyDescent="0.3">
      <c r="A16" s="8" t="s">
        <v>2036</v>
      </c>
      <c r="B16" s="12">
        <v>57</v>
      </c>
      <c r="C16" s="12">
        <v>364</v>
      </c>
      <c r="D16" s="12">
        <v>14</v>
      </c>
      <c r="E16" s="12">
        <v>565</v>
      </c>
      <c r="F16" s="12">
        <v>1000</v>
      </c>
    </row>
    <row r="23" spans="9:9" x14ac:dyDescent="0.3">
      <c r="I23" t="s">
        <v>2108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FF0-32B5-4A6C-934C-227566AD1D19}">
  <sheetPr codeName="Sheet3"/>
  <dimension ref="A1:F30"/>
  <sheetViews>
    <sheetView topLeftCell="B4" workbookViewId="0">
      <selection activeCell="C6" sqref="C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2037</v>
      </c>
    </row>
    <row r="2" spans="1:6" x14ac:dyDescent="0.3">
      <c r="A2" s="7" t="s">
        <v>2031</v>
      </c>
      <c r="B2" t="s">
        <v>2037</v>
      </c>
    </row>
    <row r="4" spans="1:6" x14ac:dyDescent="0.3">
      <c r="A4" s="7" t="s">
        <v>2048</v>
      </c>
      <c r="B4" s="7" t="s">
        <v>2038</v>
      </c>
    </row>
    <row r="5" spans="1:6" x14ac:dyDescent="0.3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8" t="s">
        <v>2049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3">
      <c r="A7" s="8" t="s">
        <v>2050</v>
      </c>
      <c r="B7" s="12"/>
      <c r="C7" s="12"/>
      <c r="D7" s="12"/>
      <c r="E7" s="12">
        <v>4</v>
      </c>
      <c r="F7" s="12">
        <v>4</v>
      </c>
    </row>
    <row r="8" spans="1:6" x14ac:dyDescent="0.3">
      <c r="A8" s="8" t="s">
        <v>2051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3">
      <c r="A9" s="8" t="s">
        <v>2052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3">
      <c r="A10" s="8" t="s">
        <v>2053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3">
      <c r="A11" s="8" t="s">
        <v>2054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3">
      <c r="A12" s="8" t="s">
        <v>2055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3">
      <c r="A13" s="8" t="s">
        <v>2056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3">
      <c r="A14" s="8" t="s">
        <v>2057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3">
      <c r="A15" s="8" t="s">
        <v>2058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3">
      <c r="A16" s="8" t="s">
        <v>2059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3">
      <c r="A17" s="8" t="s">
        <v>2060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3">
      <c r="A18" s="8" t="s">
        <v>2061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3">
      <c r="A19" s="8" t="s">
        <v>2062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3">
      <c r="A20" s="8" t="s">
        <v>2063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3">
      <c r="A21" s="8" t="s">
        <v>2064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3">
      <c r="A22" s="8" t="s">
        <v>2065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3">
      <c r="A23" s="8" t="s">
        <v>2066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3">
      <c r="A24" s="8" t="s">
        <v>2067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3">
      <c r="A25" s="8" t="s">
        <v>2068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3">
      <c r="A26" s="8" t="s">
        <v>2069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3">
      <c r="A27" s="8" t="s">
        <v>2070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3">
      <c r="A28" s="8" t="s">
        <v>2071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3">
      <c r="A29" s="8" t="s">
        <v>2072</v>
      </c>
      <c r="B29" s="12"/>
      <c r="C29" s="12"/>
      <c r="D29" s="12"/>
      <c r="E29" s="12">
        <v>3</v>
      </c>
      <c r="F29" s="12">
        <v>3</v>
      </c>
    </row>
    <row r="30" spans="1:6" x14ac:dyDescent="0.3">
      <c r="A30" s="8" t="s">
        <v>2036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28DD-B248-41D0-AE18-A8122F683452}">
  <sheetPr codeName="Sheet4"/>
  <dimension ref="A1:E18"/>
  <sheetViews>
    <sheetView workbookViewId="0">
      <selection activeCell="F22" sqref="F22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7" t="s">
        <v>2085</v>
      </c>
      <c r="B1" t="s">
        <v>2037</v>
      </c>
    </row>
    <row r="2" spans="1:5" x14ac:dyDescent="0.3">
      <c r="A2" s="7" t="s">
        <v>2031</v>
      </c>
      <c r="B2" t="s">
        <v>2037</v>
      </c>
    </row>
    <row r="4" spans="1:5" x14ac:dyDescent="0.3">
      <c r="A4" s="7" t="s">
        <v>2048</v>
      </c>
      <c r="B4" s="7" t="s">
        <v>2038</v>
      </c>
    </row>
    <row r="5" spans="1:5" x14ac:dyDescent="0.3">
      <c r="A5" s="7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3">
      <c r="A6" s="8" t="s">
        <v>2073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3">
      <c r="A7" s="8" t="s">
        <v>2074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3">
      <c r="A8" s="8" t="s">
        <v>2075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3">
      <c r="A9" s="8" t="s">
        <v>2076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3">
      <c r="A10" s="8" t="s">
        <v>2077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3">
      <c r="A11" s="8" t="s">
        <v>2078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3">
      <c r="A12" s="8" t="s">
        <v>2079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3">
      <c r="A13" s="8" t="s">
        <v>2080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3">
      <c r="A14" s="8" t="s">
        <v>2081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3">
      <c r="A15" s="8" t="s">
        <v>2082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3">
      <c r="A16" s="8" t="s">
        <v>2083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3">
      <c r="A17" s="8" t="s">
        <v>2084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3">
      <c r="A18" s="8" t="s">
        <v>2036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187A-9AB1-469B-A9EA-A5BCC091C165}">
  <sheetPr codeName="Sheet5"/>
  <dimension ref="A1:I13"/>
  <sheetViews>
    <sheetView workbookViewId="0">
      <selection activeCell="J9" sqref="J9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3984375" bestFit="1" customWidth="1"/>
    <col min="6" max="6" width="19.296875" bestFit="1" customWidth="1"/>
    <col min="7" max="7" width="15.796875" bestFit="1" customWidth="1"/>
    <col min="8" max="8" width="18.5" bestFit="1" customWidth="1"/>
  </cols>
  <sheetData>
    <row r="1" spans="1:9" x14ac:dyDescent="0.3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  <c r="I1" s="9"/>
    </row>
    <row r="2" spans="1:9" x14ac:dyDescent="0.3">
      <c r="A2" t="s">
        <v>2094</v>
      </c>
      <c r="B2">
        <f>COUNTIFS(Crowdfunding!$D:$D, "&lt;=999", Crowdfunding!$G:$G, "Successful")</f>
        <v>30</v>
      </c>
      <c r="C2">
        <f>COUNTIFS(Crowdfunding!$D:$D, "&lt;=999", Crowdfunding!$G:$G, "failed")</f>
        <v>20</v>
      </c>
      <c r="D2">
        <f>COUNTIFS(Crowdfunding!$D:$D, "&lt;=999", Crowdfunding!$G:$G, "canceled")</f>
        <v>1</v>
      </c>
      <c r="E2">
        <f>SUM(B2:D2)</f>
        <v>51</v>
      </c>
      <c r="F2" s="10">
        <f>ROUND((B2/$E2*100),0)</f>
        <v>59</v>
      </c>
      <c r="G2" s="10">
        <f t="shared" ref="G2:H13" si="0">ROUND((C2/$E2*100),0)</f>
        <v>39</v>
      </c>
      <c r="H2" s="10">
        <f t="shared" si="0"/>
        <v>2</v>
      </c>
    </row>
    <row r="3" spans="1:9" x14ac:dyDescent="0.3">
      <c r="A3" t="s">
        <v>2095</v>
      </c>
      <c r="B3">
        <f>COUNTIFS(Crowdfunding!$D:$D, "&gt;=1000", Crowdfunding!$D:$D, "&lt;=4999", Crowdfunding!$G:$G, "Successful")</f>
        <v>191</v>
      </c>
      <c r="C3">
        <f>COUNTIFS(Crowdfunding!$D:$D, "&gt;=1000", Crowdfunding!$D:$D, "&lt;=4999", Crowdfunding!$G:$G, "failed")</f>
        <v>38</v>
      </c>
      <c r="D3">
        <f>COUNTIFS(Crowdfunding!$D:$D, "&gt;=1000", Crowdfunding!$D:$D, "&lt;=4999", Crowdfunding!$G:$G, "canceled")</f>
        <v>2</v>
      </c>
      <c r="E3">
        <f t="shared" ref="E3:E13" si="1">SUM(B3:D3)</f>
        <v>231</v>
      </c>
      <c r="F3" s="10">
        <f t="shared" ref="F3:F13" si="2">ROUND((B3/$E3*100),0)</f>
        <v>83</v>
      </c>
      <c r="G3" s="10">
        <f t="shared" si="0"/>
        <v>16</v>
      </c>
      <c r="H3" s="10">
        <f t="shared" si="0"/>
        <v>1</v>
      </c>
    </row>
    <row r="4" spans="1:9" x14ac:dyDescent="0.3">
      <c r="A4" t="s">
        <v>2097</v>
      </c>
      <c r="B4">
        <f>COUNTIFS(Crowdfunding!$D:$D, "&gt;=5000", Crowdfunding!$D:$D, "&lt;=9999", Crowdfunding!$G:$G, "Successful")</f>
        <v>164</v>
      </c>
      <c r="C4">
        <f>COUNTIFS(Crowdfunding!$D:$D, "&gt;=5000", Crowdfunding!$D:$D, "&lt;=9999", Crowdfunding!$G:$G, "failed")</f>
        <v>126</v>
      </c>
      <c r="D4">
        <f>COUNTIFS(Crowdfunding!$D:$D, "&gt;=5000", Crowdfunding!$D:$D, "&lt;=9999", Crowdfunding!$G:$G, "canceled")</f>
        <v>25</v>
      </c>
      <c r="E4">
        <f t="shared" si="1"/>
        <v>315</v>
      </c>
      <c r="F4" s="10">
        <f t="shared" si="2"/>
        <v>52</v>
      </c>
      <c r="G4" s="10">
        <f t="shared" si="0"/>
        <v>40</v>
      </c>
      <c r="H4" s="10">
        <f t="shared" si="0"/>
        <v>8</v>
      </c>
    </row>
    <row r="5" spans="1:9" x14ac:dyDescent="0.3">
      <c r="A5" t="s">
        <v>2096</v>
      </c>
      <c r="B5">
        <f>COUNTIFS(Crowdfunding!$D:$D, "&gt;=10000", Crowdfunding!$D:$D, "&lt;=14999", Crowdfunding!$G:$G, "Successful")</f>
        <v>4</v>
      </c>
      <c r="C5">
        <f>COUNTIFS(Crowdfunding!$D:$D, "&gt;=10000", Crowdfunding!$D:$D, "&lt;=19999", Crowdfunding!$G:$G, "failed")</f>
        <v>5</v>
      </c>
      <c r="D5">
        <f>COUNTIFS(Crowdfunding!$D:$D, "&gt;=10000", Crowdfunding!$D:$D, "&lt;=19999", Crowdfunding!$G:$G, "canceled")</f>
        <v>0</v>
      </c>
      <c r="E5">
        <f t="shared" si="1"/>
        <v>9</v>
      </c>
      <c r="F5" s="10">
        <f t="shared" si="2"/>
        <v>44</v>
      </c>
      <c r="G5" s="10">
        <f t="shared" si="0"/>
        <v>56</v>
      </c>
      <c r="H5" s="10">
        <f t="shared" si="0"/>
        <v>0</v>
      </c>
    </row>
    <row r="6" spans="1:9" x14ac:dyDescent="0.3">
      <c r="A6" t="s">
        <v>2098</v>
      </c>
      <c r="B6">
        <f>COUNTIFS(Crowdfunding!$D:$D, "&gt;=15000", Crowdfunding!$D:$D, "&lt;=19999", Crowdfunding!$G:$G, "Successful")</f>
        <v>10</v>
      </c>
      <c r="C6">
        <f>COUNTIFS(Crowdfunding!$D:$D, "&gt;=15000", Crowdfunding!$D:$D, "&lt;=19999", Crowdfunding!$G:$G, "failed")</f>
        <v>0</v>
      </c>
      <c r="D6">
        <f>COUNTIFS(Crowdfunding!$D:$D, "&gt;=15000", Crowdfunding!$D:$D, "&lt;=19999", Crowdfunding!$G:$G, "canceled")</f>
        <v>0</v>
      </c>
      <c r="E6">
        <f t="shared" si="1"/>
        <v>10</v>
      </c>
      <c r="F6" s="10">
        <f t="shared" si="2"/>
        <v>100</v>
      </c>
      <c r="G6" s="10">
        <f t="shared" si="0"/>
        <v>0</v>
      </c>
      <c r="H6" s="10">
        <f t="shared" si="0"/>
        <v>0</v>
      </c>
    </row>
    <row r="7" spans="1:9" x14ac:dyDescent="0.3">
      <c r="A7" t="s">
        <v>2099</v>
      </c>
      <c r="B7">
        <f>COUNTIFS(Crowdfunding!$D:$D, "&gt;=20000", Crowdfunding!$D:$D, "&lt;=24999", Crowdfunding!$G:$G, "Successful")</f>
        <v>7</v>
      </c>
      <c r="C7">
        <f>COUNTIFS(Crowdfunding!$D:$D, "&gt;=20000", Crowdfunding!$D:$D, "&lt;=24999", Crowdfunding!$G:$G, "failed")</f>
        <v>0</v>
      </c>
      <c r="D7">
        <f>COUNTIFS(Crowdfunding!$D:$D, "&gt;=20000", Crowdfunding!$D:$D, "&lt;=24999", Crowdfunding!$G:$G, "canceled")</f>
        <v>0</v>
      </c>
      <c r="E7">
        <f t="shared" si="1"/>
        <v>7</v>
      </c>
      <c r="F7" s="10">
        <f t="shared" si="2"/>
        <v>100</v>
      </c>
      <c r="G7" s="10">
        <f t="shared" si="0"/>
        <v>0</v>
      </c>
      <c r="H7" s="10">
        <f t="shared" si="0"/>
        <v>0</v>
      </c>
    </row>
    <row r="8" spans="1:9" x14ac:dyDescent="0.3">
      <c r="A8" t="s">
        <v>2100</v>
      </c>
      <c r="B8">
        <f>COUNTIFS(Crowdfunding!$D:$D, "&gt;=25000", Crowdfunding!$D:$D, "&lt;=29999", Crowdfunding!$G:$G, "Successful")</f>
        <v>11</v>
      </c>
      <c r="C8">
        <f>COUNTIFS(Crowdfunding!$D:$D, "&gt;=25000", Crowdfunding!$D:$D, "&lt;=29999", Crowdfunding!$G:$G, "failed")</f>
        <v>3</v>
      </c>
      <c r="D8">
        <f>COUNTIFS(Crowdfunding!$D:$D, "&gt;=25000", Crowdfunding!$D:$D, "&lt;=29999", Crowdfunding!$G:$G, "canceled")</f>
        <v>0</v>
      </c>
      <c r="E8">
        <f t="shared" si="1"/>
        <v>14</v>
      </c>
      <c r="F8" s="10">
        <f t="shared" si="2"/>
        <v>79</v>
      </c>
      <c r="G8" s="10">
        <f t="shared" si="0"/>
        <v>21</v>
      </c>
      <c r="H8" s="10">
        <f t="shared" si="0"/>
        <v>0</v>
      </c>
    </row>
    <row r="9" spans="1:9" x14ac:dyDescent="0.3">
      <c r="A9" t="s">
        <v>2101</v>
      </c>
      <c r="B9">
        <f>COUNTIFS(Crowdfunding!$D:$D, "&gt;=30000", Crowdfunding!$D:$D, "&lt;=34999", Crowdfunding!$G:$G, "Successful")</f>
        <v>7</v>
      </c>
      <c r="C9">
        <f>COUNTIFS(Crowdfunding!$D:$D, "&gt;=30000", Crowdfunding!$D:$D, "&lt;=34999", Crowdfunding!$G:$G, "failed")</f>
        <v>0</v>
      </c>
      <c r="D9">
        <f>COUNTIFS(Crowdfunding!$D:$D, "&gt;=30000", Crowdfunding!$D:$D, "&lt;=34999", Crowdfunding!$G:$G, "canceled")</f>
        <v>0</v>
      </c>
      <c r="E9">
        <f t="shared" si="1"/>
        <v>7</v>
      </c>
      <c r="F9" s="10">
        <f t="shared" si="2"/>
        <v>100</v>
      </c>
      <c r="G9" s="10">
        <f t="shared" si="0"/>
        <v>0</v>
      </c>
      <c r="H9" s="10">
        <f t="shared" si="0"/>
        <v>0</v>
      </c>
    </row>
    <row r="10" spans="1:9" x14ac:dyDescent="0.3">
      <c r="A10" t="s">
        <v>2102</v>
      </c>
      <c r="B10">
        <f>COUNTIFS(Crowdfunding!$D:$D, "&gt;=35000", Crowdfunding!$D:$D, "&lt;=39999", Crowdfunding!$G:$G, "Successful")</f>
        <v>8</v>
      </c>
      <c r="C10">
        <f>COUNTIFS(Crowdfunding!$D:$D, "&gt;=35000", Crowdfunding!$D:$D, "&lt;=39999", Crowdfunding!$G:$G, "failed")</f>
        <v>3</v>
      </c>
      <c r="D10">
        <f>COUNTIFS(Crowdfunding!$D:$D, "&gt;=35000", Crowdfunding!$D:$D, "&lt;=39999", Crowdfunding!$G:$G, "canceled")</f>
        <v>1</v>
      </c>
      <c r="E10">
        <f t="shared" si="1"/>
        <v>12</v>
      </c>
      <c r="F10" s="10">
        <f t="shared" si="2"/>
        <v>67</v>
      </c>
      <c r="G10" s="10">
        <f t="shared" si="0"/>
        <v>25</v>
      </c>
      <c r="H10" s="10">
        <f t="shared" si="0"/>
        <v>8</v>
      </c>
    </row>
    <row r="11" spans="1:9" x14ac:dyDescent="0.3">
      <c r="A11" t="s">
        <v>2103</v>
      </c>
      <c r="B11">
        <f>COUNTIFS(Crowdfunding!$D:$D, "&gt;=40000", Crowdfunding!$D:$D, "&lt;=44999", Crowdfunding!$G:$G, "Successful")</f>
        <v>11</v>
      </c>
      <c r="C11">
        <f>COUNTIFS(Crowdfunding!$D:$D, "&gt;=40000", Crowdfunding!$D:$D, "&lt;=44999", Crowdfunding!$G:$G, "failed")</f>
        <v>3</v>
      </c>
      <c r="D11">
        <f>COUNTIFS(Crowdfunding!$D:$D, "&gt;=40000", Crowdfunding!$D:$D, "&lt;=44999", Crowdfunding!$G:$G, "canceled")</f>
        <v>0</v>
      </c>
      <c r="E11">
        <f t="shared" si="1"/>
        <v>14</v>
      </c>
      <c r="F11" s="10">
        <f t="shared" si="2"/>
        <v>79</v>
      </c>
      <c r="G11" s="10">
        <f t="shared" si="0"/>
        <v>21</v>
      </c>
      <c r="H11" s="10">
        <f t="shared" si="0"/>
        <v>0</v>
      </c>
    </row>
    <row r="12" spans="1:9" x14ac:dyDescent="0.3">
      <c r="A12" t="s">
        <v>2104</v>
      </c>
      <c r="B12">
        <f>COUNTIFS(Crowdfunding!$D:$D, "&gt;=45000", Crowdfunding!$D:$D, "&lt;=49999", Crowdfunding!$G:$G, "Successful")</f>
        <v>8</v>
      </c>
      <c r="C12">
        <f>COUNTIFS(Crowdfunding!$D:$D, "&gt;=45000", Crowdfunding!$D:$D, "&lt;=49999", Crowdfunding!$G:$G, "failed")</f>
        <v>3</v>
      </c>
      <c r="D12">
        <f>COUNTIFS(Crowdfunding!$D:$D, "&gt;=45000", Crowdfunding!$D:$D, "&lt;=49999", Crowdfunding!$G:$G, "canceled")</f>
        <v>0</v>
      </c>
      <c r="E12">
        <f t="shared" si="1"/>
        <v>11</v>
      </c>
      <c r="F12" s="10">
        <f t="shared" si="2"/>
        <v>73</v>
      </c>
      <c r="G12" s="10">
        <f t="shared" si="0"/>
        <v>27</v>
      </c>
      <c r="H12" s="10">
        <f t="shared" si="0"/>
        <v>0</v>
      </c>
    </row>
    <row r="13" spans="1:9" x14ac:dyDescent="0.3">
      <c r="A13" t="s">
        <v>2105</v>
      </c>
      <c r="B13">
        <f>COUNTIFS(Crowdfunding!$D:$D, "&gt;=50000", Crowdfunding!$G:$G, "Successful")</f>
        <v>114</v>
      </c>
      <c r="C13">
        <f>COUNTIFS(Crowdfunding!$D:$D, "&gt;=50000", Crowdfunding!$G:$G, "failed")</f>
        <v>163</v>
      </c>
      <c r="D13">
        <f>COUNTIFS(Crowdfunding!$D:$D, "&gt;=50000", Crowdfunding!$G:$G, "canceled")</f>
        <v>28</v>
      </c>
      <c r="E13">
        <f t="shared" si="1"/>
        <v>305</v>
      </c>
      <c r="F13" s="10">
        <f t="shared" si="2"/>
        <v>37</v>
      </c>
      <c r="G13" s="10">
        <f t="shared" si="0"/>
        <v>53</v>
      </c>
      <c r="H13" s="10">
        <f t="shared" si="0"/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1A90-3A14-4144-9E9B-DBBE1FFCB20A}">
  <sheetPr codeName="Sheet6"/>
  <dimension ref="A1:I566"/>
  <sheetViews>
    <sheetView topLeftCell="F1" workbookViewId="0">
      <selection activeCell="H6" sqref="H6"/>
    </sheetView>
  </sheetViews>
  <sheetFormatPr defaultRowHeight="15.6" x14ac:dyDescent="0.3"/>
  <cols>
    <col min="1" max="1" width="9.19921875" bestFit="1" customWidth="1"/>
    <col min="2" max="2" width="13.19921875" bestFit="1" customWidth="1"/>
    <col min="4" max="4" width="8.296875" bestFit="1" customWidth="1"/>
    <col min="5" max="5" width="13.19921875" bestFit="1" customWidth="1"/>
    <col min="7" max="7" width="42.8984375" bestFit="1" customWidth="1"/>
    <col min="8" max="8" width="18.296875" bestFit="1" customWidth="1"/>
    <col min="9" max="9" width="22.09765625" customWidth="1"/>
  </cols>
  <sheetData>
    <row r="1" spans="1:9" x14ac:dyDescent="0.3">
      <c r="A1" s="1" t="s">
        <v>4</v>
      </c>
      <c r="B1" s="1" t="s">
        <v>5</v>
      </c>
      <c r="D1" s="1" t="s">
        <v>4</v>
      </c>
      <c r="E1" s="1" t="s">
        <v>5</v>
      </c>
      <c r="G1" s="13" t="s">
        <v>2113</v>
      </c>
      <c r="H1" s="13" t="s">
        <v>2106</v>
      </c>
      <c r="I1" s="13" t="s">
        <v>2107</v>
      </c>
    </row>
    <row r="2" spans="1:9" x14ac:dyDescent="0.3">
      <c r="A2" t="s">
        <v>20</v>
      </c>
      <c r="B2">
        <v>158</v>
      </c>
      <c r="D2" t="s">
        <v>14</v>
      </c>
      <c r="E2">
        <v>0</v>
      </c>
      <c r="G2" s="14" t="s">
        <v>2109</v>
      </c>
      <c r="H2" s="15">
        <f>AVERAGE(B2:B566)</f>
        <v>851.14690265486729</v>
      </c>
      <c r="I2" s="15">
        <f>AVERAGE(E2:E365)</f>
        <v>585.61538461538464</v>
      </c>
    </row>
    <row r="3" spans="1:9" x14ac:dyDescent="0.3">
      <c r="A3" t="s">
        <v>20</v>
      </c>
      <c r="B3">
        <v>1425</v>
      </c>
      <c r="D3" t="s">
        <v>14</v>
      </c>
      <c r="E3">
        <v>24</v>
      </c>
      <c r="G3" s="14" t="s">
        <v>2110</v>
      </c>
      <c r="H3" s="15">
        <f>MEDIAN(B2:B566)</f>
        <v>201</v>
      </c>
      <c r="I3" s="15">
        <f>MEDIAN(E2:E365)</f>
        <v>114.5</v>
      </c>
    </row>
    <row r="4" spans="1:9" x14ac:dyDescent="0.3">
      <c r="A4" t="s">
        <v>20</v>
      </c>
      <c r="B4">
        <v>174</v>
      </c>
      <c r="D4" t="s">
        <v>14</v>
      </c>
      <c r="E4">
        <v>53</v>
      </c>
      <c r="G4" s="14" t="s">
        <v>2111</v>
      </c>
      <c r="H4" s="15">
        <f>MIN(B2:B566)</f>
        <v>16</v>
      </c>
      <c r="I4" s="15">
        <f>MIN(E2:E365)</f>
        <v>0</v>
      </c>
    </row>
    <row r="5" spans="1:9" x14ac:dyDescent="0.3">
      <c r="A5" t="s">
        <v>20</v>
      </c>
      <c r="B5">
        <v>227</v>
      </c>
      <c r="D5" t="s">
        <v>14</v>
      </c>
      <c r="E5">
        <v>18</v>
      </c>
      <c r="G5" s="14" t="s">
        <v>2112</v>
      </c>
      <c r="H5" s="15">
        <f>MAX(B2:B566)</f>
        <v>7295</v>
      </c>
      <c r="I5" s="15">
        <f>MAX(E2:E365)</f>
        <v>6080</v>
      </c>
    </row>
    <row r="6" spans="1:9" x14ac:dyDescent="0.3">
      <c r="A6" t="s">
        <v>20</v>
      </c>
      <c r="B6">
        <v>220</v>
      </c>
      <c r="D6" t="s">
        <v>14</v>
      </c>
      <c r="E6">
        <v>44</v>
      </c>
      <c r="G6" s="14" t="s">
        <v>2118</v>
      </c>
      <c r="H6" s="15">
        <f>_xlfn.VAR.P(B2:B566)</f>
        <v>1603373.7324019109</v>
      </c>
      <c r="I6" s="15">
        <f>_xlfn.VAR.P(E2:E365)</f>
        <v>921574.68174133555</v>
      </c>
    </row>
    <row r="7" spans="1:9" x14ac:dyDescent="0.3">
      <c r="A7" t="s">
        <v>20</v>
      </c>
      <c r="B7">
        <v>98</v>
      </c>
      <c r="D7" t="s">
        <v>14</v>
      </c>
      <c r="E7">
        <v>27</v>
      </c>
      <c r="G7" s="14" t="s">
        <v>2119</v>
      </c>
      <c r="H7" s="15">
        <f>_xlfn.STDEV.P(B3:B567)</f>
        <v>1267.0292880850659</v>
      </c>
      <c r="I7" s="15">
        <f>_xlfn.STDEV.P(E2:E365)</f>
        <v>959.98681331637863</v>
      </c>
    </row>
    <row r="8" spans="1:9" x14ac:dyDescent="0.3">
      <c r="A8" t="s">
        <v>20</v>
      </c>
      <c r="B8">
        <v>100</v>
      </c>
      <c r="D8" t="s">
        <v>14</v>
      </c>
      <c r="E8">
        <v>55</v>
      </c>
      <c r="G8" s="14" t="s">
        <v>2114</v>
      </c>
      <c r="H8" s="15">
        <f>(16-H2)/H7</f>
        <v>-0.65913780408112965</v>
      </c>
      <c r="I8" s="15">
        <f>(18-I2)/I7</f>
        <v>-0.59127414745885487</v>
      </c>
    </row>
    <row r="9" spans="1:9" x14ac:dyDescent="0.3">
      <c r="A9" t="s">
        <v>20</v>
      </c>
      <c r="B9">
        <v>1249</v>
      </c>
      <c r="D9" t="s">
        <v>14</v>
      </c>
      <c r="E9">
        <v>200</v>
      </c>
      <c r="G9" s="14" t="s">
        <v>2115</v>
      </c>
      <c r="H9" s="16">
        <f>_xlfn.QUARTILE.EXC(B2:B566,1)</f>
        <v>127.5</v>
      </c>
      <c r="I9" s="15">
        <f>_xlfn.QUARTILE.EXC(E2:E365,1)</f>
        <v>38</v>
      </c>
    </row>
    <row r="10" spans="1:9" x14ac:dyDescent="0.3">
      <c r="A10" t="s">
        <v>20</v>
      </c>
      <c r="B10">
        <v>1396</v>
      </c>
      <c r="D10" t="s">
        <v>14</v>
      </c>
      <c r="E10">
        <v>452</v>
      </c>
      <c r="G10" s="14" t="s">
        <v>2116</v>
      </c>
      <c r="H10" s="15">
        <f>_xlfn.QUARTILE.EXC(B3:B567,2)</f>
        <v>201.5</v>
      </c>
      <c r="I10" s="15">
        <f>_xlfn.QUARTILE.EXC(E2:E365,2)</f>
        <v>114.5</v>
      </c>
    </row>
    <row r="11" spans="1:9" x14ac:dyDescent="0.3">
      <c r="A11" t="s">
        <v>20</v>
      </c>
      <c r="B11">
        <v>890</v>
      </c>
      <c r="D11" t="s">
        <v>14</v>
      </c>
      <c r="E11">
        <v>674</v>
      </c>
      <c r="G11" s="14" t="s">
        <v>2117</v>
      </c>
      <c r="H11" s="15">
        <f>_xlfn.QUARTILE.EXC(B4:B568,3)</f>
        <v>1280</v>
      </c>
      <c r="I11" s="15">
        <f>_xlfn.QUARTILE.EXC(E3:E366,3)</f>
        <v>792</v>
      </c>
    </row>
    <row r="12" spans="1:9" x14ac:dyDescent="0.3">
      <c r="A12" t="s">
        <v>20</v>
      </c>
      <c r="B12">
        <v>142</v>
      </c>
      <c r="D12" t="s">
        <v>14</v>
      </c>
      <c r="E12">
        <v>558</v>
      </c>
      <c r="G12" s="14" t="s">
        <v>2120</v>
      </c>
      <c r="H12" s="15">
        <v>1152.5</v>
      </c>
      <c r="I12" s="15">
        <v>754</v>
      </c>
    </row>
    <row r="13" spans="1:9" x14ac:dyDescent="0.3">
      <c r="A13" t="s">
        <v>20</v>
      </c>
      <c r="B13">
        <v>2673</v>
      </c>
      <c r="D13" t="s">
        <v>14</v>
      </c>
      <c r="E13">
        <v>15</v>
      </c>
      <c r="G13" s="14" t="s">
        <v>2121</v>
      </c>
      <c r="H13" s="15">
        <f>127.5-(1.5*1152.5)</f>
        <v>-1601.25</v>
      </c>
      <c r="I13" s="15">
        <f>792+(1.5*754)</f>
        <v>1923</v>
      </c>
    </row>
    <row r="14" spans="1:9" x14ac:dyDescent="0.3">
      <c r="A14" t="s">
        <v>20</v>
      </c>
      <c r="B14">
        <v>163</v>
      </c>
      <c r="D14" t="s">
        <v>14</v>
      </c>
      <c r="E14">
        <v>2307</v>
      </c>
    </row>
    <row r="15" spans="1:9" x14ac:dyDescent="0.3">
      <c r="A15" t="s">
        <v>20</v>
      </c>
      <c r="B15">
        <v>2220</v>
      </c>
      <c r="D15" t="s">
        <v>14</v>
      </c>
      <c r="E15">
        <v>88</v>
      </c>
    </row>
    <row r="16" spans="1:9" x14ac:dyDescent="0.3">
      <c r="A16" t="s">
        <v>20</v>
      </c>
      <c r="B16">
        <v>1606</v>
      </c>
      <c r="D16" t="s">
        <v>14</v>
      </c>
      <c r="E16">
        <v>48</v>
      </c>
      <c r="H16" s="11"/>
    </row>
    <row r="17" spans="1:8" x14ac:dyDescent="0.3">
      <c r="A17" t="s">
        <v>20</v>
      </c>
      <c r="B17">
        <v>129</v>
      </c>
      <c r="D17" t="s">
        <v>14</v>
      </c>
      <c r="E17">
        <v>1</v>
      </c>
      <c r="H17" s="11"/>
    </row>
    <row r="18" spans="1:8" x14ac:dyDescent="0.3">
      <c r="A18" t="s">
        <v>20</v>
      </c>
      <c r="B18">
        <v>226</v>
      </c>
      <c r="D18" t="s">
        <v>14</v>
      </c>
      <c r="E18">
        <v>1467</v>
      </c>
      <c r="H18" s="11"/>
    </row>
    <row r="19" spans="1:8" x14ac:dyDescent="0.3">
      <c r="A19" t="s">
        <v>20</v>
      </c>
      <c r="B19">
        <v>5419</v>
      </c>
      <c r="D19" t="s">
        <v>14</v>
      </c>
      <c r="E19">
        <v>75</v>
      </c>
      <c r="H19" s="11"/>
    </row>
    <row r="20" spans="1:8" x14ac:dyDescent="0.3">
      <c r="A20" t="s">
        <v>20</v>
      </c>
      <c r="B20">
        <v>165</v>
      </c>
      <c r="D20" t="s">
        <v>14</v>
      </c>
      <c r="E20">
        <v>120</v>
      </c>
      <c r="H20" s="11"/>
    </row>
    <row r="21" spans="1:8" x14ac:dyDescent="0.3">
      <c r="A21" t="s">
        <v>20</v>
      </c>
      <c r="B21">
        <v>1965</v>
      </c>
      <c r="D21" t="s">
        <v>14</v>
      </c>
      <c r="E21">
        <v>2253</v>
      </c>
      <c r="H21" s="11"/>
    </row>
    <row r="22" spans="1:8" x14ac:dyDescent="0.3">
      <c r="A22" t="s">
        <v>20</v>
      </c>
      <c r="B22">
        <v>16</v>
      </c>
      <c r="D22" t="s">
        <v>14</v>
      </c>
      <c r="E22">
        <v>5</v>
      </c>
    </row>
    <row r="23" spans="1:8" x14ac:dyDescent="0.3">
      <c r="A23" t="s">
        <v>20</v>
      </c>
      <c r="B23">
        <v>107</v>
      </c>
      <c r="D23" t="s">
        <v>14</v>
      </c>
      <c r="E23">
        <v>38</v>
      </c>
    </row>
    <row r="24" spans="1:8" x14ac:dyDescent="0.3">
      <c r="A24" t="s">
        <v>20</v>
      </c>
      <c r="B24">
        <v>134</v>
      </c>
      <c r="D24" t="s">
        <v>14</v>
      </c>
      <c r="E24">
        <v>12</v>
      </c>
    </row>
    <row r="25" spans="1:8" x14ac:dyDescent="0.3">
      <c r="A25" t="s">
        <v>20</v>
      </c>
      <c r="B25">
        <v>198</v>
      </c>
      <c r="D25" t="s">
        <v>14</v>
      </c>
      <c r="E25">
        <v>1684</v>
      </c>
    </row>
    <row r="26" spans="1:8" x14ac:dyDescent="0.3">
      <c r="A26" t="s">
        <v>20</v>
      </c>
      <c r="B26">
        <v>111</v>
      </c>
      <c r="D26" t="s">
        <v>14</v>
      </c>
      <c r="E26">
        <v>56</v>
      </c>
    </row>
    <row r="27" spans="1:8" x14ac:dyDescent="0.3">
      <c r="A27" t="s">
        <v>20</v>
      </c>
      <c r="B27">
        <v>222</v>
      </c>
      <c r="D27" t="s">
        <v>14</v>
      </c>
      <c r="E27">
        <v>838</v>
      </c>
    </row>
    <row r="28" spans="1:8" x14ac:dyDescent="0.3">
      <c r="A28" t="s">
        <v>20</v>
      </c>
      <c r="B28">
        <v>6212</v>
      </c>
      <c r="D28" t="s">
        <v>14</v>
      </c>
      <c r="E28">
        <v>1000</v>
      </c>
    </row>
    <row r="29" spans="1:8" x14ac:dyDescent="0.3">
      <c r="A29" t="s">
        <v>20</v>
      </c>
      <c r="B29">
        <v>98</v>
      </c>
      <c r="D29" t="s">
        <v>14</v>
      </c>
      <c r="E29">
        <v>1482</v>
      </c>
    </row>
    <row r="30" spans="1:8" x14ac:dyDescent="0.3">
      <c r="A30" t="s">
        <v>20</v>
      </c>
      <c r="B30">
        <v>92</v>
      </c>
      <c r="D30" t="s">
        <v>14</v>
      </c>
      <c r="E30">
        <v>106</v>
      </c>
    </row>
    <row r="31" spans="1:8" x14ac:dyDescent="0.3">
      <c r="A31" t="s">
        <v>20</v>
      </c>
      <c r="B31">
        <v>149</v>
      </c>
      <c r="D31" t="s">
        <v>14</v>
      </c>
      <c r="E31">
        <v>679</v>
      </c>
    </row>
    <row r="32" spans="1:8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phoneticPr fontId="19" type="noConversion"/>
  <conditionalFormatting sqref="A1:A566">
    <cfRule type="containsText" dxfId="15" priority="5" operator="containsText" text="canceled">
      <formula>NOT(ISERROR(SEARCH("canceled",A1)))</formula>
    </cfRule>
    <cfRule type="containsText" dxfId="14" priority="6" operator="containsText" text="live">
      <formula>NOT(ISERROR(SEARCH("live",A1)))</formula>
    </cfRule>
    <cfRule type="containsText" dxfId="13" priority="7" operator="containsText" text="successful">
      <formula>NOT(ISERROR(SEARCH("successful",A1)))</formula>
    </cfRule>
    <cfRule type="containsText" dxfId="12" priority="8" operator="containsText" text="failed">
      <formula>NOT(ISERROR(SEARCH("failed",A1)))</formula>
    </cfRule>
  </conditionalFormatting>
  <conditionalFormatting sqref="D1:D365">
    <cfRule type="containsText" dxfId="11" priority="1" operator="containsText" text="canceled">
      <formula>NOT(ISERROR(SEARCH("canceled",D1)))</formula>
    </cfRule>
    <cfRule type="containsText" dxfId="10" priority="2" operator="containsText" text="live">
      <formula>NOT(ISERROR(SEARCH("live",D1)))</formula>
    </cfRule>
    <cfRule type="containsText" dxfId="9" priority="3" operator="containsText" text="successful">
      <formula>NOT(ISERROR(SEARCH("successful",D1)))</formula>
    </cfRule>
    <cfRule type="containsText" dxfId="8" priority="4" operator="containsText" text="failed">
      <formula>NOT(ISERROR(SEARCH("failed",D1)))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SubCategory Stats</vt:lpstr>
      <vt:lpstr>LaunchDateOutcomes</vt:lpstr>
      <vt:lpstr>GoalOutcomes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Allister Rebello</cp:lastModifiedBy>
  <dcterms:created xsi:type="dcterms:W3CDTF">2021-09-29T18:52:28Z</dcterms:created>
  <dcterms:modified xsi:type="dcterms:W3CDTF">2023-11-03T02:10:24Z</dcterms:modified>
</cp:coreProperties>
</file>