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uillaumeMEUNIER\Documents\9 - Outils\Calcul seuils\"/>
    </mc:Choice>
  </mc:AlternateContent>
  <xr:revisionPtr revIDLastSave="0" documentId="13_ncr:1_{67D06105-39DC-4FFC-8E72-388B76680B59}" xr6:coauthVersionLast="47" xr6:coauthVersionMax="47" xr10:uidLastSave="{00000000-0000-0000-0000-000000000000}"/>
  <bookViews>
    <workbookView xWindow="-110" yWindow="-110" windowWidth="22780" windowHeight="15260" tabRatio="761" xr2:uid="{49C4D72D-EE3A-44E4-A4C9-7B050BFFEE66}"/>
  </bookViews>
  <sheets>
    <sheet name="Info" sheetId="7" r:id="rId1"/>
    <sheet name="Input_resultats" sheetId="1" r:id="rId2"/>
    <sheet name="surélévations et extensions" sheetId="11" r:id="rId3"/>
    <sheet name="Calcul_dh" sheetId="8" r:id="rId4"/>
    <sheet name="Calcul_energie" sheetId="6" r:id="rId5"/>
    <sheet name="Calcul_bbio" sheetId="2" r:id="rId6"/>
    <sheet name="Calcul_matiere" sheetId="5" r:id="rId7"/>
    <sheet name="zone climatique" sheetId="3" r:id="rId8"/>
    <sheet name="Enumération" sheetId="9" r:id="rId9"/>
  </sheets>
  <definedNames>
    <definedName name="bbiomaxmoyen">Calcul_bbio!$E$4</definedName>
    <definedName name="categorie">Input_resultats!$E$22</definedName>
    <definedName name="cepmaxmoyen">Calcul_energie!$F$4</definedName>
    <definedName name="cepnrmaxmoyen">Calcul_energie!$E$4</definedName>
    <definedName name="classe_inertie">Input_resultats!$E$29</definedName>
    <definedName name="climatisé">Input_resultats!$E$23</definedName>
    <definedName name="decret2026">Input_resultats!$G$28</definedName>
    <definedName name="depotpc">Input_resultats!$E$15</definedName>
    <definedName name="depotPC_année">Enumération!$P$9</definedName>
    <definedName name="elevation">Input_resultats!$E$9</definedName>
    <definedName name="Enseignement_primaire_ou_secondaire">Enumération!$F$4:$F$5</definedName>
    <definedName name="est_igh">Input_resultats!$E$25</definedName>
    <definedName name="Etablissements_de_santé">Enumération!$I$4:$I$5</definedName>
    <definedName name="expobruit">Input_resultats!$E$14</definedName>
    <definedName name="Hôtels">Enumération!$G$4:$G$7</definedName>
    <definedName name="HSPmoy">Input_resultats!$E$27</definedName>
    <definedName name="icconstructionmaxmoyen">Calcul_matiere!$E$3</definedName>
    <definedName name="icded">Input_resultats!$E$19</definedName>
    <definedName name="icenergie">Calcul_energie!$L$4</definedName>
    <definedName name="iclot1">Input_resultats!$E$16</definedName>
    <definedName name="iclot13">Input_resultats!$E$18</definedName>
    <definedName name="iclot2">Input_resultats!$E$17</definedName>
    <definedName name="ID_usage">Enumération!$H$10</definedName>
    <definedName name="Industries_ou_artisanats">Enumération!$J$4:$J$5</definedName>
    <definedName name="mbbruit">Calcul_bbio!$E$61</definedName>
    <definedName name="mbcombles">Calcul_bbio!$E$46</definedName>
    <definedName name="mbgeo">Calcul_bbio!$E$34</definedName>
    <definedName name="mbhsp">Calcul_bbio!$E$94</definedName>
    <definedName name="mbsurfmoy">Calcul_bbio!$E$48</definedName>
    <definedName name="mbsurtot">Calcul_bbio!$E$54</definedName>
    <definedName name="mccat">Calcul_energie!$E$99</definedName>
    <definedName name="mccombles">Calcul_energie!$E$79</definedName>
    <definedName name="mcgeo">Calcul_energie!$E$63</definedName>
    <definedName name="mchsp">Calcul_energie!$E$111</definedName>
    <definedName name="mcsurfmoy">Calcul_energie!$E$81</definedName>
    <definedName name="mcsurftot">Calcul_energie!$E$87</definedName>
    <definedName name="miagrément">Calcul_matiere!$E$75</definedName>
    <definedName name="miclimrcu">Calcul_matiere!$E$88</definedName>
    <definedName name="micombles">Calcul_matiere!$E$37</definedName>
    <definedName name="mided">Calcul_matiere!$E$66</definedName>
    <definedName name="migeo">Calcul_matiere!$E$25</definedName>
    <definedName name="mihsp">Calcul_matiere!$E$81</definedName>
    <definedName name="miinfra">Calcul_matiere!$E$52</definedName>
    <definedName name="mipv">Calcul_matiere!$E$62</definedName>
    <definedName name="misurfmoy">Calcul_matiere!$E$39</definedName>
    <definedName name="misurftot">Calcul_matiere!$E$45</definedName>
    <definedName name="mivrd">Calcul_matiere!$E$57</definedName>
    <definedName name="NL">Input_resultats!$E$12</definedName>
    <definedName name="rcu">Input_resultats!$E$20</definedName>
    <definedName name="rcu_classe">Input_resultats!$E$21</definedName>
    <definedName name="Restaurants">Enumération!$H$4:$H$7</definedName>
    <definedName name="Restaurants_scolaires">Enumération!$K$4:$K$5</definedName>
    <definedName name="s_existant">'surélévations et extensions'!$E$8</definedName>
    <definedName name="Sagrément">Input_resultats!$E$26</definedName>
    <definedName name="scombles">Input_resultats!$E$11</definedName>
    <definedName name="seuilded">Calcul_matiere!$F$66</definedName>
    <definedName name="smoylgt">Input_resultats!$E$13</definedName>
    <definedName name="sref">Input_resultats!$E$10</definedName>
    <definedName name="sref_ext">'surélévations et extensions'!$E$7</definedName>
    <definedName name="typo_travaux">'surélévations et extensions'!$E$5</definedName>
    <definedName name="usage">Input_resultats!$E$4</definedName>
    <definedName name="usage_detaillé">Calcul_energie!$D$5</definedName>
    <definedName name="usage_secondaire">Input_resultats!$E$5</definedName>
    <definedName name="usage_surelev">'surélévations et extensions'!$E$4</definedName>
    <definedName name="zoneclim">Input_resultats!$E$8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tc={8D1C90AD-CF3D-457C-8189-4BAF5D0B9B94}</author>
    <author>tc={8BD0B9C4-0B55-48D0-BD83-25D12CBA3A55}</author>
    <author>tc={913DBE6D-4418-47B0-B0B2-39EA67A6FFC9}</author>
    <author>tc={0E1499E1-9076-4F23-8256-BB4620EFE136}</author>
    <author>tc={0CF281A2-E3C2-4F12-B35C-51875AE5025B}</author>
    <author>tc={C4EA2A1C-4683-49BE-8FE5-C733E7E0581D}</author>
  </authors>
  <commentList>
    <comment ref="C11" authorId="0" shapeId="0" xr:uid="{8D1C90AD-CF3D-457C-8189-4BAF5D0B9B9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Scombles représente la surface de plancher des combles aménagés dont la hauteur sous plafond est inférieure à 1,8 mètres.</t>
      </text>
    </comment>
    <comment ref="C13" authorId="1" shapeId="0" xr:uid="{8BD0B9C4-0B55-48D0-BD83-25D12CBA3A5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surface moyenne des logements du bâtiment ou de la partie de bâtiment, notée Smoylgt, est calculée de la manière suivante :
Smoylgt = Sref/ NL
avec NL représentant le nombre de logements du bâtiment ou de la partie de bâtiment et Sref étant la surface de référence.</t>
      </text>
    </comment>
    <comment ref="C16" authorId="2" shapeId="0" xr:uid="{913DBE6D-4418-47B0-B0B2-39EA67A6FFC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𝐼𝑐𝑙𝑜𝑡1 représente l’impact sur le changement climatique du lot 1 du bâtiment ou de la partie de bâtiment. Le lot 1 intitulé « VRD – Voiries et réseaux divers » se composent des réseaux extérieurs jusqu’au domaine public (gaz, électricité, eau, télécommunication…), du stockage (système d’assainissement autonome, éléments pour le pompage d’eau) et des aires de stationnement extérieures.</t>
      </text>
    </comment>
    <comment ref="C17" authorId="3" shapeId="0" xr:uid="{0E1499E1-9076-4F23-8256-BB4620EFE13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Où 𝐼𝑐𝑙𝑜𝑡2 représente l’impact sur le changement climatique du lot 2 du bâtiment ou de la partie
de bâtiment. Le lot 2 intitulé « fondations et infrastructure » se compose des fondations, des
murs et structures enterrées et des parcs de stationnement en superstructure à l’exception des
garages des maisons individuelles ou accolées.</t>
      </text>
    </comment>
    <comment ref="C18" authorId="4" shapeId="0" xr:uid="{0CF281A2-E3C2-4F12-B35C-51875AE5025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𝐼𝑐𝑙𝑜𝑡13 représente l’impact sur le changement climatique du lot 13 du bâtiment ou de la partie de bâtiment. Le lot 13 intitulé “Équipement de production locale d'électricité” se compose des installations associées au bâtiment, dédiées à la production d’électricité (panneaux, onduleurs, étanchéité, …).</t>
      </text>
    </comment>
    <comment ref="C19" authorId="5" shapeId="0" xr:uid="{C4EA2A1C-4683-49BE-8FE5-C733E7E0581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Icded représente l’impact sur le changement climatique de l’ensemble des composants associés à des données environnementales par défaut ou à des valeurs forfaitaires dans l’évaluation de l’indicateur Icconstruction du bâtiment ou de la partie de bâtiment, à l’exception des composants des lots 1, 2 et 13 tels que définis précédemment.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<sst xmlns="http://schemas.openxmlformats.org/spreadsheetml/2006/main" count="1412" uniqueCount="498">
  <si>
    <t>Mb pour le BBIO</t>
  </si>
  <si>
    <t>Les coefficients de modulation du BBIO commencent tous par « Mb ». La formule du Bbio_max est :</t>
  </si>
  <si>
    <t>Bbio_maxmoyen : valeur de l’exigence Bbio_max pour un bâtiment moyen, dépendant de l’usage du bâtiment ou de la partie de bâtiment ;</t>
  </si>
  <si>
    <t>Mbgéo : coefficient de modulation selon la localisation géographique</t>
  </si>
  <si>
    <t>Mbcombles : coefficient de modulation selon la surface de plancher de combles aménagés du bâtiment ou de la partie de bâtiment, pour les maisons individuelles ;</t>
  </si>
  <si>
    <t>Mbsurf_moy : coefficient de modulation selon la surface moyenne des logements ;</t>
  </si>
  <si>
    <t>Mbsurf_tot : coefficient de modulation selon la surface de référence ;</t>
  </si>
  <si>
    <t>Mbbruit : coefficient de modulation selon l’exposition au bruit des infrastructures de transport à proximité du bâtiment.</t>
  </si>
  <si>
    <t>Mc pour l’énergie</t>
  </si>
  <si>
    <t>Les coefficients de modulation des Cep Cepnr et Icénergie commencent tous par « Mc ». Les formules sont :</t>
  </si>
  <si>
    <t>Cep,nr_maxmoyen, Cep_maxmoyen, Icénergie_maxmoyen : valeurs respectives de l’exigence pour un bâtiment moyen, dépendant de l’usage du bâtiment ou de la partie de bâtiment ;</t>
  </si>
  <si>
    <t>Mcgéo : coefficient de modulation selon la localisation géographique ;</t>
  </si>
  <si>
    <t>Mccombles : coefficient de modulation selon la surface de plancher de combles aménagés ;</t>
  </si>
  <si>
    <t>Mcsurf_moy : coefficient de modulation selon la surface moyenne des logements ;</t>
  </si>
  <si>
    <t>Mcsurf_tot : coefficient de modulation selon la surface de référence ;</t>
  </si>
  <si>
    <t>Mccat : coefficient de modulation selon la catégorie de contraintes extérieures.</t>
  </si>
  <si>
    <t>Mi pour l’Icconstruction</t>
  </si>
  <si>
    <t>Les coefficients de modulation de l’ICconstruction commencent tous par « Mi ». La formule du Icconstruction_max est :</t>
  </si>
  <si>
    <t>Icconstruction_maxmoyen : valeur de l’exigence Icconstruction_max pour un bâtiment moyen, dépendant de l’usage ;</t>
  </si>
  <si>
    <t>Micombles : coefficient de modulation selon la surface de plancher de combles aménagés pour les maisons individuelles ;</t>
  </si>
  <si>
    <t>Misurf_moy : coefficient de modulation selon la surface moyenne des logements ;</t>
  </si>
  <si>
    <t>Misurf_tot : coefficient de modulation selon la surface de référence</t>
  </si>
  <si>
    <t>Migéo : coefficient de modulation selon la localisation géographique ;</t>
  </si>
  <si>
    <t>Miinfra : coefficient de modulation selon l’impact des fondations, des espaces en sous-sol et des parcs de stationnement couverts ;</t>
  </si>
  <si>
    <t>Mivrd : coefficient de modulation selon l’impact de la voirie et des réseaux divers ;</t>
  </si>
  <si>
    <t>Mipv : coefficient de modulation selon l’impact de l’installation des panneaux photovoltaïques ;</t>
  </si>
  <si>
    <t>Mided : coefficient de modulation selon l’impact des données environnementales par défaut et valeurs forfaitaires.</t>
  </si>
  <si>
    <t>Bbio_max =</t>
  </si>
  <si>
    <t>Cep,nr_max =</t>
  </si>
  <si>
    <t xml:space="preserve">Cep_max = </t>
  </si>
  <si>
    <t>Icénergie_max =</t>
  </si>
  <si>
    <t>Icconstruction_max =</t>
  </si>
  <si>
    <t>Bureaux</t>
  </si>
  <si>
    <t>Bbiomaxmoyen</t>
  </si>
  <si>
    <t>H1a</t>
  </si>
  <si>
    <t>H1b</t>
  </si>
  <si>
    <t>H1c</t>
  </si>
  <si>
    <t>Régions</t>
  </si>
  <si>
    <t>H2d</t>
  </si>
  <si>
    <t>H3</t>
  </si>
  <si>
    <t>H2c</t>
  </si>
  <si>
    <t>H2b</t>
  </si>
  <si>
    <t>H2a</t>
  </si>
  <si>
    <t xml:space="preserve"> Auvergne-Rhône-Alpes</t>
  </si>
  <si>
    <t>Ain</t>
  </si>
  <si>
    <t xml:space="preserve"> Hauts-de-France</t>
  </si>
  <si>
    <t>Aisne</t>
  </si>
  <si>
    <t>Allier</t>
  </si>
  <si>
    <t xml:space="preserve"> Provence-Alpes-Côte d'Azur</t>
  </si>
  <si>
    <t>Alpes-de-Haute-Provence</t>
  </si>
  <si>
    <t>Hautes-Alpes</t>
  </si>
  <si>
    <t>Alpes-Maritimes</t>
  </si>
  <si>
    <t>Ardèche</t>
  </si>
  <si>
    <t xml:space="preserve"> Grand Est</t>
  </si>
  <si>
    <t>Ardennes</t>
  </si>
  <si>
    <t xml:space="preserve"> Occitanie</t>
  </si>
  <si>
    <t>Ariège</t>
  </si>
  <si>
    <t>Aube</t>
  </si>
  <si>
    <t>Aude</t>
  </si>
  <si>
    <t>Aveyron</t>
  </si>
  <si>
    <t>Bouches-du-Rhône</t>
  </si>
  <si>
    <t xml:space="preserve"> Normandy</t>
  </si>
  <si>
    <t>Calvados</t>
  </si>
  <si>
    <t>Cantal</t>
  </si>
  <si>
    <t xml:space="preserve"> Nouvelle-Aquitaine</t>
  </si>
  <si>
    <t>Charente</t>
  </si>
  <si>
    <t>Charente-Maritime</t>
  </si>
  <si>
    <t xml:space="preserve"> Centre-Val de Loire</t>
  </si>
  <si>
    <t>Cher</t>
  </si>
  <si>
    <t>Corrèze</t>
  </si>
  <si>
    <t>2A</t>
  </si>
  <si>
    <t>Corse-du-Sud</t>
  </si>
  <si>
    <t>2B</t>
  </si>
  <si>
    <t xml:space="preserve"> Bourgogne-Franche-Comté</t>
  </si>
  <si>
    <t>Côte-d'Or</t>
  </si>
  <si>
    <t>Côtes-d'Armor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</si>
  <si>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</si>
  <si>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</si>
  <si>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</si>
  <si>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</si>
  <si>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</si>
  <si>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</si>
  <si>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</si>
  <si>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</si>
  <si>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</si>
  <si>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</si>
  <si>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</si>
  <si>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</si>
  <si>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</si>
  <si>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</si>
  <si>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</si>
  <si>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</si>
  <si>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</si>
  <si>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</si>
  <si>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</si>
  <si>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</si>
  <si>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</si>
  <si>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 xml:space="preserve"> Pays de la 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</si>
  <si>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</si>
  <si>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</si>
  <si>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</si>
  <si>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</si>
  <si>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</si>
  <si>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</si>
  <si>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</si>
  <si>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</si>
  <si>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</si>
  <si>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</si>
  <si>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</si>
  <si>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</si>
  <si>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</si>
  <si>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</si>
  <si>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</si>
  <si>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</si>
  <si>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</si>
  <si>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</si>
  <si>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</si>
  <si>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</si>
  <si>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</si>
  <si>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</si>
  <si>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</si>
  <si>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</si>
  <si>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</si>
  <si>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</si>
  <si>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</si>
  <si>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</si>
  <si>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</si>
  <si>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</si>
  <si>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</si>
  <si>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 xml:space="preserve"> Île-de-France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</si>
  <si>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</si>
  <si>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</si>
  <si>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</si>
  <si>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</si>
  <si>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</si>
  <si>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</si>
  <si>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</si>
  <si>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</si>
  <si>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</si>
  <si>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</si>
  <si>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</si>
  <si>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</si>
  <si>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</si>
  <si>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</si>
  <si>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</si>
  <si>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</si>
  <si>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</si>
  <si>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</si>
  <si>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</si>
  <si>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</si>
  <si>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</si>
  <si>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numéro</t>
  </si>
  <si>
    <t>département</t>
  </si>
  <si>
    <t>Valeur</t>
  </si>
  <si>
    <t>Bretagne</t>
  </si>
  <si>
    <t>Corse</t>
  </si>
  <si>
    <t>Corse Haute-Corse</t>
  </si>
  <si>
    <t>nom</t>
  </si>
  <si>
    <t>n°</t>
  </si>
  <si>
    <t>-</t>
  </si>
  <si>
    <t>Zone climatique</t>
  </si>
  <si>
    <t>remplir</t>
  </si>
  <si>
    <t xml:space="preserve"> le bleu</t>
  </si>
  <si>
    <t>Mbcombles</t>
  </si>
  <si>
    <t>Mbgéo</t>
  </si>
  <si>
    <t>Mbsurf_moy</t>
  </si>
  <si>
    <t>[Sref]</t>
  </si>
  <si>
    <t>smoylgt&lt;100</t>
  </si>
  <si>
    <t>100&lt;S&lt;=150</t>
  </si>
  <si>
    <t>&gt;150</t>
  </si>
  <si>
    <t>Mbsurf_tot</t>
  </si>
  <si>
    <t>Mbbruit</t>
  </si>
  <si>
    <t>BR1</t>
  </si>
  <si>
    <t>BR2,BR3</t>
  </si>
  <si>
    <t>Mbsurf_Tot</t>
  </si>
  <si>
    <t>+</t>
  </si>
  <si>
    <t>)</t>
  </si>
  <si>
    <r>
      <t xml:space="preserve">Département </t>
    </r>
    <r>
      <rPr>
        <b/>
        <sz val="14"/>
        <color theme="1"/>
        <rFont val="Aptos Narrow"/>
        <family val="2"/>
        <scheme val="minor"/>
      </rPr>
      <t>→</t>
    </r>
  </si>
  <si>
    <r>
      <t xml:space="preserve">Surface de référence </t>
    </r>
    <r>
      <rPr>
        <b/>
        <sz val="14"/>
        <color theme="1"/>
        <rFont val="Aptos Narrow"/>
        <family val="2"/>
        <scheme val="minor"/>
      </rPr>
      <t>→</t>
    </r>
  </si>
  <si>
    <t>Mbgeo</t>
  </si>
  <si>
    <t>smoylgt&lt;80</t>
  </si>
  <si>
    <t>80&lt;S&lt;=120</t>
  </si>
  <si>
    <t>&gt;120</t>
  </si>
  <si>
    <t>Maison indiv</t>
  </si>
  <si>
    <t>Log collectf</t>
  </si>
  <si>
    <t>sref&lt;=1300</t>
  </si>
  <si>
    <t>sref&gt;1300</t>
  </si>
  <si>
    <t>sref&lt;=500</t>
  </si>
  <si>
    <t>500&lt;S&lt;=4000</t>
  </si>
  <si>
    <t>4000&lt;S&lt;=10000</t>
  </si>
  <si>
    <t>sref&gt;10000</t>
  </si>
  <si>
    <t>2022 à 2024</t>
  </si>
  <si>
    <t>2025 à 2027</t>
  </si>
  <si>
    <t>2028 et plus</t>
  </si>
  <si>
    <t>Cat 3</t>
  </si>
  <si>
    <t>500&lt;S&lt;=1000</t>
  </si>
  <si>
    <t>Sref&gt;1000</t>
  </si>
  <si>
    <r>
      <t xml:space="preserve">Typologie d'usage </t>
    </r>
    <r>
      <rPr>
        <b/>
        <sz val="14"/>
        <color theme="1"/>
        <rFont val="Aptos Narrow"/>
        <family val="2"/>
        <scheme val="minor"/>
      </rPr>
      <t>→</t>
    </r>
  </si>
  <si>
    <t>x ( 1 +</t>
  </si>
  <si>
    <t>Icconstruction_maxmoyen</t>
  </si>
  <si>
    <t>Micombles</t>
  </si>
  <si>
    <t>Misurf_moy</t>
  </si>
  <si>
    <t>Misurf_tot</t>
  </si>
  <si>
    <t>Migeo</t>
  </si>
  <si>
    <t>Miinfra</t>
  </si>
  <si>
    <t>Mivrd</t>
  </si>
  <si>
    <t>Mipv</t>
  </si>
  <si>
    <t>Mided</t>
  </si>
  <si>
    <t>2028 à 2030</t>
  </si>
  <si>
    <t>à partir de 2031</t>
  </si>
  <si>
    <r>
      <rPr>
        <sz val="11"/>
        <color theme="1"/>
        <rFont val="Aptos Narrow"/>
        <family val="2"/>
      </rPr>
      <t>↓</t>
    </r>
    <r>
      <rPr>
        <sz val="7.7"/>
        <color theme="1"/>
        <rFont val="Aptos Narrow"/>
        <family val="2"/>
      </rPr>
      <t xml:space="preserve"> date PC adaptée ↓</t>
    </r>
  </si>
  <si>
    <t>smoylgt&lt;=120</t>
  </si>
  <si>
    <t>smoylgt&gt;120</t>
  </si>
  <si>
    <t>Misurf_Tot</t>
  </si>
  <si>
    <r>
      <t xml:space="preserve">Exposition au bruit du bâtiment </t>
    </r>
    <r>
      <rPr>
        <b/>
        <sz val="14"/>
        <color theme="1"/>
        <rFont val="Aptos Narrow"/>
        <family val="2"/>
        <scheme val="minor"/>
      </rPr>
      <t>→</t>
    </r>
  </si>
  <si>
    <r>
      <t xml:space="preserve">Année de dépôt du PC </t>
    </r>
    <r>
      <rPr>
        <b/>
        <sz val="14"/>
        <color theme="1"/>
        <rFont val="Aptos Narrow"/>
        <family val="2"/>
        <scheme val="minor"/>
      </rPr>
      <t>→</t>
    </r>
  </si>
  <si>
    <r>
      <t>kgCO</t>
    </r>
    <r>
      <rPr>
        <vertAlign val="subscript"/>
        <sz val="11"/>
        <color theme="1"/>
        <rFont val="Aptos Narrow"/>
        <family val="2"/>
        <scheme val="minor"/>
      </rPr>
      <t>2</t>
    </r>
    <r>
      <rPr>
        <sz val="11"/>
        <color theme="1"/>
        <rFont val="Aptos Narrow"/>
        <family val="2"/>
        <scheme val="minor"/>
      </rPr>
      <t>e/m²</t>
    </r>
  </si>
  <si>
    <r>
      <t>[Ic</t>
    </r>
    <r>
      <rPr>
        <i/>
        <vertAlign val="subscript"/>
        <sz val="11"/>
        <color theme="0" tint="-0.34998626667073579"/>
        <rFont val="Aptos Narrow"/>
        <family val="2"/>
        <scheme val="minor"/>
      </rPr>
      <t>lot1</t>
    </r>
    <r>
      <rPr>
        <i/>
        <sz val="11"/>
        <color theme="0" tint="-0.34998626667073579"/>
        <rFont val="Aptos Narrow"/>
        <family val="2"/>
        <scheme val="minor"/>
      </rPr>
      <t>]</t>
    </r>
  </si>
  <si>
    <r>
      <t>[Ic</t>
    </r>
    <r>
      <rPr>
        <i/>
        <vertAlign val="subscript"/>
        <sz val="11"/>
        <color theme="0" tint="-0.34998626667073579"/>
        <rFont val="Aptos Narrow"/>
        <family val="2"/>
        <scheme val="minor"/>
      </rPr>
      <t>lot2</t>
    </r>
    <r>
      <rPr>
        <i/>
        <sz val="11"/>
        <color theme="0" tint="-0.34998626667073579"/>
        <rFont val="Aptos Narrow"/>
        <family val="2"/>
        <scheme val="minor"/>
      </rPr>
      <t>]</t>
    </r>
  </si>
  <si>
    <r>
      <t>[Ic</t>
    </r>
    <r>
      <rPr>
        <i/>
        <vertAlign val="subscript"/>
        <sz val="11"/>
        <color theme="0" tint="-0.34998626667073579"/>
        <rFont val="Aptos Narrow"/>
        <family val="2"/>
        <scheme val="minor"/>
      </rPr>
      <t>lot13</t>
    </r>
    <r>
      <rPr>
        <i/>
        <sz val="11"/>
        <color theme="0" tint="-0.34998626667073579"/>
        <rFont val="Aptos Narrow"/>
        <family val="2"/>
        <scheme val="minor"/>
      </rPr>
      <t>]</t>
    </r>
  </si>
  <si>
    <r>
      <t>[Ic</t>
    </r>
    <r>
      <rPr>
        <i/>
        <vertAlign val="subscript"/>
        <sz val="11"/>
        <color theme="0" tint="-0.34998626667073579"/>
        <rFont val="Aptos Narrow"/>
        <family val="2"/>
        <scheme val="minor"/>
      </rPr>
      <t>ded</t>
    </r>
    <r>
      <rPr>
        <i/>
        <sz val="11"/>
        <color theme="0" tint="-0.34998626667073579"/>
        <rFont val="Aptos Narrow"/>
        <family val="2"/>
        <scheme val="minor"/>
      </rPr>
      <t>]</t>
    </r>
  </si>
  <si>
    <r>
      <t xml:space="preserve">Impact lot photovoltaïque(13) </t>
    </r>
    <r>
      <rPr>
        <b/>
        <sz val="14"/>
        <color theme="1"/>
        <rFont val="Aptos Narrow"/>
        <family val="2"/>
        <scheme val="minor"/>
      </rPr>
      <t>→</t>
    </r>
  </si>
  <si>
    <r>
      <t xml:space="preserve">Impact lot fondation / infra (2) </t>
    </r>
    <r>
      <rPr>
        <b/>
        <sz val="14"/>
        <color theme="1"/>
        <rFont val="Aptos Narrow"/>
        <family val="2"/>
        <scheme val="minor"/>
      </rPr>
      <t>→</t>
    </r>
  </si>
  <si>
    <r>
      <t xml:space="preserve">Impact lot VRD (1) </t>
    </r>
    <r>
      <rPr>
        <b/>
        <sz val="14"/>
        <color theme="1"/>
        <rFont val="Aptos Narrow"/>
        <family val="2"/>
        <scheme val="minor"/>
      </rPr>
      <t>→</t>
    </r>
  </si>
  <si>
    <r>
      <t xml:space="preserve">Impact de toutes les DED et forfaits </t>
    </r>
    <r>
      <rPr>
        <b/>
        <sz val="14"/>
        <color theme="1"/>
        <rFont val="Aptos Narrow"/>
        <family val="2"/>
        <scheme val="minor"/>
      </rPr>
      <t>→</t>
    </r>
  </si>
  <si>
    <t>smoylgt&lt;=40</t>
  </si>
  <si>
    <t>smoylgt&gt;40</t>
  </si>
  <si>
    <t>1300&lt;sref&lt;4000</t>
  </si>
  <si>
    <t>sref&gt;=4000</t>
  </si>
  <si>
    <t>[sur 50 ans]</t>
  </si>
  <si>
    <t>sref&lt;=2500</t>
  </si>
  <si>
    <t>sref&gt;2500</t>
  </si>
  <si>
    <t>sref&lt;=10000</t>
  </si>
  <si>
    <t>LA colonne →</t>
  </si>
  <si>
    <r>
      <t xml:space="preserve">surface </t>
    </r>
    <r>
      <rPr>
        <sz val="9"/>
        <color theme="0" tint="-0.34998626667073579"/>
        <rFont val="Calibri"/>
        <family val="2"/>
      </rPr>
      <t>→</t>
    </r>
  </si>
  <si>
    <t>calcul →</t>
  </si>
  <si>
    <r>
      <t>↓</t>
    </r>
    <r>
      <rPr>
        <sz val="7.7"/>
        <color theme="0" tint="-0.34998626667073579"/>
        <rFont val="Arial"/>
        <family val="2"/>
      </rPr>
      <t xml:space="preserve"> date PC adaptée ↓</t>
    </r>
  </si>
  <si>
    <r>
      <t xml:space="preserve">date </t>
    </r>
    <r>
      <rPr>
        <sz val="9"/>
        <color theme="0" tint="-0.34998626667073579"/>
        <rFont val="Calibri"/>
        <family val="2"/>
      </rPr>
      <t>→</t>
    </r>
  </si>
  <si>
    <t>Mcgeo</t>
  </si>
  <si>
    <t>Mccombles</t>
  </si>
  <si>
    <t>Mcsurf_moy</t>
  </si>
  <si>
    <t>Mcsurf_Tot</t>
  </si>
  <si>
    <t>Mccat</t>
  </si>
  <si>
    <t>Cepnrmaxmoyen</t>
  </si>
  <si>
    <r>
      <t>↓</t>
    </r>
    <r>
      <rPr>
        <sz val="7.7"/>
        <color theme="1"/>
        <rFont val="Aptos Narrow"/>
        <family val="2"/>
      </rPr>
      <t xml:space="preserve"> usage adaptée ↓</t>
    </r>
  </si>
  <si>
    <t>Cepmaxmoyen</t>
  </si>
  <si>
    <t>à partir de 2028</t>
  </si>
  <si>
    <t>Icénergie</t>
  </si>
  <si>
    <t>Pour les bâtiments ou les parties de bâtiments raccordés à un réseau de distribution de chaleur et de froid classé en application de l’article L. 712-1 du code de l’énergie, lorsque la demande de permis de construire correspondante est déposée avant le 31 décembre 2027, le coefficient Icénergie_maxmoyen prend, en fonction de l’usage de la partie de bâtiment, les valeurs définies pour les parties de bâtiments raccordés à un réseau de distribution de chaleur et de froid faisant l'objet d'un permis de construire déposé au cours des années 2022 à 2024.</t>
  </si>
  <si>
    <t>Mcgéo</t>
  </si>
  <si>
    <t>Mcsurf_mo</t>
  </si>
  <si>
    <t xml:space="preserve">Mcsurf_tot </t>
  </si>
  <si>
    <t>Icénergie_maxmoyen</t>
  </si>
  <si>
    <t>Cep_maxmoyen</t>
  </si>
  <si>
    <t>Cep,nr_maxmoyen</t>
  </si>
  <si>
    <t>dans le chapitre V de https://www.legifrance.gouv.fr/codes/article_lc/LEGIARTI000045292850</t>
  </si>
  <si>
    <r>
      <t xml:space="preserve">Elevation  </t>
    </r>
    <r>
      <rPr>
        <b/>
        <sz val="14"/>
        <color theme="1"/>
        <rFont val="Aptos Narrow"/>
        <family val="2"/>
        <scheme val="minor"/>
      </rPr>
      <t>→</t>
    </r>
  </si>
  <si>
    <t>Bioclimatisme :</t>
  </si>
  <si>
    <t>Energie non renouvelable :</t>
  </si>
  <si>
    <t>Consommation d'énergie :</t>
  </si>
  <si>
    <t>Impact carbone de l'énergie :</t>
  </si>
  <si>
    <t>Impact carbone matière+chantier :</t>
  </si>
  <si>
    <t>Les informations nécessaires au calcul</t>
  </si>
  <si>
    <t>LES SEUILS OBLIGATOIRES</t>
  </si>
  <si>
    <r>
      <t xml:space="preserve">raccordement à un réseau de chaleur </t>
    </r>
    <r>
      <rPr>
        <b/>
        <sz val="14"/>
        <color theme="1"/>
        <rFont val="Aptos Narrow"/>
        <family val="2"/>
        <scheme val="minor"/>
      </rPr>
      <t>→</t>
    </r>
  </si>
  <si>
    <r>
      <t xml:space="preserve">catégorie de contraintes extérieures </t>
    </r>
    <r>
      <rPr>
        <b/>
        <sz val="14"/>
        <color theme="1"/>
        <rFont val="Aptos Narrow"/>
        <family val="2"/>
        <scheme val="minor"/>
      </rPr>
      <t>→</t>
    </r>
  </si>
  <si>
    <t>C'est parti</t>
  </si>
  <si>
    <t>Catégorie 1</t>
  </si>
  <si>
    <t>Catégorie 2</t>
  </si>
  <si>
    <t>(l'un ou l'autre)</t>
  </si>
  <si>
    <t>https://www.geoportail.gouv.fr/carte</t>
  </si>
  <si>
    <t>&lt;400m</t>
  </si>
  <si>
    <t>400m-800m</t>
  </si>
  <si>
    <t>&gt;800m</t>
  </si>
  <si>
    <t>40&lt;S&lt;=80</t>
  </si>
  <si>
    <t>500&lt;S&lt;=1500</t>
  </si>
  <si>
    <t>sref&gt;1500</t>
  </si>
  <si>
    <t>sref&gt;500</t>
  </si>
  <si>
    <t>Il est basé sur les textes de loi que l'on peut retrouver par ici</t>
  </si>
  <si>
    <t>La RE2020 impose 1 seuil pour chacun des 6 indicateurs.</t>
  </si>
  <si>
    <t>version 1.0 - première sortie - février 2025</t>
  </si>
  <si>
    <t>voir le Guide RE2020 du CEREMA page 48</t>
  </si>
  <si>
    <t>attention si vous choisissez un numéro c'est lui qui sera prépondérant dans la zone</t>
  </si>
  <si>
    <t>Mais ces seuils varient en fonction de différentes données comme par exemple la localisation du projet. Un bâtiment dans le  sud de la France n'a pas les même contraintes énergétique vu qu'il va moins consommer d'énergie pour se chauffer. Il est donc logique d'adapter les seuils.</t>
  </si>
  <si>
    <t>fichier excel partagé sous licence GNU General Public License (GPL), version 3</t>
  </si>
  <si>
    <t>version 1.01 - rajout d'une mention pour le réseau classé</t>
  </si>
  <si>
    <t>version 1.02 - erreur dans le Migeo et mi-surfmoy</t>
  </si>
  <si>
    <t>version 1.03 - micro correction du BBIO pour les bureaux</t>
  </si>
  <si>
    <t>DH_max =</t>
  </si>
  <si>
    <t>Smoylgt &lt;= 20 m²</t>
  </si>
  <si>
    <t>Smoylgt &gt; 60 m²</t>
  </si>
  <si>
    <t>Smoylgt=</t>
  </si>
  <si>
    <t>20 &lt; Smoylgt &lt;= 60</t>
  </si>
  <si>
    <t>Cat 1 sauf H2d H3</t>
  </si>
  <si>
    <t>Cat 2</t>
  </si>
  <si>
    <t>Cat 1 ET H2d et H3</t>
  </si>
  <si>
    <r>
      <t xml:space="preserve">catégorie </t>
    </r>
    <r>
      <rPr>
        <sz val="9"/>
        <color theme="0" tint="-0.34998626667073579"/>
        <rFont val="Calibri"/>
        <family val="2"/>
      </rPr>
      <t>→</t>
    </r>
  </si>
  <si>
    <r>
      <t xml:space="preserve">zone </t>
    </r>
    <r>
      <rPr>
        <sz val="9"/>
        <color theme="0" tint="-0.34998626667073579"/>
        <rFont val="Calibri"/>
        <family val="2"/>
      </rPr>
      <t>→</t>
    </r>
  </si>
  <si>
    <t>Zone=</t>
  </si>
  <si>
    <t>Dhmaxcat</t>
  </si>
  <si>
    <t>Cat 1 sauf clim H2d et H3</t>
  </si>
  <si>
    <t>Cat 1 climatisé H2d H3</t>
  </si>
  <si>
    <t>climatisé=</t>
  </si>
  <si>
    <r>
      <t xml:space="preserve">climatisé </t>
    </r>
    <r>
      <rPr>
        <sz val="9"/>
        <color theme="0" tint="-0.34998626667073579"/>
        <rFont val="Calibri"/>
        <family val="2"/>
      </rPr>
      <t>→</t>
    </r>
  </si>
  <si>
    <t>DH_maxcat</t>
  </si>
  <si>
    <t>Cat 1 climatisé en H2d H3</t>
  </si>
  <si>
    <t>Dhmaxcat effinergie</t>
  </si>
  <si>
    <t>EFFINERGIE BUREAU + SCOLAIRE</t>
  </si>
  <si>
    <t>Mdh_in</t>
  </si>
  <si>
    <t>Mdh_br</t>
  </si>
  <si>
    <t>Mdh_surf</t>
  </si>
  <si>
    <t>DM_max_label</t>
  </si>
  <si>
    <t>Très légère, légère ou moyenne</t>
  </si>
  <si>
    <t>Lourde ou très lourde</t>
  </si>
  <si>
    <r>
      <t xml:space="preserve">classe d'inertie (pour DH effinergie) </t>
    </r>
    <r>
      <rPr>
        <b/>
        <i/>
        <sz val="14"/>
        <color theme="1"/>
        <rFont val="Aptos Narrow"/>
        <family val="2"/>
        <scheme val="minor"/>
      </rPr>
      <t>→</t>
    </r>
  </si>
  <si>
    <t>Effinergie :</t>
  </si>
  <si>
    <t>Degrés-heures d'inconfort estival pour une partie de bâtiment</t>
  </si>
  <si>
    <t>(classe d’inertie définit suivant les règles Thbat)</t>
  </si>
  <si>
    <t>dans le chapitre V partie II de https://www.legifrance.gouv.fr/codes/article_lc/LEGIARTI000045292850</t>
  </si>
  <si>
    <t>version 1.1 - ajout du calcul du DH max (+effinergie)</t>
  </si>
  <si>
    <t>Cet outil permet de calculer les seuils des 6 indicateurs</t>
  </si>
  <si>
    <t>Usage</t>
  </si>
  <si>
    <t>Typologie précise</t>
  </si>
  <si>
    <t xml:space="preserve">Plage ic construction </t>
  </si>
  <si>
    <t>Plage ic energie</t>
  </si>
  <si>
    <t>Maisons_individuelles_ou_accolées</t>
  </si>
  <si>
    <t xml:space="preserve">Enseignement primaire </t>
  </si>
  <si>
    <t>0, 1 et 2 étoiles (partie nuit)</t>
  </si>
  <si>
    <t>en continu, 18 heures par jour, 7 jours sur 7</t>
  </si>
  <si>
    <t xml:space="preserve">partie nuit </t>
  </si>
  <si>
    <t>3x8h</t>
  </si>
  <si>
    <t>1 repas par jour, 5 jours sur 7</t>
  </si>
  <si>
    <t>Logement_collectif</t>
  </si>
  <si>
    <t>Enseignement secondaire</t>
  </si>
  <si>
    <t>3, 4 et 5 étoiles (partie nuit)</t>
  </si>
  <si>
    <t xml:space="preserve">partie jour </t>
  </si>
  <si>
    <t>8h à 18h</t>
  </si>
  <si>
    <t>3 repas par jour, 5 jours sur 7</t>
  </si>
  <si>
    <t>0, 1 et 2 étoiles (partie jour)</t>
  </si>
  <si>
    <t>2 repas par jour, 7 jours sur 7</t>
  </si>
  <si>
    <t>Enseignement_primaire_ou_secondaire</t>
  </si>
  <si>
    <t xml:space="preserve">Enseignement_primaire_ou_secondaire - Enseignement primaire </t>
  </si>
  <si>
    <t>3, 4 et 5 étoiles (partie jour)</t>
  </si>
  <si>
    <t>2 repas par jour, 6 jours sur 7</t>
  </si>
  <si>
    <t>Médiathèques_et_bibliothèques</t>
  </si>
  <si>
    <t>Enseignement_primaire_ou_secondaire - Enseignement secondaire</t>
  </si>
  <si>
    <t>Bâtiments_universitaires_d'enseignement_et_de_recherche_et_bâtiments_d’enseignements_atypiques</t>
  </si>
  <si>
    <t>Hôtels</t>
  </si>
  <si>
    <t>Etablissements_d'accueil_de_la_petite_enfance </t>
  </si>
  <si>
    <t>Hôtels - 0, 1 et 2 étoiles (partie nuit)</t>
  </si>
  <si>
    <t>Restaurants</t>
  </si>
  <si>
    <t>Hôtels - 3, 4 et 5 étoiles (partie nuit)</t>
  </si>
  <si>
    <t>Commerces</t>
  </si>
  <si>
    <t>Hôtels - 0, 1 et 2 étoiles (partie jour)</t>
  </si>
  <si>
    <t>Vestiaires seuls</t>
  </si>
  <si>
    <t>Hôtels - 3, 4 et 5 étoiles (partie jour)</t>
  </si>
  <si>
    <t>Etablissements_sanitaires_avec_hébergement</t>
  </si>
  <si>
    <t>Etablissements_de_santé</t>
  </si>
  <si>
    <t>Restaurants - en continu, 18 heures par jour, 7 jours sur 7</t>
  </si>
  <si>
    <t>Aérogares</t>
  </si>
  <si>
    <t>Restaurants - 1 repas par jour, 5 jours sur 7</t>
  </si>
  <si>
    <t>Industries_ou_artisanats</t>
  </si>
  <si>
    <t>Restaurants - 2 repas par jour, 7 jours sur 7</t>
  </si>
  <si>
    <t>Etablissements_sportifs_municipaux_ou_scolaires</t>
  </si>
  <si>
    <t>Restaurants - 2 repas par jour, 6 jours sur 7</t>
  </si>
  <si>
    <t>Restaurants_scolaires</t>
  </si>
  <si>
    <t>Etablissements_sportifs_privés</t>
  </si>
  <si>
    <t xml:space="preserve">Etablissements_de_santé - partie nuit </t>
  </si>
  <si>
    <t xml:space="preserve">Etablissements_de_santé - partie jour </t>
  </si>
  <si>
    <t>Industries_ou_artisanats - 3x8h</t>
  </si>
  <si>
    <t>Industries_ou_artisanats - 8h à 18h</t>
  </si>
  <si>
    <t>Restaurants_scolaires - 1 repas par jour, 5 jours sur 7</t>
  </si>
  <si>
    <t>Restaurants_scolaires - 3 repas par jour, 5 jours sur 7</t>
  </si>
  <si>
    <t>&lt;400</t>
  </si>
  <si>
    <t>sref&lt;=5000</t>
  </si>
  <si>
    <t>sref&gt;5000</t>
  </si>
  <si>
    <t>sref&lt;=2000</t>
  </si>
  <si>
    <t>sref&gt;2000</t>
  </si>
  <si>
    <t>Seuil IcDED →</t>
  </si>
  <si>
    <t>sref&lt;=1000</t>
  </si>
  <si>
    <t>sref&gt;1000</t>
  </si>
  <si>
    <t>2000&lt;S&lt;=5000</t>
  </si>
  <si>
    <t>RCU →</t>
  </si>
  <si>
    <t>rcu = oui</t>
  </si>
  <si>
    <t>rcu = non</t>
  </si>
  <si>
    <t>RCU classé→</t>
  </si>
  <si>
    <t>rcu_classe="oui"</t>
  </si>
  <si>
    <t>rcu_classe="non"</t>
  </si>
  <si>
    <t>Dépôt PC→</t>
  </si>
  <si>
    <t>depotPC</t>
  </si>
  <si>
    <t>depotPC_année</t>
  </si>
  <si>
    <t>2025 &lt; depotPC_année &lt;2028</t>
  </si>
  <si>
    <t>depotPC_année &gt;=2028</t>
  </si>
  <si>
    <t>ID_usage =</t>
  </si>
  <si>
    <t>[m]</t>
  </si>
  <si>
    <t>Catégorie 3</t>
  </si>
  <si>
    <t>AUTRES</t>
  </si>
  <si>
    <r>
      <t>↓</t>
    </r>
    <r>
      <rPr>
        <sz val="7.7"/>
        <color theme="1"/>
        <rFont val="Aptos Narrow"/>
        <family val="2"/>
      </rPr>
      <t xml:space="preserve"> usage détaillé ↓</t>
    </r>
  </si>
  <si>
    <t>AUTRE</t>
  </si>
  <si>
    <t>X</t>
  </si>
  <si>
    <t>Pas de seuil</t>
  </si>
  <si>
    <t>Calculatrice des exigences de la RE2020</t>
  </si>
  <si>
    <t>Sinon la page wikipédia donne une partie des informations</t>
  </si>
  <si>
    <t>Crédit : Felix Dubois du CSTB pour le passage à la version 2.0 pour les indicateurs carbone et énergie</t>
  </si>
  <si>
    <t>VERSION 2.0 - NOUVEAU USAGES - mars 2026</t>
  </si>
  <si>
    <r>
      <rPr>
        <sz val="8"/>
        <color theme="1"/>
        <rFont val="Calibri"/>
        <family val="2"/>
      </rPr>
      <t>↓</t>
    </r>
    <r>
      <rPr>
        <sz val="8"/>
        <color theme="1"/>
        <rFont val="Aptos Narrow"/>
        <family val="2"/>
      </rPr>
      <t xml:space="preserve"> seuil IcDED </t>
    </r>
    <r>
      <rPr>
        <sz val="8"/>
        <color theme="1"/>
        <rFont val="Calibri"/>
        <family val="2"/>
      </rPr>
      <t>↓</t>
    </r>
  </si>
  <si>
    <r>
      <t xml:space="preserve">Est-ce que ce réseau est classé ? </t>
    </r>
    <r>
      <rPr>
        <b/>
        <sz val="14"/>
        <color theme="5" tint="0.79998168889431442"/>
        <rFont val="Aptos Narrow"/>
        <family val="2"/>
        <scheme val="minor"/>
      </rPr>
      <t>→</t>
    </r>
  </si>
  <si>
    <t>2.01 bug formule dans les Y48 à AB48 du calcul matière</t>
  </si>
  <si>
    <t>→</t>
  </si>
  <si>
    <t>Les informations nécessaires connaitre la méthode</t>
  </si>
  <si>
    <r>
      <t xml:space="preserve">Surface travaux (cumulés) </t>
    </r>
    <r>
      <rPr>
        <b/>
        <sz val="14"/>
        <color theme="1"/>
        <rFont val="Aptos Narrow"/>
        <family val="2"/>
        <scheme val="minor"/>
      </rPr>
      <t>→</t>
    </r>
  </si>
  <si>
    <r>
      <t xml:space="preserve">Surface initiale </t>
    </r>
    <r>
      <rPr>
        <b/>
        <sz val="14"/>
        <color theme="1"/>
        <rFont val="Aptos Narrow"/>
        <family val="2"/>
        <scheme val="minor"/>
      </rPr>
      <t>→</t>
    </r>
  </si>
  <si>
    <t>[Sexistant]</t>
  </si>
  <si>
    <t>Part de l'extension :</t>
  </si>
  <si>
    <t>&gt;=50 &lt;=80</t>
  </si>
  <si>
    <t>&lt;&gt; MI</t>
  </si>
  <si>
    <t>&gt;=50 &lt;=150</t>
  </si>
  <si>
    <t>&gt;30% Sexis</t>
  </si>
  <si>
    <t>Sref</t>
  </si>
  <si>
    <t>Sext</t>
  </si>
  <si>
    <t>Toutefois, pour les surélévations climatisées situées en zones H2d ou H3, la valeur DHmaxcat estportée à 1400 DH.</t>
  </si>
  <si>
    <t>&lt;50</t>
  </si>
  <si>
    <t>tout</t>
  </si>
  <si>
    <t>&lt;&gt;mi</t>
  </si>
  <si>
    <r>
      <t xml:space="preserve">Typologie de travaux </t>
    </r>
    <r>
      <rPr>
        <b/>
        <sz val="14"/>
        <color theme="1"/>
        <rFont val="Aptos Narrow"/>
        <family val="2"/>
        <scheme val="minor"/>
      </rPr>
      <t>→</t>
    </r>
  </si>
  <si>
    <t>extension</t>
  </si>
  <si>
    <t>surélévation</t>
  </si>
  <si>
    <t>&lt;30% Sexis</t>
  </si>
  <si>
    <t>RESULTAT</t>
  </si>
  <si>
    <t>Typologie</t>
  </si>
  <si>
    <t>RE2020</t>
  </si>
  <si>
    <t>RE2020 light : Bbio, Icconstruction et DH</t>
  </si>
  <si>
    <t>Des exigences de moyens</t>
  </si>
  <si>
    <t>Calcul Typologie :</t>
  </si>
  <si>
    <t>Calcul Usage :</t>
  </si>
  <si>
    <t>Calcul Sref :</t>
  </si>
  <si>
    <t>Calcul Sext :</t>
  </si>
  <si>
    <t>sinon</t>
  </si>
  <si>
    <t>Quelle méthode pour ces travaux ?</t>
  </si>
  <si>
    <t>https://www.legifrance.gouv.fr/loda/article_lc/LEGIARTI000050146201/2026-07-02</t>
  </si>
  <si>
    <r>
      <rPr>
        <b/>
        <sz val="14"/>
        <color theme="0"/>
        <rFont val="Aptos Narrow"/>
        <family val="2"/>
        <scheme val="minor"/>
      </rPr>
      <t>↓</t>
    </r>
    <r>
      <rPr>
        <b/>
        <sz val="11"/>
        <color theme="0"/>
        <rFont val="Aptos Narrow"/>
        <family val="2"/>
        <scheme val="minor"/>
      </rPr>
      <t xml:space="preserve"> CALCUL (masqué) </t>
    </r>
    <r>
      <rPr>
        <b/>
        <sz val="14"/>
        <color theme="0"/>
        <rFont val="Aptos Narrow"/>
        <family val="2"/>
        <scheme val="minor"/>
      </rPr>
      <t>↓</t>
    </r>
  </si>
  <si>
    <r>
      <t xml:space="preserve">IGH ? </t>
    </r>
    <r>
      <rPr>
        <b/>
        <sz val="14"/>
        <color theme="1"/>
        <rFont val="Aptos Narrow"/>
        <family val="2"/>
        <scheme val="minor"/>
      </rPr>
      <t>→</t>
    </r>
  </si>
  <si>
    <t>IGH ? (si oui = 0,95) --&gt;</t>
  </si>
  <si>
    <t>Base officiel</t>
  </si>
  <si>
    <t>IGH →</t>
  </si>
  <si>
    <t>[m²]</t>
  </si>
  <si>
    <t>la surface cumulée des balcons, des loggias et des terrasses en épannelage du bâtiment ou partie de bâtiment. Les toitures terrasses, terrasses de rez-de-chaussée, de rez-de-jardin, de plain-pied et coursives d’accès extérieur ne sont pas incluses dans cette surface.</t>
  </si>
  <si>
    <t>Icconstruction_max = Icconstruction_maxmoyen × (1 + Micombles + Misurf_moy + Misurf_tot) + Migéo + Miinfra + Mivrd + Mipv + Mided + Miagrément_ext + Mi_HSP + Miclim_RCU</t>
  </si>
  <si>
    <t>Miagrément_ext : coefficient de modulation selon la surface d’agrément extérieur (balcons, loggias) du bâtiment ou de la partie de bâtiment, pour les logements collectifs;</t>
  </si>
  <si>
    <t>Mi_HSP : coefficient de modulation selon la hauteur sous plafond moyenne des étages;</t>
  </si>
  <si>
    <t>Miclim_RCU : coefficient de modulation selon la présence ou non d’un système de climatisation, pour les bâtiments raccordés à un réseau de chaleur urbain classé;</t>
  </si>
  <si>
    <t>Log collectif</t>
  </si>
  <si>
    <t>Miagrément_ext</t>
  </si>
  <si>
    <t>Sagr/Sref &lt;= 0,10</t>
  </si>
  <si>
    <t>Sagr/Sref &gt; 0,10</t>
  </si>
  <si>
    <t>Miagrément</t>
  </si>
  <si>
    <t>La hauteur sous plafond moyenne, du bâtiment ou de la partie de bâtiment, à usage d’habitation, notée HSPmoy, est la moyenne des hauteurs sous plafond des locaux à usage d’habitation inclus dans la surface de référence pondérée par la surface de référence de ces locaux.</t>
  </si>
  <si>
    <r>
      <t xml:space="preserve">Surface cumulée d'agrément </t>
    </r>
    <r>
      <rPr>
        <b/>
        <sz val="14"/>
        <color theme="5" tint="0.79998168889431442"/>
        <rFont val="Aptos Narrow"/>
        <family val="2"/>
        <scheme val="minor"/>
      </rPr>
      <t>→</t>
    </r>
  </si>
  <si>
    <t>2.1 ajout du décret du 18 mars sur les usages et de l'onglet surélévation pour connaitre la RE2020 à appliquer</t>
  </si>
  <si>
    <t>Sinon parcourir le Guide DHUP / CEREMA du 9 mai 2025</t>
  </si>
  <si>
    <t>II de l'article 50-3 de l'arrêté du 4 août 2021  &gt;&gt;&gt;</t>
  </si>
  <si>
    <t>III de l'article 50-3 de l'arrêté du 4 août 2021  &gt;&gt;&gt;</t>
  </si>
  <si>
    <t>avec l'aide du :</t>
  </si>
  <si>
    <t>Cette version intègre les Médiathèques_et_bibliothèques, Bâtiments_universitaires_d'enseignement et de_recherche_et_bâtiments_d’enseignements_atypiques, Hôtels, Etablissements_d'accueil_de_la_petite_enfance, Restaurants, Commerces, Vestiaires, Etablissements_sanitaires_avec_hébergement, Etablissements_de_santé, Aérogares, Industries_ou_artisanats, Etablissements_sportifs_municipaux_ou_scolaires, Restaurants_scolaires, Etablissements_sportifs_privés. Gros merci à Félix (voir plus bas)</t>
  </si>
  <si>
    <t>OUI</t>
  </si>
  <si>
    <t>Mi_HSP</t>
  </si>
  <si>
    <t>HSPmoy&lt;=2,5</t>
  </si>
  <si>
    <t>HSPmoy&gt;2,5</t>
  </si>
  <si>
    <t>Autres</t>
  </si>
  <si>
    <t>HSP? →</t>
  </si>
  <si>
    <t>SREF ? →</t>
  </si>
  <si>
    <t>MiHSP</t>
  </si>
  <si>
    <t>Mb_HSP</t>
  </si>
  <si>
    <t>2.02 bug MiVRD commerce et vestiaire du calcul matière (et micro bug), grand merci Cédrick Gbegnon</t>
  </si>
  <si>
    <t>(fonctionne si &gt;2,5m)</t>
  </si>
  <si>
    <r>
      <t xml:space="preserve">Hauteur sous plafond moyenne </t>
    </r>
    <r>
      <rPr>
        <b/>
        <sz val="14"/>
        <color theme="5" tint="0.79998168889431442"/>
        <rFont val="Aptos Narrow"/>
        <family val="2"/>
        <scheme val="minor"/>
      </rPr>
      <t>→</t>
    </r>
  </si>
  <si>
    <t>pour le DH et carbone si RCU classé (pour le DH cela s'applique seulement à des parties de bâtiment)</t>
  </si>
  <si>
    <t>Miclim_RCU</t>
  </si>
  <si>
    <t>Pas activé</t>
  </si>
  <si>
    <t>MiClimRCU</t>
  </si>
  <si>
    <t>Bbio_max = Bbio_maxmoyen × (1 + Mbgéo + Mbcombles + Mbsurf_moy + Mbsurf_tot + Mbbruit + MbHSP)</t>
  </si>
  <si>
    <t>MbHSP : coefficient de modulation selon la hauteur sous plafond moyenne des étages.</t>
  </si>
  <si>
    <t>MbHSP</t>
  </si>
  <si>
    <t>Cep,nr_max = Cep,nr_maxmoyen × (1 + Mcgéo + Mccombles + Mcsurf_moy + Mcsurf_tot + Mccat + McHSP)</t>
  </si>
  <si>
    <t>Cep_max = Cep_maxmoyen × (1 + Mcgéo + Mccombles + Mcsurf_moy + Mcsurf_tot + Mccat + McHSP)</t>
  </si>
  <si>
    <t>Icénergie_max = Icénergie_maxmoyen× (1 + Mcgéo + Mccombles + Mcsurf_moy + Mcsurf_tot + Mccat + McHSP)</t>
  </si>
  <si>
    <t>McHSP : coefficient de modulation selon la hauteur sous plafond moyenne des étages.</t>
  </si>
  <si>
    <t>Mc_HSP</t>
  </si>
  <si>
    <t>McHSP</t>
  </si>
  <si>
    <t>) +</t>
  </si>
  <si>
    <t>réalisé par Guillaume Meunier, document non-officiel à utiliser avec toutes les vérifications nécessaires</t>
  </si>
  <si>
    <t>NON</t>
  </si>
  <si>
    <t>2.1.1 bug calcul IGH</t>
  </si>
  <si>
    <t>2.1.2 valeurs MiDED santé modifiées, merci Léonard Forissier</t>
  </si>
  <si>
    <t>incluant (ou pas) IGH</t>
  </si>
  <si>
    <t>2.1.3 problème IGH en 2031 Matière, merci Felix Dubois</t>
  </si>
  <si>
    <t>2.1.4</t>
  </si>
  <si>
    <t>2.1.4 mini bug &gt;=30% et surface dans les surélévations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</si>
</sst>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quot; points&quot;"/>
    <numFmt numFmtId="166" formatCode="0.0000"/>
    <numFmt numFmtId="167" formatCode="0.000"/>
    <numFmt numFmtId="168" formatCode="0&quot; kgCO₂e/m²&quot;"/>
    <numFmt numFmtId="169" formatCode="0&quot; kWhep/m².an&quot;"/>
    <numFmt numFmtId="170" formatCode="0&quot; °C.h&quot;"/>
  </numFmts>
  <fonts count="73">
    <font>
      <sz val="11"/>
      <color theme="1"/>
      <name val="Aptos Narrow"/>
      <family val="2"/>
      <scheme val="minor"/>
    </font>
    <font>
      <b/>
      <sz val="11"/>
      <color theme="1"/>
      <name val="Aptos Narrow"/>
      <family val="2"/>
      <scheme val="minor"/>
    </font>
    <font>
      <b/>
      <sz val="13.5"/>
      <color theme="1"/>
      <name val="Inherit"/>
    </font>
    <font>
      <sz val="12"/>
      <color theme="1"/>
      <name val="Arial"/>
      <family val="2"/>
    </font>
    <font>
      <sz val="7"/>
      <color rgb="FF202122"/>
      <name val="Arial"/>
      <family val="2"/>
    </font>
    <font>
      <sz val="8"/>
      <name val="Aptos Narrow"/>
      <family val="2"/>
      <scheme val="minor"/>
    </font>
    <font>
      <sz val="11"/>
      <color theme="0"/>
      <name val="Aptos Narrow"/>
      <family val="2"/>
      <scheme val="minor"/>
    </font>
    <font>
      <b/>
      <sz val="11"/>
      <color theme="6" tint="0.79998168889431442"/>
      <name val="Aptos Narrow"/>
      <family val="2"/>
      <scheme val="minor"/>
    </font>
    <font>
      <sz val="11"/>
      <color theme="4"/>
      <name val="Aptos Narrow"/>
      <family val="2"/>
      <scheme val="minor"/>
    </font>
    <font>
      <sz val="11"/>
      <color theme="6"/>
      <name val="Aptos Narrow"/>
      <family val="2"/>
      <scheme val="minor"/>
    </font>
    <font>
      <i/>
      <sz val="11"/>
      <color theme="1" tint="0.499984740745262"/>
      <name val="Aptos Narrow"/>
      <family val="2"/>
      <scheme val="minor"/>
    </font>
    <font>
      <sz val="11"/>
      <color theme="1"/>
      <name val="Aptos Narrow"/>
      <family val="2"/>
    </font>
    <font>
      <b/>
      <sz val="11"/>
      <color theme="1"/>
      <name val="Calibri"/>
      <family val="2"/>
    </font>
    <font>
      <b/>
      <sz val="14"/>
      <color theme="1"/>
      <name val="Aptos Narrow"/>
      <family val="2"/>
      <scheme val="minor"/>
    </font>
    <font>
      <sz val="11"/>
      <name val="Aptos Narrow"/>
      <family val="2"/>
      <scheme val="minor"/>
    </font>
    <font>
      <sz val="7.7"/>
      <color theme="1"/>
      <name val="Aptos Narrow"/>
      <family val="2"/>
    </font>
    <font>
      <vertAlign val="subscript"/>
      <sz val="11"/>
      <color theme="1"/>
      <name val="Aptos Narrow"/>
      <family val="2"/>
      <scheme val="minor"/>
    </font>
    <font>
      <b/>
      <sz val="11"/>
      <color theme="4"/>
      <name val="Aptos Narrow"/>
      <family val="2"/>
      <scheme val="minor"/>
    </font>
    <font>
      <i/>
      <sz val="11"/>
      <color theme="0" tint="-0.34998626667073579"/>
      <name val="Aptos Narrow"/>
      <family val="2"/>
      <scheme val="minor"/>
    </font>
    <font>
      <i/>
      <vertAlign val="subscript"/>
      <sz val="11"/>
      <color theme="0" tint="-0.34998626667073579"/>
      <name val="Aptos Narrow"/>
      <family val="2"/>
      <scheme val="minor"/>
    </font>
    <font>
      <i/>
      <sz val="10"/>
      <color theme="1"/>
      <name val="Aptos Narrow"/>
      <family val="2"/>
      <scheme val="minor"/>
    </font>
    <font>
      <i/>
      <sz val="9"/>
      <color theme="1"/>
      <name val="Aptos Narrow"/>
      <family val="2"/>
      <scheme val="minor"/>
    </font>
    <font>
      <i/>
      <sz val="10"/>
      <color theme="0" tint="-0.34998626667073579"/>
      <name val="Aptos Narrow"/>
      <family val="2"/>
      <scheme val="minor"/>
    </font>
    <font>
      <i/>
      <sz val="9"/>
      <color theme="0" tint="-0.34998626667073579"/>
      <name val="Calibri"/>
      <family val="2"/>
    </font>
    <font>
      <sz val="9"/>
      <color theme="0" tint="-0.34998626667073579"/>
      <name val="Calibri"/>
      <family val="2"/>
    </font>
    <font>
      <sz val="7.7"/>
      <color theme="0" tint="-0.34998626667073579"/>
      <name val="Arial"/>
      <family val="2"/>
    </font>
    <font>
      <sz val="8"/>
      <color rgb="FF202122"/>
      <name val="Arial"/>
      <family val="2"/>
    </font>
    <font>
      <sz val="8"/>
      <color theme="1"/>
      <name val="Aptos Narrow"/>
      <family val="2"/>
      <scheme val="minor"/>
    </font>
    <font>
      <sz val="10"/>
      <color theme="0" tint="-0.499984740745262"/>
      <name val="Aptos Narrow"/>
      <family val="2"/>
      <scheme val="minor"/>
    </font>
    <font>
      <sz val="11"/>
      <color theme="0" tint="-0.499984740745262"/>
      <name val="Aptos Narrow"/>
      <family val="2"/>
      <scheme val="minor"/>
    </font>
    <font>
      <u/>
      <sz val="11"/>
      <color theme="10"/>
      <name val="Aptos Narrow"/>
      <family val="2"/>
      <scheme val="minor"/>
    </font>
    <font>
      <sz val="8"/>
      <color theme="0" tint="-0.34998626667073579"/>
      <name val="Aptos Narrow"/>
      <family val="2"/>
      <scheme val="minor"/>
    </font>
    <font>
      <u/>
      <sz val="10"/>
      <color theme="0" tint="-0.34998626667073579"/>
      <name val="Aptos Narrow"/>
      <family val="2"/>
      <scheme val="minor"/>
    </font>
    <font>
      <b/>
      <sz val="11"/>
      <color theme="5" tint="-0.499984740745262"/>
      <name val="Aptos Narrow"/>
      <family val="2"/>
      <scheme val="minor"/>
    </font>
    <font>
      <b/>
      <sz val="12"/>
      <color theme="5" tint="-0.499984740745262"/>
      <name val="Aptos Narrow"/>
      <family val="2"/>
      <scheme val="minor"/>
    </font>
    <font>
      <b/>
      <sz val="12"/>
      <color theme="4" tint="-0.499984740745262"/>
      <name val="Aptos Narrow"/>
      <family val="2"/>
      <scheme val="minor"/>
    </font>
    <font>
      <b/>
      <sz val="48"/>
      <name val="Aptos Narrow"/>
      <family val="2"/>
      <scheme val="minor"/>
    </font>
    <font>
      <b/>
      <sz val="8"/>
      <color rgb="FF202122"/>
      <name val="Arial"/>
      <family val="2"/>
    </font>
    <font>
      <sz val="9"/>
      <color theme="0" tint="-0.499984740745262"/>
      <name val="Aptos Narrow"/>
      <family val="2"/>
      <scheme val="minor"/>
    </font>
    <font>
      <b/>
      <sz val="14"/>
      <name val="Aptos Narrow"/>
      <family val="2"/>
      <scheme val="minor"/>
    </font>
    <font>
      <i/>
      <sz val="9"/>
      <color theme="0" tint="-0.34998626667073579"/>
      <name val="Aptos Narrow"/>
      <family val="2"/>
      <scheme val="minor"/>
    </font>
    <font>
      <i/>
      <sz val="10"/>
      <color theme="5" tint="-0.249977111117893"/>
      <name val="Aptos Narrow"/>
      <family val="2"/>
      <scheme val="minor"/>
    </font>
    <font>
      <sz val="11"/>
      <color rgb="FFFF0000"/>
      <name val="Aptos Narrow"/>
      <family val="2"/>
      <scheme val="minor"/>
    </font>
    <font>
      <i/>
      <sz val="10"/>
      <color theme="1" tint="0.499984740745262"/>
      <name val="Aptos Narrow"/>
      <family val="2"/>
      <scheme val="minor"/>
    </font>
    <font>
      <sz val="10"/>
      <color theme="0" tint="-0.34998626667073579"/>
      <name val="Aptos Narrow"/>
      <family val="2"/>
      <scheme val="minor"/>
    </font>
    <font>
      <sz val="10"/>
      <color theme="1"/>
      <name val="Aptos Narrow"/>
      <family val="2"/>
      <scheme val="minor"/>
    </font>
    <font>
      <i/>
      <sz val="11"/>
      <color theme="1"/>
      <name val="Aptos Narrow"/>
      <family val="2"/>
      <scheme val="minor"/>
    </font>
    <font>
      <b/>
      <i/>
      <sz val="14"/>
      <color theme="1"/>
      <name val="Aptos Narrow"/>
      <family val="2"/>
      <scheme val="minor"/>
    </font>
    <font>
      <b/>
      <sz val="11"/>
      <color theme="0"/>
      <name val="Aptos Narrow"/>
      <family val="2"/>
      <scheme val="minor"/>
    </font>
    <font>
      <sz val="10"/>
      <color theme="1"/>
      <name val="Marianne"/>
    </font>
    <font>
      <b/>
      <sz val="11"/>
      <name val="Aptos Narrow"/>
      <family val="2"/>
      <scheme val="minor"/>
    </font>
    <font>
      <sz val="11"/>
      <color theme="4" tint="-0.249977111117893"/>
      <name val="Aptos Narrow"/>
      <family val="2"/>
      <scheme val="minor"/>
    </font>
    <font>
      <sz val="11"/>
      <color theme="1" tint="0.34998626667073579"/>
      <name val="Aptos Narrow"/>
      <family val="2"/>
      <scheme val="minor"/>
    </font>
    <font>
      <sz val="11"/>
      <color theme="5" tint="0.79998168889431442"/>
      <name val="Aptos Narrow"/>
      <family val="2"/>
      <scheme val="minor"/>
    </font>
    <font>
      <i/>
      <sz val="10"/>
      <color theme="0" tint="-0.249977111117893"/>
      <name val="Aptos Narrow"/>
      <family val="2"/>
      <scheme val="minor"/>
    </font>
    <font>
      <b/>
      <sz val="11"/>
      <color theme="5" tint="0.79998168889431442"/>
      <name val="Aptos Narrow"/>
      <family val="2"/>
      <scheme val="minor"/>
    </font>
    <font>
      <i/>
      <sz val="11"/>
      <color theme="0" tint="-0.499984740745262"/>
      <name val="Aptos Narrow"/>
      <family val="2"/>
      <scheme val="minor"/>
    </font>
    <font>
      <sz val="11"/>
      <color theme="1"/>
      <name val="Aptos Narrow"/>
      <family val="2"/>
      <scheme val="minor"/>
    </font>
    <font>
      <sz val="10"/>
      <name val="Aptos Narrow"/>
      <family val="2"/>
      <scheme val="minor"/>
    </font>
    <font>
      <sz val="10"/>
      <color theme="1" tint="0.499984740745262"/>
      <name val="Aptos Narrow"/>
      <family val="2"/>
      <scheme val="minor"/>
    </font>
    <font>
      <sz val="9"/>
      <color theme="1" tint="0.499984740745262"/>
      <name val="Aptos Narrow"/>
      <family val="2"/>
      <scheme val="minor"/>
    </font>
    <font>
      <b/>
      <sz val="24"/>
      <color theme="4"/>
      <name val="Aptos Narrow"/>
      <family val="2"/>
      <scheme val="minor"/>
    </font>
    <font>
      <sz val="9"/>
      <color theme="1"/>
      <name val="Aptos Narrow"/>
      <family val="2"/>
      <scheme val="minor"/>
    </font>
    <font>
      <sz val="8"/>
      <color theme="1"/>
      <name val="Aptos Narrow"/>
      <family val="2"/>
    </font>
    <font>
      <sz val="8"/>
      <color theme="1"/>
      <name val="Calibri"/>
      <family val="2"/>
    </font>
    <font>
      <b/>
      <sz val="14"/>
      <color theme="5" tint="0.79998168889431442"/>
      <name val="Aptos Narrow"/>
      <family val="2"/>
      <scheme val="minor"/>
    </font>
    <font>
      <b/>
      <sz val="11"/>
      <color theme="5"/>
      <name val="Aptos Narrow"/>
      <family val="2"/>
      <scheme val="minor"/>
    </font>
    <font>
      <b/>
      <sz val="14"/>
      <color theme="0"/>
      <name val="Aptos Narrow"/>
      <family val="2"/>
      <scheme val="minor"/>
    </font>
    <font>
      <i/>
      <sz val="9"/>
      <color theme="1" tint="0.499984740745262"/>
      <name val="Aptos Narrow"/>
      <family val="2"/>
      <scheme val="minor"/>
    </font>
    <font>
      <sz val="10"/>
      <color theme="4"/>
      <name val="Aptos Narrow"/>
      <family val="2"/>
      <scheme val="minor"/>
    </font>
    <font>
      <sz val="8"/>
      <color theme="4"/>
      <name val="Arial"/>
      <family val="2"/>
    </font>
    <font>
      <i/>
      <sz val="11"/>
      <color theme="5" tint="0.79998168889431442"/>
      <name val="Aptos Narrow"/>
      <family val="2"/>
      <scheme val="minor"/>
    </font>
    <font>
      <sz val="11"/>
      <color theme="1" tint="0.499984740745262"/>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indexed="64"/>
      </patternFill>
    </fill>
    <fill>
      <patternFill patternType="solid">
        <fgColor theme="1"/>
        <bgColor indexed="64"/>
      </patternFill>
    </fill>
    <fill>
      <patternFill patternType="solid">
        <fgColor theme="0"/>
        <bgColor theme="0"/>
      </patternFill>
    </fill>
    <fill>
      <patternFill patternType="solid">
        <fgColor theme="3" tint="0.74999237037263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theme="2" tint="-9.9978637043366805E-2"/>
        <bgColor indexed="64"/>
      </patternFill>
    </fill>
  </fills>
  <borders count="67">
    <border>
      <left/>
      <right/>
      <top/>
      <bottom/>
      <diagonal/>
    </border>
    <border>
      <left/>
      <right/>
      <top/>
      <bottom style="dotted">
        <color rgb="FFAAAAAA"/>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dotted">
        <color theme="4" tint="-0.499984740745262"/>
      </bottom>
      <diagonal/>
    </border>
    <border>
      <left/>
      <right/>
      <top style="dotted">
        <color theme="4" tint="-0.499984740745262"/>
      </top>
      <bottom/>
      <diagonal/>
    </border>
    <border>
      <left style="medium">
        <color indexed="64"/>
      </left>
      <right style="medium">
        <color indexed="64"/>
      </right>
      <top style="medium">
        <color indexed="64"/>
      </top>
      <bottom style="dotted">
        <color theme="5" tint="-0.499984740745262"/>
      </bottom>
      <diagonal/>
    </border>
    <border>
      <left/>
      <right/>
      <top style="dotted">
        <color theme="5" tint="-0.499984740745262"/>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bottom style="thin">
        <color indexed="64"/>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bottom style="dashDot">
        <color auto="1"/>
      </bottom>
      <diagonal/>
    </border>
    <border>
      <left/>
      <right/>
      <top style="dashDot">
        <color auto="1"/>
      </top>
      <bottom/>
      <diagonal/>
    </border>
  </borders>
  <cellStyleXfs count="3">
    <xf numFmtId="0" fontId="0" fillId="0" borderId="0"/>
    <xf numFmtId="0" fontId="30" fillId="0" borderId="0" applyNumberFormat="0" applyFill="0" applyBorder="0" applyAlignment="0" applyProtection="0"/>
    <xf numFmtId="9" fontId="57" fillId="0" borderId="0" applyFont="0" applyFill="0" applyBorder="0" applyAlignment="0" applyProtection="0"/>
  </cellStyleXfs>
  <cellXfs count="571">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vertical="center"/>
    </xf>
    <xf numFmtId="0" fontId="0" fillId="2" borderId="0" xfId="0" applyFill="1" applyAlignment="1">
      <alignment horizontal="right" vertical="center"/>
    </xf>
    <xf numFmtId="0" fontId="7" fillId="3" borderId="0" xfId="0" applyFont="1" applyFill="1" applyAlignment="1">
      <alignment horizontal="center" vertical="center"/>
    </xf>
    <xf numFmtId="0" fontId="0" fillId="2" borderId="0" xfId="0" applyFill="1" applyAlignment="1">
      <alignment horizontal="center" vertical="center"/>
    </xf>
    <xf numFmtId="0" fontId="0" fillId="5" borderId="2" xfId="0" applyFill="1" applyBorder="1"/>
    <xf numFmtId="0" fontId="2" fillId="2" borderId="0" xfId="0" applyFont="1" applyFill="1" applyAlignment="1">
      <alignment vertical="center" wrapText="1"/>
    </xf>
    <xf numFmtId="0" fontId="3" fillId="2" borderId="1" xfId="0" applyFont="1" applyFill="1" applyBorder="1" applyAlignment="1">
      <alignment vertical="center" wrapText="1"/>
    </xf>
    <xf numFmtId="0" fontId="4" fillId="2" borderId="0" xfId="0" applyFont="1" applyFill="1" applyAlignment="1">
      <alignment horizontal="left" vertical="center" wrapText="1" indent="1"/>
    </xf>
    <xf numFmtId="0" fontId="0" fillId="2" borderId="3" xfId="0" applyFill="1" applyBorder="1" applyAlignment="1">
      <alignment horizontal="center"/>
    </xf>
    <xf numFmtId="0" fontId="8" fillId="2" borderId="8" xfId="0" applyFont="1" applyFill="1" applyBorder="1" applyAlignment="1">
      <alignment horizontal="center"/>
    </xf>
    <xf numFmtId="0" fontId="8" fillId="2" borderId="3" xfId="0" applyFont="1" applyFill="1" applyBorder="1" applyAlignment="1">
      <alignment horizontal="center"/>
    </xf>
    <xf numFmtId="0" fontId="9" fillId="2" borderId="0" xfId="0" applyFont="1" applyFill="1"/>
    <xf numFmtId="2" fontId="8" fillId="2" borderId="8" xfId="0" applyNumberFormat="1" applyFont="1" applyFill="1" applyBorder="1" applyAlignment="1">
      <alignment horizontal="center"/>
    </xf>
    <xf numFmtId="0" fontId="8" fillId="2" borderId="3" xfId="0" applyFont="1" applyFill="1" applyBorder="1"/>
    <xf numFmtId="0" fontId="8" fillId="2" borderId="3" xfId="0" applyFont="1" applyFill="1" applyBorder="1" applyAlignment="1">
      <alignment vertical="center"/>
    </xf>
    <xf numFmtId="0" fontId="8" fillId="2" borderId="3" xfId="0" applyFont="1" applyFill="1" applyBorder="1" applyAlignment="1">
      <alignment horizontal="center" vertical="center"/>
    </xf>
    <xf numFmtId="0" fontId="0" fillId="2" borderId="3" xfId="0" applyFill="1" applyBorder="1" applyAlignment="1">
      <alignment vertical="center"/>
    </xf>
    <xf numFmtId="0" fontId="14" fillId="2" borderId="3" xfId="0" applyFont="1" applyFill="1" applyBorder="1" applyAlignment="1">
      <alignment horizontal="center"/>
    </xf>
    <xf numFmtId="0" fontId="14" fillId="2" borderId="3" xfId="0" applyFont="1" applyFill="1" applyBorder="1"/>
    <xf numFmtId="0" fontId="11" fillId="2" borderId="0" xfId="0" applyFont="1" applyFill="1" applyAlignment="1">
      <alignment horizontal="center" vertical="center"/>
    </xf>
    <xf numFmtId="0" fontId="9" fillId="2" borderId="3" xfId="0" applyFont="1" applyFill="1" applyBorder="1" applyAlignment="1">
      <alignment horizontal="center" vertical="center"/>
    </xf>
    <xf numFmtId="0" fontId="0" fillId="2" borderId="3" xfId="0" applyFill="1" applyBorder="1" applyAlignment="1">
      <alignment horizontal="center" vertical="center"/>
    </xf>
    <xf numFmtId="0" fontId="14" fillId="2" borderId="3" xfId="0" applyFont="1" applyFill="1" applyBorder="1" applyAlignment="1">
      <alignment horizontal="center" vertical="center"/>
    </xf>
    <xf numFmtId="0" fontId="0" fillId="5" borderId="2" xfId="0" applyFill="1" applyBorder="1" applyAlignment="1">
      <alignment vertical="center"/>
    </xf>
    <xf numFmtId="0" fontId="14" fillId="2" borderId="9" xfId="0" applyFont="1" applyFill="1" applyBorder="1" applyAlignment="1">
      <alignment vertical="center"/>
    </xf>
    <xf numFmtId="0" fontId="10" fillId="2" borderId="8" xfId="0" applyFont="1" applyFill="1" applyBorder="1" applyAlignment="1">
      <alignment horizontal="center" vertical="center"/>
    </xf>
    <xf numFmtId="0" fontId="10" fillId="2" borderId="3" xfId="0" applyFont="1" applyFill="1" applyBorder="1" applyAlignment="1">
      <alignment horizontal="center" vertical="center"/>
    </xf>
    <xf numFmtId="0" fontId="14" fillId="2" borderId="0" xfId="0" applyFont="1" applyFill="1" applyAlignment="1">
      <alignment vertical="center"/>
    </xf>
    <xf numFmtId="0" fontId="4" fillId="2" borderId="0" xfId="0" applyFont="1" applyFill="1" applyAlignment="1">
      <alignment horizontal="left" vertical="center" wrapText="1"/>
    </xf>
    <xf numFmtId="0" fontId="9" fillId="2" borderId="0" xfId="0" applyFont="1" applyFill="1" applyAlignment="1">
      <alignment vertical="center"/>
    </xf>
    <xf numFmtId="0" fontId="0" fillId="2" borderId="9" xfId="0" applyFill="1" applyBorder="1" applyAlignment="1">
      <alignment horizontal="center" vertical="center"/>
    </xf>
    <xf numFmtId="0" fontId="8" fillId="2" borderId="9" xfId="0" applyFont="1" applyFill="1" applyBorder="1" applyAlignment="1">
      <alignment horizontal="center" vertical="center"/>
    </xf>
    <xf numFmtId="0" fontId="14" fillId="2" borderId="3" xfId="0" applyFont="1" applyFill="1" applyBorder="1" applyAlignment="1">
      <alignment vertical="center"/>
    </xf>
    <xf numFmtId="0" fontId="8" fillId="2" borderId="0" xfId="0" applyFont="1" applyFill="1"/>
    <xf numFmtId="0" fontId="22" fillId="2" borderId="0" xfId="0" applyFont="1" applyFill="1" applyAlignment="1">
      <alignment vertical="center"/>
    </xf>
    <xf numFmtId="0" fontId="23" fillId="2" borderId="0" xfId="0" applyFont="1" applyFill="1" applyAlignment="1">
      <alignment horizontal="right" vertical="center"/>
    </xf>
    <xf numFmtId="0" fontId="23" fillId="2" borderId="0" xfId="0" applyFont="1" applyFill="1" applyAlignment="1">
      <alignment horizontal="center" vertical="center"/>
    </xf>
    <xf numFmtId="0" fontId="8" fillId="2" borderId="0" xfId="0" applyFont="1" applyFill="1" applyAlignment="1">
      <alignment horizontal="center" vertical="center"/>
    </xf>
    <xf numFmtId="0" fontId="0" fillId="2" borderId="11" xfId="0" applyFill="1" applyBorder="1"/>
    <xf numFmtId="0" fontId="0" fillId="2" borderId="12" xfId="0" applyFill="1" applyBorder="1"/>
    <xf numFmtId="0" fontId="8" fillId="2" borderId="12" xfId="0" applyFont="1" applyFill="1" applyBorder="1" applyAlignment="1">
      <alignment horizontal="center" vertical="center"/>
    </xf>
    <xf numFmtId="1" fontId="8" fillId="2" borderId="13" xfId="0" applyNumberFormat="1" applyFont="1" applyFill="1" applyBorder="1" applyAlignment="1">
      <alignment horizontal="center" vertical="center"/>
    </xf>
    <xf numFmtId="0" fontId="0" fillId="2" borderId="17" xfId="0" applyFill="1" applyBorder="1"/>
    <xf numFmtId="0" fontId="0" fillId="2" borderId="18" xfId="0" applyFill="1" applyBorder="1"/>
    <xf numFmtId="0" fontId="8" fillId="2" borderId="17" xfId="0" applyFont="1" applyFill="1" applyBorder="1" applyAlignment="1">
      <alignment vertical="center"/>
    </xf>
    <xf numFmtId="0" fontId="8" fillId="2" borderId="18" xfId="0" applyFont="1" applyFill="1" applyBorder="1" applyAlignment="1">
      <alignment vertical="center"/>
    </xf>
    <xf numFmtId="0" fontId="8" fillId="2" borderId="17" xfId="0" applyFont="1" applyFill="1" applyBorder="1" applyAlignment="1">
      <alignment horizontal="center"/>
    </xf>
    <xf numFmtId="0" fontId="8" fillId="2" borderId="18" xfId="0" applyFont="1" applyFill="1" applyBorder="1" applyAlignment="1">
      <alignment horizontal="center"/>
    </xf>
    <xf numFmtId="2" fontId="8" fillId="2" borderId="19" xfId="0" applyNumberFormat="1" applyFont="1" applyFill="1" applyBorder="1" applyAlignment="1">
      <alignment horizontal="center" vertical="center"/>
    </xf>
    <xf numFmtId="1" fontId="8" fillId="2" borderId="20" xfId="0" applyNumberFormat="1" applyFont="1" applyFill="1" applyBorder="1" applyAlignment="1">
      <alignment horizontal="center" vertical="center"/>
    </xf>
    <xf numFmtId="0" fontId="14" fillId="2" borderId="17" xfId="0" applyFont="1" applyFill="1" applyBorder="1"/>
    <xf numFmtId="0" fontId="14" fillId="2" borderId="18" xfId="0" applyFont="1" applyFill="1" applyBorder="1"/>
    <xf numFmtId="2" fontId="8" fillId="2" borderId="26" xfId="0" applyNumberFormat="1" applyFont="1" applyFill="1" applyBorder="1" applyAlignment="1">
      <alignment horizontal="center" vertical="center"/>
    </xf>
    <xf numFmtId="2" fontId="8" fillId="2" borderId="20" xfId="0" applyNumberFormat="1" applyFont="1" applyFill="1" applyBorder="1" applyAlignment="1">
      <alignment horizontal="center" vertical="center"/>
    </xf>
    <xf numFmtId="0" fontId="0" fillId="2" borderId="15" xfId="0" applyFill="1" applyBorder="1" applyAlignment="1">
      <alignment horizontal="center"/>
    </xf>
    <xf numFmtId="0" fontId="0" fillId="2" borderId="11"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14" fillId="2" borderId="17" xfId="0" applyFont="1" applyFill="1" applyBorder="1" applyAlignment="1">
      <alignment horizontal="right"/>
    </xf>
    <xf numFmtId="0" fontId="14" fillId="2" borderId="3" xfId="0" applyFont="1" applyFill="1" applyBorder="1" applyAlignment="1">
      <alignment horizontal="right"/>
    </xf>
    <xf numFmtId="0" fontId="14" fillId="2" borderId="18" xfId="0" applyFont="1" applyFill="1" applyBorder="1" applyAlignment="1">
      <alignment horizontal="right"/>
    </xf>
    <xf numFmtId="164" fontId="8" fillId="2" borderId="20" xfId="0" applyNumberFormat="1" applyFont="1" applyFill="1" applyBorder="1" applyAlignment="1">
      <alignment horizontal="center" vertical="center"/>
    </xf>
    <xf numFmtId="0" fontId="0" fillId="2" borderId="27" xfId="0" applyFill="1" applyBorder="1"/>
    <xf numFmtId="0" fontId="0" fillId="2" borderId="28" xfId="0" applyFill="1" applyBorder="1"/>
    <xf numFmtId="0" fontId="0" fillId="2" borderId="16" xfId="0" applyFill="1" applyBorder="1"/>
    <xf numFmtId="0" fontId="0" fillId="2" borderId="17" xfId="0" applyFill="1" applyBorder="1" applyAlignment="1">
      <alignment horizontal="center"/>
    </xf>
    <xf numFmtId="0" fontId="0" fillId="2" borderId="18" xfId="0" applyFill="1" applyBorder="1" applyAlignment="1">
      <alignment horizontal="center"/>
    </xf>
    <xf numFmtId="0" fontId="8" fillId="2" borderId="17" xfId="0" applyFont="1" applyFill="1" applyBorder="1"/>
    <xf numFmtId="0" fontId="8" fillId="2" borderId="18" xfId="0" applyFont="1" applyFill="1" applyBorder="1"/>
    <xf numFmtId="164" fontId="8" fillId="2" borderId="19" xfId="0" applyNumberFormat="1" applyFont="1" applyFill="1" applyBorder="1" applyAlignment="1">
      <alignment horizontal="center"/>
    </xf>
    <xf numFmtId="164" fontId="8" fillId="2" borderId="26" xfId="0" applyNumberFormat="1" applyFont="1" applyFill="1" applyBorder="1" applyAlignment="1">
      <alignment horizontal="center"/>
    </xf>
    <xf numFmtId="164" fontId="8" fillId="2" borderId="20" xfId="0" applyNumberFormat="1" applyFont="1" applyFill="1" applyBorder="1" applyAlignment="1">
      <alignment horizontal="center"/>
    </xf>
    <xf numFmtId="0" fontId="8" fillId="2" borderId="12" xfId="0" applyFont="1" applyFill="1" applyBorder="1" applyAlignment="1">
      <alignment horizontal="center"/>
    </xf>
    <xf numFmtId="1" fontId="8" fillId="2" borderId="13" xfId="0" applyNumberFormat="1" applyFont="1" applyFill="1" applyBorder="1" applyAlignment="1">
      <alignment horizontal="center"/>
    </xf>
    <xf numFmtId="0" fontId="0" fillId="2" borderId="9" xfId="0" applyFill="1" applyBorder="1"/>
    <xf numFmtId="0" fontId="0" fillId="2" borderId="19" xfId="0" applyFill="1" applyBorder="1" applyAlignment="1">
      <alignment horizontal="center"/>
    </xf>
    <xf numFmtId="0" fontId="0" fillId="2" borderId="26" xfId="0" applyFill="1" applyBorder="1" applyAlignment="1">
      <alignment horizontal="center"/>
    </xf>
    <xf numFmtId="0" fontId="0" fillId="2" borderId="20" xfId="0" applyFill="1" applyBorder="1" applyAlignment="1">
      <alignment horizontal="center"/>
    </xf>
    <xf numFmtId="0" fontId="14" fillId="2" borderId="17" xfId="0" applyFont="1" applyFill="1" applyBorder="1" applyAlignment="1">
      <alignment horizontal="center"/>
    </xf>
    <xf numFmtId="0" fontId="14" fillId="2" borderId="18" xfId="0" applyFont="1" applyFill="1" applyBorder="1" applyAlignment="1">
      <alignment horizontal="center"/>
    </xf>
    <xf numFmtId="0" fontId="14" fillId="2" borderId="12" xfId="0" applyFont="1"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27" xfId="0" applyFill="1" applyBorder="1" applyAlignment="1">
      <alignment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8" fillId="2" borderId="17" xfId="0" applyFont="1" applyFill="1" applyBorder="1" applyAlignment="1">
      <alignment horizontal="center" vertical="center"/>
    </xf>
    <xf numFmtId="0" fontId="8" fillId="2" borderId="18" xfId="0" applyFont="1" applyFill="1" applyBorder="1" applyAlignment="1">
      <alignment horizontal="center" vertical="center"/>
    </xf>
    <xf numFmtId="167" fontId="8" fillId="2" borderId="20" xfId="0" applyNumberFormat="1" applyFont="1" applyFill="1" applyBorder="1" applyAlignment="1">
      <alignment horizontal="center" vertical="center"/>
    </xf>
    <xf numFmtId="0" fontId="0" fillId="2" borderId="12" xfId="0" applyFill="1" applyBorder="1" applyAlignment="1">
      <alignment vertical="center"/>
    </xf>
    <xf numFmtId="164" fontId="8" fillId="2" borderId="19" xfId="0" applyNumberFormat="1" applyFont="1" applyFill="1" applyBorder="1" applyAlignment="1">
      <alignment horizontal="center" vertical="center"/>
    </xf>
    <xf numFmtId="0" fontId="0" fillId="2" borderId="12" xfId="0" applyFill="1" applyBorder="1" applyAlignment="1">
      <alignment horizontal="center" vertical="center"/>
    </xf>
    <xf numFmtId="0" fontId="8" fillId="2" borderId="12" xfId="0" applyFont="1" applyFill="1" applyBorder="1" applyAlignment="1">
      <alignment vertical="center"/>
    </xf>
    <xf numFmtId="0" fontId="0" fillId="2" borderId="17" xfId="0" applyFill="1" applyBorder="1" applyAlignment="1">
      <alignment vertical="center"/>
    </xf>
    <xf numFmtId="0" fontId="0" fillId="2" borderId="18" xfId="0" applyFill="1" applyBorder="1" applyAlignment="1">
      <alignment vertical="center"/>
    </xf>
    <xf numFmtId="166" fontId="8" fillId="2" borderId="20" xfId="0" applyNumberFormat="1" applyFont="1" applyFill="1" applyBorder="1" applyAlignment="1">
      <alignment horizontal="center" vertical="center"/>
    </xf>
    <xf numFmtId="1" fontId="17" fillId="2" borderId="14" xfId="0" applyNumberFormat="1" applyFont="1" applyFill="1" applyBorder="1" applyAlignment="1">
      <alignment horizontal="center" vertical="center"/>
    </xf>
    <xf numFmtId="0" fontId="0" fillId="2" borderId="29" xfId="0" applyFill="1" applyBorder="1" applyAlignment="1">
      <alignment horizontal="center" vertical="center"/>
    </xf>
    <xf numFmtId="0" fontId="8" fillId="2" borderId="19"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0" xfId="0" applyFont="1" applyFill="1" applyBorder="1" applyAlignment="1">
      <alignment horizontal="center" vertical="center"/>
    </xf>
    <xf numFmtId="0" fontId="0" fillId="2" borderId="15" xfId="0" applyFill="1" applyBorder="1" applyAlignment="1">
      <alignment horizontal="left" vertical="center"/>
    </xf>
    <xf numFmtId="0" fontId="0" fillId="2" borderId="29" xfId="0" applyFill="1" applyBorder="1" applyAlignment="1">
      <alignment horizontal="left" vertical="center"/>
    </xf>
    <xf numFmtId="0" fontId="0" fillId="2" borderId="16" xfId="0" applyFill="1" applyBorder="1" applyAlignment="1">
      <alignment horizontal="left" vertical="center"/>
    </xf>
    <xf numFmtId="0" fontId="0" fillId="2" borderId="3" xfId="0" applyFill="1" applyBorder="1" applyAlignment="1">
      <alignment horizontal="left" vertical="center"/>
    </xf>
    <xf numFmtId="0" fontId="0" fillId="2" borderId="17" xfId="0" applyFill="1" applyBorder="1" applyAlignment="1">
      <alignment horizontal="left" vertical="center"/>
    </xf>
    <xf numFmtId="0" fontId="14" fillId="2" borderId="17" xfId="0" applyFont="1" applyFill="1" applyBorder="1" applyAlignment="1">
      <alignment horizontal="center" vertical="center"/>
    </xf>
    <xf numFmtId="0" fontId="14" fillId="2" borderId="18" xfId="0" applyFont="1" applyFill="1" applyBorder="1" applyAlignment="1">
      <alignment horizontal="center" vertical="center"/>
    </xf>
    <xf numFmtId="0" fontId="0" fillId="2" borderId="19" xfId="0" applyFill="1" applyBorder="1" applyAlignment="1">
      <alignment horizontal="center" vertical="center"/>
    </xf>
    <xf numFmtId="0" fontId="0" fillId="2" borderId="26" xfId="0" applyFill="1" applyBorder="1" applyAlignment="1">
      <alignment horizontal="center" vertical="center"/>
    </xf>
    <xf numFmtId="0" fontId="0" fillId="2" borderId="20" xfId="0" applyFill="1" applyBorder="1" applyAlignment="1">
      <alignment horizontal="center" vertical="center"/>
    </xf>
    <xf numFmtId="0" fontId="9" fillId="2" borderId="15"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16" xfId="0" applyFont="1" applyFill="1" applyBorder="1" applyAlignment="1">
      <alignment horizontal="center" vertical="center"/>
    </xf>
    <xf numFmtId="0" fontId="0" fillId="2" borderId="3" xfId="0" applyFill="1" applyBorder="1" applyAlignment="1">
      <alignment horizontal="right" vertical="center"/>
    </xf>
    <xf numFmtId="0" fontId="0" fillId="2" borderId="16" xfId="0" applyFill="1" applyBorder="1" applyAlignment="1">
      <alignment horizontal="right" vertical="center"/>
    </xf>
    <xf numFmtId="0" fontId="0" fillId="2" borderId="29" xfId="0" applyFill="1" applyBorder="1" applyAlignment="1">
      <alignment horizontal="right" vertical="center"/>
    </xf>
    <xf numFmtId="0" fontId="0" fillId="2" borderId="15" xfId="0" applyFill="1" applyBorder="1" applyAlignment="1">
      <alignment horizontal="right" vertical="center"/>
    </xf>
    <xf numFmtId="0" fontId="26" fillId="2" borderId="0" xfId="0" applyFont="1" applyFill="1" applyAlignment="1">
      <alignment horizontal="left" vertical="center"/>
    </xf>
    <xf numFmtId="0" fontId="27" fillId="2" borderId="0" xfId="0" applyFont="1" applyFill="1" applyAlignment="1">
      <alignment horizontal="left"/>
    </xf>
    <xf numFmtId="0" fontId="10" fillId="2" borderId="16" xfId="0" applyFont="1" applyFill="1" applyBorder="1" applyAlignment="1">
      <alignment horizontal="center"/>
    </xf>
    <xf numFmtId="0" fontId="10" fillId="2" borderId="18" xfId="0" applyFont="1" applyFill="1" applyBorder="1" applyAlignment="1">
      <alignment horizontal="center"/>
    </xf>
    <xf numFmtId="0" fontId="10" fillId="2" borderId="20" xfId="0" applyFont="1" applyFill="1" applyBorder="1" applyAlignment="1">
      <alignment horizontal="center"/>
    </xf>
    <xf numFmtId="0" fontId="0" fillId="5" borderId="4" xfId="0" applyFill="1" applyBorder="1" applyAlignment="1">
      <alignment vertical="center"/>
    </xf>
    <xf numFmtId="0" fontId="17" fillId="2" borderId="2" xfId="0" applyFont="1" applyFill="1" applyBorder="1" applyAlignment="1">
      <alignment horizontal="center" vertical="center"/>
    </xf>
    <xf numFmtId="0" fontId="27" fillId="2" borderId="0" xfId="0" applyFont="1" applyFill="1" applyAlignment="1">
      <alignment horizontal="left" vertical="center" wrapText="1"/>
    </xf>
    <xf numFmtId="0" fontId="0" fillId="2" borderId="30" xfId="0" applyFill="1" applyBorder="1" applyAlignment="1">
      <alignment vertical="center"/>
    </xf>
    <xf numFmtId="0" fontId="0" fillId="2" borderId="31" xfId="0" applyFill="1" applyBorder="1" applyAlignment="1">
      <alignment vertical="center"/>
    </xf>
    <xf numFmtId="0" fontId="0" fillId="2" borderId="32" xfId="0" applyFill="1" applyBorder="1" applyAlignment="1">
      <alignment vertical="center"/>
    </xf>
    <xf numFmtId="0" fontId="1" fillId="3" borderId="0" xfId="0" applyFont="1" applyFill="1" applyAlignment="1">
      <alignment horizontal="center" vertical="center" wrapText="1"/>
    </xf>
    <xf numFmtId="0" fontId="0" fillId="2" borderId="33" xfId="0" applyFill="1" applyBorder="1" applyAlignment="1">
      <alignment vertical="center"/>
    </xf>
    <xf numFmtId="0" fontId="0" fillId="4" borderId="0" xfId="0" applyFill="1" applyAlignment="1">
      <alignment horizontal="center" vertical="center"/>
    </xf>
    <xf numFmtId="0" fontId="1" fillId="3" borderId="0" xfId="0" applyFont="1" applyFill="1" applyAlignment="1">
      <alignment horizontal="center" vertical="center"/>
    </xf>
    <xf numFmtId="0" fontId="0" fillId="2" borderId="35" xfId="0" applyFill="1" applyBorder="1" applyAlignment="1">
      <alignment vertical="center"/>
    </xf>
    <xf numFmtId="0" fontId="0" fillId="6" borderId="30" xfId="0" applyFill="1" applyBorder="1" applyAlignment="1">
      <alignment vertical="center"/>
    </xf>
    <xf numFmtId="0" fontId="0" fillId="6" borderId="32" xfId="0" applyFill="1" applyBorder="1" applyAlignment="1">
      <alignment vertical="center"/>
    </xf>
    <xf numFmtId="0" fontId="0" fillId="6" borderId="0" xfId="0" applyFill="1" applyAlignment="1">
      <alignment horizontal="right" vertical="center"/>
    </xf>
    <xf numFmtId="0" fontId="12" fillId="6" borderId="0" xfId="0" applyFont="1" applyFill="1" applyAlignment="1">
      <alignment horizontal="center" vertical="center"/>
    </xf>
    <xf numFmtId="0" fontId="0" fillId="6" borderId="0" xfId="0" applyFill="1" applyAlignment="1">
      <alignment vertical="center"/>
    </xf>
    <xf numFmtId="0" fontId="10" fillId="6" borderId="0" xfId="0" applyFont="1" applyFill="1" applyAlignment="1">
      <alignment horizontal="center" vertical="center"/>
    </xf>
    <xf numFmtId="0" fontId="18" fillId="6" borderId="0" xfId="0" applyFont="1" applyFill="1" applyAlignment="1">
      <alignment horizontal="center" vertical="center"/>
    </xf>
    <xf numFmtId="0" fontId="0" fillId="6" borderId="34" xfId="0" applyFill="1" applyBorder="1" applyAlignment="1">
      <alignment vertical="center"/>
    </xf>
    <xf numFmtId="0" fontId="0" fillId="6" borderId="35" xfId="0" applyFill="1" applyBorder="1" applyAlignment="1">
      <alignment vertical="center"/>
    </xf>
    <xf numFmtId="0" fontId="0" fillId="6" borderId="30" xfId="0" applyFill="1" applyBorder="1" applyAlignment="1">
      <alignment horizontal="center" vertical="center"/>
    </xf>
    <xf numFmtId="0" fontId="0" fillId="6" borderId="31" xfId="0" applyFill="1" applyBorder="1" applyAlignment="1">
      <alignment vertical="center"/>
    </xf>
    <xf numFmtId="0" fontId="0" fillId="6" borderId="33" xfId="0" applyFill="1" applyBorder="1" applyAlignment="1">
      <alignment vertical="center"/>
    </xf>
    <xf numFmtId="0" fontId="0" fillId="6" borderId="36" xfId="0" applyFill="1" applyBorder="1" applyAlignment="1">
      <alignment vertical="center"/>
    </xf>
    <xf numFmtId="0" fontId="0" fillId="6" borderId="35" xfId="0" applyFill="1" applyBorder="1" applyAlignment="1">
      <alignment horizontal="center" vertical="center"/>
    </xf>
    <xf numFmtId="0" fontId="0" fillId="7" borderId="0" xfId="0" applyFill="1" applyAlignment="1">
      <alignment horizontal="right" vertical="center"/>
    </xf>
    <xf numFmtId="0" fontId="0" fillId="7" borderId="0" xfId="0" applyFill="1" applyAlignment="1">
      <alignment horizontal="right" vertical="top" wrapText="1"/>
    </xf>
    <xf numFmtId="0" fontId="9" fillId="2" borderId="0" xfId="0" applyFont="1" applyFill="1" applyAlignment="1">
      <alignment horizontal="right" vertical="center"/>
    </xf>
    <xf numFmtId="0" fontId="0" fillId="8" borderId="5" xfId="0" applyFill="1" applyBorder="1" applyAlignment="1">
      <alignment vertical="center"/>
    </xf>
    <xf numFmtId="0" fontId="0" fillId="8" borderId="30" xfId="0" applyFill="1" applyBorder="1" applyAlignment="1">
      <alignment vertical="center"/>
    </xf>
    <xf numFmtId="0" fontId="0" fillId="8" borderId="30" xfId="0" applyFill="1" applyBorder="1" applyAlignment="1">
      <alignment horizontal="center" vertical="center"/>
    </xf>
    <xf numFmtId="0" fontId="0" fillId="8" borderId="31" xfId="0" applyFill="1" applyBorder="1" applyAlignment="1">
      <alignment vertical="center"/>
    </xf>
    <xf numFmtId="0" fontId="0" fillId="8" borderId="32" xfId="0" applyFill="1" applyBorder="1" applyAlignment="1">
      <alignment vertical="center"/>
    </xf>
    <xf numFmtId="0" fontId="0" fillId="8" borderId="0" xfId="0" applyFill="1" applyAlignment="1">
      <alignment vertical="center"/>
    </xf>
    <xf numFmtId="0" fontId="0" fillId="8" borderId="0" xfId="0" applyFill="1" applyAlignment="1">
      <alignment horizontal="center" vertical="center"/>
    </xf>
    <xf numFmtId="0" fontId="28" fillId="8" borderId="0" xfId="0" applyFont="1" applyFill="1" applyAlignment="1">
      <alignment horizontal="center" vertical="center"/>
    </xf>
    <xf numFmtId="0" fontId="0" fillId="8" borderId="33" xfId="0" applyFill="1" applyBorder="1" applyAlignment="1">
      <alignment vertical="center"/>
    </xf>
    <xf numFmtId="0" fontId="1" fillId="8" borderId="0" xfId="0" applyFont="1" applyFill="1" applyAlignment="1">
      <alignment horizontal="right" vertical="center"/>
    </xf>
    <xf numFmtId="165" fontId="1" fillId="8" borderId="0" xfId="0" applyNumberFormat="1" applyFont="1" applyFill="1" applyAlignment="1">
      <alignment horizontal="left" vertical="center"/>
    </xf>
    <xf numFmtId="167" fontId="0" fillId="8" borderId="0" xfId="0" applyNumberFormat="1" applyFill="1" applyAlignment="1">
      <alignment horizontal="center" vertical="center"/>
    </xf>
    <xf numFmtId="2" fontId="0" fillId="8" borderId="0" xfId="0" applyNumberFormat="1" applyFill="1" applyAlignment="1">
      <alignment horizontal="center" vertical="center"/>
    </xf>
    <xf numFmtId="0" fontId="0" fillId="8" borderId="0" xfId="0" applyFill="1" applyAlignment="1">
      <alignment horizontal="left" vertical="center"/>
    </xf>
    <xf numFmtId="0" fontId="29" fillId="8" borderId="0" xfId="0" applyFont="1" applyFill="1" applyAlignment="1">
      <alignment horizontal="center" vertical="center"/>
    </xf>
    <xf numFmtId="1" fontId="1" fillId="8" borderId="0" xfId="0" applyNumberFormat="1" applyFont="1" applyFill="1" applyAlignment="1">
      <alignment horizontal="left" vertical="center"/>
    </xf>
    <xf numFmtId="0" fontId="21" fillId="8" borderId="0" xfId="0" applyFont="1" applyFill="1" applyAlignment="1">
      <alignment horizontal="right" vertical="center"/>
    </xf>
    <xf numFmtId="0" fontId="0" fillId="8" borderId="34" xfId="0" applyFill="1" applyBorder="1" applyAlignment="1">
      <alignment vertical="center"/>
    </xf>
    <xf numFmtId="0" fontId="0" fillId="8" borderId="35" xfId="0" applyFill="1" applyBorder="1" applyAlignment="1">
      <alignment vertical="center"/>
    </xf>
    <xf numFmtId="0" fontId="0" fillId="8" borderId="35" xfId="0" applyFill="1" applyBorder="1" applyAlignment="1">
      <alignment horizontal="center" vertical="center"/>
    </xf>
    <xf numFmtId="0" fontId="0" fillId="8" borderId="36" xfId="0" applyFill="1" applyBorder="1" applyAlignment="1">
      <alignment vertical="center"/>
    </xf>
    <xf numFmtId="0" fontId="1" fillId="9" borderId="0" xfId="0" applyFont="1" applyFill="1" applyAlignment="1">
      <alignment horizontal="right" vertical="center"/>
    </xf>
    <xf numFmtId="165" fontId="1" fillId="9" borderId="0" xfId="0" applyNumberFormat="1" applyFont="1" applyFill="1" applyAlignment="1">
      <alignment horizontal="left" vertical="center"/>
    </xf>
    <xf numFmtId="0" fontId="0" fillId="9" borderId="0" xfId="0" applyFill="1" applyAlignment="1">
      <alignment vertical="center"/>
    </xf>
    <xf numFmtId="168" fontId="1" fillId="9" borderId="0" xfId="0" applyNumberFormat="1" applyFont="1" applyFill="1" applyAlignment="1">
      <alignment horizontal="left" vertical="center"/>
    </xf>
    <xf numFmtId="0" fontId="8" fillId="8" borderId="0" xfId="0" applyFont="1" applyFill="1" applyAlignment="1">
      <alignment vertical="center"/>
    </xf>
    <xf numFmtId="0" fontId="33" fillId="6" borderId="5" xfId="0" applyFont="1" applyFill="1" applyBorder="1" applyAlignment="1">
      <alignment horizontal="left" vertical="top"/>
    </xf>
    <xf numFmtId="0" fontId="0" fillId="6" borderId="35" xfId="0" applyFill="1" applyBorder="1" applyAlignment="1">
      <alignment horizontal="right" vertical="center"/>
    </xf>
    <xf numFmtId="0" fontId="0" fillId="8" borderId="30" xfId="0" applyFill="1" applyBorder="1" applyAlignment="1">
      <alignment horizontal="right" vertical="center"/>
    </xf>
    <xf numFmtId="0" fontId="28" fillId="8" borderId="0" xfId="0" applyFont="1" applyFill="1" applyAlignment="1">
      <alignment horizontal="right" vertical="center"/>
    </xf>
    <xf numFmtId="0" fontId="0" fillId="8" borderId="0" xfId="0" applyFill="1" applyAlignment="1">
      <alignment horizontal="right" vertical="center"/>
    </xf>
    <xf numFmtId="0" fontId="0" fillId="8" borderId="35" xfId="0" applyFill="1" applyBorder="1" applyAlignment="1">
      <alignment horizontal="right" vertical="center"/>
    </xf>
    <xf numFmtId="0" fontId="0" fillId="6" borderId="30" xfId="0" applyFill="1" applyBorder="1" applyAlignment="1">
      <alignment horizontal="left" vertical="center"/>
    </xf>
    <xf numFmtId="0" fontId="0" fillId="6" borderId="0" xfId="0" applyFill="1" applyAlignment="1">
      <alignment horizontal="left" vertical="center"/>
    </xf>
    <xf numFmtId="0" fontId="1" fillId="6" borderId="0" xfId="0" applyFont="1" applyFill="1" applyAlignment="1">
      <alignment horizontal="center" vertical="center"/>
    </xf>
    <xf numFmtId="0" fontId="0" fillId="3" borderId="0" xfId="0" applyFill="1" applyAlignment="1">
      <alignment horizontal="center" vertical="center"/>
    </xf>
    <xf numFmtId="0" fontId="26" fillId="2" borderId="0" xfId="0" applyFont="1" applyFill="1" applyAlignment="1">
      <alignment vertical="center" wrapText="1"/>
    </xf>
    <xf numFmtId="0" fontId="27" fillId="2" borderId="0" xfId="0" applyFont="1" applyFill="1"/>
    <xf numFmtId="0" fontId="37" fillId="2" borderId="0" xfId="0" applyFont="1" applyFill="1" applyAlignment="1">
      <alignment vertical="center" wrapText="1"/>
    </xf>
    <xf numFmtId="0" fontId="27" fillId="2" borderId="0" xfId="0" applyFont="1" applyFill="1" applyAlignment="1">
      <alignment horizontal="left" vertical="center" wrapText="1" indent="1"/>
    </xf>
    <xf numFmtId="0" fontId="26" fillId="2" borderId="0" xfId="0" applyFont="1" applyFill="1" applyAlignment="1">
      <alignment horizontal="left" vertical="center" wrapText="1" indent="1"/>
    </xf>
    <xf numFmtId="0" fontId="27" fillId="2" borderId="0" xfId="0" applyFont="1" applyFill="1" applyAlignment="1">
      <alignment vertical="center"/>
    </xf>
    <xf numFmtId="0" fontId="26" fillId="2" borderId="0" xfId="0" applyFont="1" applyFill="1" applyAlignment="1">
      <alignment horizontal="left" vertical="center" wrapText="1"/>
    </xf>
    <xf numFmtId="0" fontId="38" fillId="6" borderId="0" xfId="0" applyFont="1" applyFill="1" applyAlignment="1">
      <alignment horizontal="right" vertical="top"/>
    </xf>
    <xf numFmtId="0" fontId="39" fillId="8" borderId="0" xfId="0" applyFont="1" applyFill="1" applyAlignment="1">
      <alignment horizontal="center" vertical="center"/>
    </xf>
    <xf numFmtId="0" fontId="0" fillId="8" borderId="40" xfId="0" applyFill="1" applyBorder="1" applyAlignment="1">
      <alignment vertical="center"/>
    </xf>
    <xf numFmtId="0" fontId="34" fillId="6" borderId="41" xfId="0" applyFont="1" applyFill="1" applyBorder="1" applyAlignment="1">
      <alignment horizontal="left"/>
    </xf>
    <xf numFmtId="0" fontId="0" fillId="6" borderId="42" xfId="0" applyFill="1" applyBorder="1" applyAlignment="1">
      <alignment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43" xfId="0" applyFont="1" applyFill="1" applyBorder="1" applyAlignment="1">
      <alignment horizontal="center" vertical="center"/>
    </xf>
    <xf numFmtId="169" fontId="1" fillId="9" borderId="0" xfId="0" applyNumberFormat="1" applyFont="1" applyFill="1" applyAlignment="1">
      <alignment horizontal="left" vertical="center"/>
    </xf>
    <xf numFmtId="0" fontId="8" fillId="2" borderId="46" xfId="0" applyFont="1" applyFill="1" applyBorder="1" applyAlignment="1">
      <alignment horizontal="center" vertical="center"/>
    </xf>
    <xf numFmtId="164" fontId="8" fillId="2" borderId="26" xfId="0" applyNumberFormat="1" applyFont="1" applyFill="1" applyBorder="1" applyAlignment="1">
      <alignment horizontal="center" vertical="center"/>
    </xf>
    <xf numFmtId="164" fontId="8" fillId="2" borderId="44" xfId="0" applyNumberFormat="1" applyFont="1" applyFill="1" applyBorder="1" applyAlignment="1">
      <alignment horizontal="center" vertical="center"/>
    </xf>
    <xf numFmtId="1" fontId="8" fillId="2" borderId="47" xfId="0" applyNumberFormat="1" applyFont="1" applyFill="1" applyBorder="1" applyAlignment="1">
      <alignment horizontal="center" vertical="center"/>
    </xf>
    <xf numFmtId="0" fontId="0" fillId="2" borderId="46" xfId="0" applyFill="1" applyBorder="1" applyAlignment="1">
      <alignment horizontal="center" vertical="center"/>
    </xf>
    <xf numFmtId="0" fontId="0" fillId="2" borderId="11" xfId="0" applyFill="1" applyBorder="1" applyAlignment="1">
      <alignment horizontal="left" vertical="center"/>
    </xf>
    <xf numFmtId="0" fontId="20" fillId="2" borderId="34" xfId="0" applyFont="1" applyFill="1" applyBorder="1" applyAlignment="1">
      <alignment vertical="center"/>
    </xf>
    <xf numFmtId="0" fontId="40" fillId="2" borderId="36" xfId="0" applyFont="1" applyFill="1" applyBorder="1" applyAlignment="1">
      <alignment horizontal="right"/>
    </xf>
    <xf numFmtId="0" fontId="41" fillId="6" borderId="0" xfId="0" applyFont="1" applyFill="1" applyAlignment="1">
      <alignment horizontal="left" vertical="center"/>
    </xf>
    <xf numFmtId="0" fontId="0" fillId="2" borderId="0" xfId="0" applyFill="1" applyAlignment="1">
      <alignment horizontal="left" vertical="center"/>
    </xf>
    <xf numFmtId="170" fontId="1" fillId="9" borderId="0" xfId="0" applyNumberFormat="1" applyFont="1" applyFill="1" applyAlignment="1">
      <alignment horizontal="left" vertical="center"/>
    </xf>
    <xf numFmtId="0" fontId="43" fillId="2" borderId="0" xfId="0" applyFont="1" applyFill="1" applyAlignment="1">
      <alignment horizontal="right" vertical="center"/>
    </xf>
    <xf numFmtId="0" fontId="0" fillId="2" borderId="13" xfId="0" applyFill="1" applyBorder="1"/>
    <xf numFmtId="0" fontId="0" fillId="2" borderId="7" xfId="0" applyFill="1" applyBorder="1" applyAlignment="1">
      <alignment horizontal="center"/>
    </xf>
    <xf numFmtId="0" fontId="0" fillId="2" borderId="25" xfId="0" applyFill="1" applyBorder="1" applyAlignment="1">
      <alignment horizontal="center"/>
    </xf>
    <xf numFmtId="0" fontId="0" fillId="5" borderId="4" xfId="0" applyFill="1" applyBorder="1"/>
    <xf numFmtId="0" fontId="9" fillId="2" borderId="15" xfId="0" applyFont="1" applyFill="1" applyBorder="1"/>
    <xf numFmtId="0" fontId="9" fillId="2" borderId="17" xfId="0" applyFont="1" applyFill="1" applyBorder="1"/>
    <xf numFmtId="0" fontId="9" fillId="2" borderId="19" xfId="0" applyFont="1" applyFill="1" applyBorder="1"/>
    <xf numFmtId="1" fontId="17" fillId="2" borderId="8" xfId="0" applyNumberFormat="1" applyFont="1" applyFill="1" applyBorder="1" applyAlignment="1">
      <alignment horizontal="center" vertical="center"/>
    </xf>
    <xf numFmtId="0" fontId="0" fillId="2" borderId="48" xfId="0" applyFill="1" applyBorder="1" applyAlignment="1">
      <alignment horizontal="center" vertical="center"/>
    </xf>
    <xf numFmtId="0" fontId="0" fillId="2" borderId="49" xfId="0" applyFill="1" applyBorder="1" applyAlignment="1">
      <alignment horizontal="center" vertical="center"/>
    </xf>
    <xf numFmtId="0" fontId="43" fillId="2" borderId="0" xfId="0" applyFont="1" applyFill="1" applyAlignment="1">
      <alignment horizontal="left" vertical="center"/>
    </xf>
    <xf numFmtId="0" fontId="0" fillId="2" borderId="50" xfId="0" applyFill="1" applyBorder="1" applyAlignment="1">
      <alignment horizontal="center" vertical="center"/>
    </xf>
    <xf numFmtId="0" fontId="0" fillId="2" borderId="8" xfId="0" applyFill="1" applyBorder="1" applyAlignment="1">
      <alignment horizontal="center"/>
    </xf>
    <xf numFmtId="0" fontId="0" fillId="2" borderId="51" xfId="0" applyFill="1" applyBorder="1" applyAlignment="1">
      <alignment horizontal="center"/>
    </xf>
    <xf numFmtId="0" fontId="8" fillId="2" borderId="11" xfId="0" applyFont="1" applyFill="1" applyBorder="1" applyAlignment="1">
      <alignment horizontal="center" vertical="center"/>
    </xf>
    <xf numFmtId="0" fontId="8" fillId="2" borderId="13" xfId="0" applyFont="1" applyFill="1" applyBorder="1" applyAlignment="1">
      <alignment horizontal="center" vertical="center"/>
    </xf>
    <xf numFmtId="0" fontId="42" fillId="2" borderId="54" xfId="0" applyFont="1" applyFill="1" applyBorder="1" applyAlignment="1">
      <alignment horizontal="center" vertical="center"/>
    </xf>
    <xf numFmtId="0" fontId="42" fillId="2" borderId="48" xfId="0" applyFont="1" applyFill="1" applyBorder="1" applyAlignment="1">
      <alignment horizontal="center" vertical="center"/>
    </xf>
    <xf numFmtId="0" fontId="42" fillId="2" borderId="49" xfId="0" applyFont="1" applyFill="1" applyBorder="1" applyAlignment="1">
      <alignment horizontal="center" vertical="center"/>
    </xf>
    <xf numFmtId="0" fontId="43" fillId="2" borderId="17" xfId="0" applyFont="1" applyFill="1" applyBorder="1" applyAlignment="1">
      <alignment horizontal="center" vertical="center"/>
    </xf>
    <xf numFmtId="0" fontId="43" fillId="2" borderId="3" xfId="0" applyFont="1" applyFill="1" applyBorder="1" applyAlignment="1">
      <alignment horizontal="center" vertical="center"/>
    </xf>
    <xf numFmtId="0" fontId="43" fillId="2" borderId="18" xfId="0" applyFont="1" applyFill="1" applyBorder="1" applyAlignment="1">
      <alignment horizontal="center" vertical="center"/>
    </xf>
    <xf numFmtId="0" fontId="43" fillId="2" borderId="52"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53" xfId="0" applyFont="1" applyFill="1" applyBorder="1" applyAlignment="1">
      <alignment horizontal="center" vertical="center"/>
    </xf>
    <xf numFmtId="0" fontId="17" fillId="2" borderId="23" xfId="0" applyFont="1" applyFill="1" applyBorder="1" applyAlignment="1">
      <alignment horizontal="center" vertical="center"/>
    </xf>
    <xf numFmtId="1" fontId="0" fillId="2" borderId="16" xfId="0" applyNumberFormat="1" applyFill="1" applyBorder="1" applyAlignment="1">
      <alignment horizontal="center"/>
    </xf>
    <xf numFmtId="1" fontId="0" fillId="2" borderId="18" xfId="0" applyNumberFormat="1" applyFill="1" applyBorder="1" applyAlignment="1">
      <alignment horizontal="center"/>
    </xf>
    <xf numFmtId="0" fontId="43" fillId="2" borderId="15" xfId="0" applyFont="1" applyFill="1" applyBorder="1" applyAlignment="1">
      <alignment horizontal="center" vertical="center"/>
    </xf>
    <xf numFmtId="0" fontId="43" fillId="2" borderId="29" xfId="0" applyFont="1" applyFill="1" applyBorder="1" applyAlignment="1">
      <alignment horizontal="center" vertical="center"/>
    </xf>
    <xf numFmtId="0" fontId="43" fillId="2" borderId="16" xfId="0" applyFont="1" applyFill="1" applyBorder="1" applyAlignment="1">
      <alignment horizontal="center" vertical="center"/>
    </xf>
    <xf numFmtId="0" fontId="0" fillId="2" borderId="54" xfId="0" applyFill="1" applyBorder="1"/>
    <xf numFmtId="1" fontId="0" fillId="2" borderId="20" xfId="0" applyNumberFormat="1" applyFill="1" applyBorder="1" applyAlignment="1">
      <alignment horizontal="center"/>
    </xf>
    <xf numFmtId="0" fontId="0" fillId="3" borderId="0" xfId="0" applyFill="1"/>
    <xf numFmtId="1" fontId="17" fillId="2" borderId="19" xfId="0" applyNumberFormat="1" applyFont="1" applyFill="1" applyBorder="1" applyAlignment="1">
      <alignment horizontal="center" vertical="center"/>
    </xf>
    <xf numFmtId="0" fontId="45" fillId="3" borderId="0" xfId="0" applyFont="1" applyFill="1" applyAlignment="1">
      <alignment horizontal="center" vertical="center"/>
    </xf>
    <xf numFmtId="0" fontId="46" fillId="7" borderId="0" xfId="0" applyFont="1" applyFill="1" applyAlignment="1">
      <alignment horizontal="right" vertical="top" wrapText="1"/>
    </xf>
    <xf numFmtId="0" fontId="8" fillId="8" borderId="0" xfId="0" applyFont="1" applyFill="1" applyAlignment="1">
      <alignment horizontal="right" vertical="center"/>
    </xf>
    <xf numFmtId="170" fontId="8" fillId="8" borderId="0" xfId="0" applyNumberFormat="1" applyFont="1" applyFill="1" applyAlignment="1">
      <alignment horizontal="right" vertical="center"/>
    </xf>
    <xf numFmtId="0" fontId="0" fillId="2" borderId="27" xfId="0" applyFill="1" applyBorder="1" applyAlignment="1">
      <alignment horizontal="center" vertical="center"/>
    </xf>
    <xf numFmtId="0" fontId="35" fillId="8" borderId="39" xfId="0" applyFont="1" applyFill="1" applyBorder="1" applyAlignment="1">
      <alignment horizontal="center" vertical="center"/>
    </xf>
    <xf numFmtId="0" fontId="14" fillId="13" borderId="3" xfId="0" applyFont="1" applyFill="1" applyBorder="1"/>
    <xf numFmtId="0" fontId="0" fillId="13" borderId="3" xfId="0" applyFill="1" applyBorder="1"/>
    <xf numFmtId="0" fontId="14" fillId="2" borderId="9" xfId="0" applyFont="1" applyFill="1" applyBorder="1" applyAlignment="1">
      <alignment horizontal="center" vertical="center"/>
    </xf>
    <xf numFmtId="0" fontId="49" fillId="0" borderId="3" xfId="0" applyFont="1" applyBorder="1" applyAlignment="1">
      <alignment horizontal="center"/>
    </xf>
    <xf numFmtId="0" fontId="14" fillId="0" borderId="0" xfId="0" applyFont="1"/>
    <xf numFmtId="0" fontId="49" fillId="0" borderId="0" xfId="0" applyFont="1"/>
    <xf numFmtId="0" fontId="14" fillId="0" borderId="3" xfId="0" applyFont="1" applyBorder="1" applyAlignment="1">
      <alignment horizontal="center" vertical="center"/>
    </xf>
    <xf numFmtId="0" fontId="0" fillId="0" borderId="3" xfId="0" applyBorder="1"/>
    <xf numFmtId="0" fontId="49" fillId="0" borderId="3" xfId="0" applyFont="1" applyBorder="1"/>
    <xf numFmtId="0" fontId="14" fillId="0" borderId="3" xfId="0" applyFont="1" applyBorder="1"/>
    <xf numFmtId="0" fontId="49" fillId="0" borderId="9" xfId="0" applyFont="1" applyBorder="1" applyAlignment="1">
      <alignment horizontal="center"/>
    </xf>
    <xf numFmtId="0" fontId="0" fillId="0" borderId="0" xfId="0" applyAlignment="1">
      <alignment horizontal="center"/>
    </xf>
    <xf numFmtId="0" fontId="10" fillId="2" borderId="0" xfId="0" applyFont="1" applyFill="1" applyAlignment="1">
      <alignment horizontal="center" vertical="center"/>
    </xf>
    <xf numFmtId="0" fontId="0" fillId="14" borderId="15" xfId="0" applyFill="1" applyBorder="1" applyAlignment="1">
      <alignment horizontal="center" vertical="center"/>
    </xf>
    <xf numFmtId="0" fontId="0" fillId="14" borderId="17" xfId="0" applyFill="1" applyBorder="1" applyAlignment="1">
      <alignment horizontal="center" vertical="center"/>
    </xf>
    <xf numFmtId="0" fontId="0" fillId="14" borderId="19" xfId="0" applyFill="1" applyBorder="1" applyAlignment="1">
      <alignment horizontal="center" vertical="center"/>
    </xf>
    <xf numFmtId="0" fontId="0" fillId="15" borderId="3" xfId="0" applyFill="1" applyBorder="1" applyAlignment="1">
      <alignment horizontal="center" vertical="center"/>
    </xf>
    <xf numFmtId="1" fontId="50" fillId="2" borderId="3" xfId="0" applyNumberFormat="1" applyFont="1" applyFill="1" applyBorder="1" applyAlignment="1">
      <alignment horizontal="center" vertical="center"/>
    </xf>
    <xf numFmtId="0" fontId="0" fillId="15" borderId="3" xfId="0" applyFill="1" applyBorder="1" applyAlignment="1">
      <alignment horizontal="right" vertical="center"/>
    </xf>
    <xf numFmtId="0" fontId="0" fillId="15" borderId="11" xfId="0" applyFill="1" applyBorder="1" applyAlignment="1">
      <alignment horizontal="center" vertical="center"/>
    </xf>
    <xf numFmtId="0" fontId="8" fillId="2" borderId="46" xfId="0" applyFont="1" applyFill="1" applyBorder="1" applyAlignment="1">
      <alignment vertical="center"/>
    </xf>
    <xf numFmtId="2" fontId="8" fillId="2" borderId="13" xfId="0" applyNumberFormat="1" applyFont="1" applyFill="1" applyBorder="1" applyAlignment="1">
      <alignment horizontal="center" vertical="center"/>
    </xf>
    <xf numFmtId="0" fontId="0" fillId="2" borderId="56" xfId="0" applyFill="1" applyBorder="1" applyAlignment="1">
      <alignment horizontal="center" vertical="center"/>
    </xf>
    <xf numFmtId="0" fontId="0" fillId="2" borderId="25" xfId="0" applyFill="1" applyBorder="1" applyAlignment="1">
      <alignment horizontal="center" vertical="center"/>
    </xf>
    <xf numFmtId="0" fontId="14" fillId="15" borderId="9" xfId="0" applyFont="1" applyFill="1" applyBorder="1" applyAlignment="1">
      <alignment vertical="center"/>
    </xf>
    <xf numFmtId="0" fontId="0" fillId="15" borderId="3" xfId="0" applyFill="1" applyBorder="1" applyAlignment="1">
      <alignment horizontal="left" vertical="center"/>
    </xf>
    <xf numFmtId="1" fontId="42" fillId="2" borderId="3" xfId="0" applyNumberFormat="1" applyFont="1" applyFill="1" applyBorder="1" applyAlignment="1">
      <alignment horizontal="center" vertical="center"/>
    </xf>
    <xf numFmtId="0" fontId="0" fillId="15" borderId="2" xfId="0" applyFill="1" applyBorder="1" applyAlignment="1">
      <alignment horizontal="center" vertical="center"/>
    </xf>
    <xf numFmtId="0" fontId="0" fillId="15" borderId="15" xfId="0" applyFill="1" applyBorder="1" applyAlignment="1">
      <alignment horizontal="center" vertical="center"/>
    </xf>
    <xf numFmtId="0" fontId="0" fillId="15" borderId="16" xfId="0" applyFill="1" applyBorder="1" applyAlignment="1">
      <alignment horizontal="center" vertical="center"/>
    </xf>
    <xf numFmtId="0" fontId="1" fillId="2" borderId="3" xfId="0" applyFont="1" applyFill="1" applyBorder="1"/>
    <xf numFmtId="0" fontId="0" fillId="5" borderId="2" xfId="0" applyFill="1" applyBorder="1" applyAlignment="1">
      <alignment vertical="center" wrapText="1"/>
    </xf>
    <xf numFmtId="0" fontId="51" fillId="2" borderId="3" xfId="0" applyFont="1" applyFill="1" applyBorder="1" applyAlignment="1">
      <alignment horizontal="center"/>
    </xf>
    <xf numFmtId="0" fontId="14" fillId="2" borderId="9" xfId="0" applyFont="1" applyFill="1" applyBorder="1" applyAlignment="1">
      <alignment horizontal="left" vertical="center"/>
    </xf>
    <xf numFmtId="0" fontId="49" fillId="0" borderId="9" xfId="0" applyFont="1" applyBorder="1" applyAlignment="1">
      <alignment horizontal="left" vertical="center"/>
    </xf>
    <xf numFmtId="0" fontId="49" fillId="0" borderId="3" xfId="0" applyFont="1" applyBorder="1" applyAlignment="1">
      <alignment horizontal="left" vertical="center"/>
    </xf>
    <xf numFmtId="0" fontId="14" fillId="6" borderId="0" xfId="0" applyFont="1" applyFill="1" applyAlignment="1">
      <alignment horizontal="right" vertical="center"/>
    </xf>
    <xf numFmtId="0" fontId="53" fillId="6" borderId="0" xfId="0" applyFont="1" applyFill="1" applyAlignment="1">
      <alignment horizontal="center" vertical="center"/>
    </xf>
    <xf numFmtId="0" fontId="54" fillId="2" borderId="0" xfId="0" applyFont="1" applyFill="1"/>
    <xf numFmtId="0" fontId="0" fillId="4" borderId="3" xfId="0" applyFill="1" applyBorder="1" applyAlignment="1">
      <alignment horizontal="right" vertical="center"/>
    </xf>
    <xf numFmtId="0" fontId="8" fillId="4" borderId="3" xfId="0" applyFont="1" applyFill="1" applyBorder="1" applyAlignment="1">
      <alignment horizontal="right" vertical="center"/>
    </xf>
    <xf numFmtId="0" fontId="8" fillId="2" borderId="0" xfId="0" applyFont="1" applyFill="1" applyAlignment="1">
      <alignment horizontal="center" vertical="center" wrapText="1"/>
    </xf>
    <xf numFmtId="0" fontId="49" fillId="15" borderId="3" xfId="0" applyFont="1" applyFill="1" applyBorder="1" applyAlignment="1">
      <alignment horizontal="center"/>
    </xf>
    <xf numFmtId="0" fontId="0" fillId="0" borderId="0" xfId="0" applyAlignment="1">
      <alignment horizontal="center" vertical="center"/>
    </xf>
    <xf numFmtId="0" fontId="14" fillId="2" borderId="8" xfId="0" applyFont="1" applyFill="1" applyBorder="1" applyAlignment="1">
      <alignment vertical="center"/>
    </xf>
    <xf numFmtId="0" fontId="48" fillId="11" borderId="57" xfId="0" applyFont="1" applyFill="1" applyBorder="1" applyAlignment="1">
      <alignment horizontal="center" vertical="center"/>
    </xf>
    <xf numFmtId="0" fontId="14" fillId="2" borderId="0" xfId="0" applyFont="1" applyFill="1" applyAlignment="1">
      <alignment horizontal="center" vertical="center"/>
    </xf>
    <xf numFmtId="2" fontId="8" fillId="2" borderId="10" xfId="0" applyNumberFormat="1" applyFont="1" applyFill="1" applyBorder="1" applyAlignment="1">
      <alignment horizontal="center" vertical="center"/>
    </xf>
    <xf numFmtId="0" fontId="49" fillId="15" borderId="3" xfId="0" applyFont="1" applyFill="1" applyBorder="1" applyAlignment="1">
      <alignment horizontal="left" vertical="center"/>
    </xf>
    <xf numFmtId="0" fontId="14" fillId="15" borderId="9" xfId="0" applyFont="1" applyFill="1" applyBorder="1" applyAlignment="1">
      <alignment horizontal="left" vertical="center"/>
    </xf>
    <xf numFmtId="0" fontId="10" fillId="15" borderId="3" xfId="0" applyFont="1" applyFill="1" applyBorder="1" applyAlignment="1">
      <alignment horizontal="center" vertical="center"/>
    </xf>
    <xf numFmtId="0" fontId="0" fillId="0" borderId="9" xfId="0" applyBorder="1"/>
    <xf numFmtId="0" fontId="0" fillId="0" borderId="17" xfId="0" applyBorder="1"/>
    <xf numFmtId="0" fontId="0" fillId="0" borderId="18" xfId="0" applyBorder="1"/>
    <xf numFmtId="0" fontId="0" fillId="0" borderId="19" xfId="0" applyBorder="1"/>
    <xf numFmtId="0" fontId="0" fillId="0" borderId="26" xfId="0" applyBorder="1"/>
    <xf numFmtId="0" fontId="0" fillId="0" borderId="20" xfId="0" applyBorder="1"/>
    <xf numFmtId="0" fontId="0" fillId="2" borderId="0" xfId="0" applyFill="1" applyAlignment="1">
      <alignment wrapText="1"/>
    </xf>
    <xf numFmtId="0" fontId="0" fillId="2" borderId="27" xfId="0" applyFill="1" applyBorder="1" applyAlignment="1">
      <alignment horizontal="left" vertical="center" wrapText="1"/>
    </xf>
    <xf numFmtId="0" fontId="0" fillId="2" borderId="28"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45" xfId="0" applyFill="1" applyBorder="1" applyAlignment="1">
      <alignment horizontal="center"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52" fillId="14" borderId="12" xfId="0" applyFont="1" applyFill="1" applyBorder="1" applyAlignment="1">
      <alignment horizontal="center" vertical="center"/>
    </xf>
    <xf numFmtId="0" fontId="1" fillId="14" borderId="12" xfId="0" applyFont="1" applyFill="1" applyBorder="1" applyAlignment="1">
      <alignment horizontal="center" vertical="center"/>
    </xf>
    <xf numFmtId="0" fontId="1" fillId="14" borderId="17" xfId="0" applyFont="1" applyFill="1" applyBorder="1" applyAlignment="1">
      <alignment horizontal="center" vertical="center"/>
    </xf>
    <xf numFmtId="0" fontId="1" fillId="14" borderId="18" xfId="0" applyFont="1" applyFill="1" applyBorder="1" applyAlignment="1">
      <alignment horizontal="center" vertical="center"/>
    </xf>
    <xf numFmtId="0" fontId="1" fillId="14" borderId="3" xfId="0" applyFont="1" applyFill="1" applyBorder="1" applyAlignment="1">
      <alignment horizontal="center" vertical="center"/>
    </xf>
    <xf numFmtId="0" fontId="52" fillId="14" borderId="17" xfId="0" applyFont="1" applyFill="1" applyBorder="1" applyAlignment="1">
      <alignment horizontal="center" vertical="center"/>
    </xf>
    <xf numFmtId="0" fontId="52" fillId="14" borderId="18" xfId="0" applyFont="1" applyFill="1" applyBorder="1" applyAlignment="1">
      <alignment horizontal="center" vertical="center"/>
    </xf>
    <xf numFmtId="0" fontId="52" fillId="14" borderId="3" xfId="0" applyFont="1" applyFill="1" applyBorder="1" applyAlignment="1">
      <alignment horizontal="center" vertical="center"/>
    </xf>
    <xf numFmtId="0" fontId="52" fillId="14" borderId="8" xfId="0" applyFont="1" applyFill="1" applyBorder="1" applyAlignment="1">
      <alignment horizontal="center" vertical="center"/>
    </xf>
    <xf numFmtId="0" fontId="0" fillId="14" borderId="3" xfId="0" applyFill="1" applyBorder="1" applyAlignment="1">
      <alignment horizontal="center" vertical="center"/>
    </xf>
    <xf numFmtId="0" fontId="0" fillId="14" borderId="18" xfId="0" applyFill="1" applyBorder="1" applyAlignment="1">
      <alignment horizontal="center" vertical="center"/>
    </xf>
    <xf numFmtId="0" fontId="0" fillId="14" borderId="12" xfId="0" applyFill="1" applyBorder="1" applyAlignment="1">
      <alignment horizontal="center" vertical="center"/>
    </xf>
    <xf numFmtId="0" fontId="0" fillId="2" borderId="11" xfId="0" applyFill="1" applyBorder="1" applyAlignment="1">
      <alignment horizontal="center" vertical="center" wrapText="1"/>
    </xf>
    <xf numFmtId="1" fontId="0" fillId="2" borderId="19" xfId="0" applyNumberFormat="1" applyFill="1" applyBorder="1" applyAlignment="1">
      <alignment horizontal="center" vertical="center"/>
    </xf>
    <xf numFmtId="1" fontId="0" fillId="2" borderId="13" xfId="0" applyNumberFormat="1" applyFill="1" applyBorder="1" applyAlignment="1">
      <alignment horizontal="center" vertical="center"/>
    </xf>
    <xf numFmtId="1" fontId="0" fillId="2" borderId="20" xfId="0" applyNumberFormat="1" applyFill="1" applyBorder="1" applyAlignment="1">
      <alignment horizontal="center" vertical="center"/>
    </xf>
    <xf numFmtId="1" fontId="0" fillId="2" borderId="26" xfId="0" applyNumberFormat="1" applyFill="1" applyBorder="1" applyAlignment="1">
      <alignment horizontal="center" vertical="center"/>
    </xf>
    <xf numFmtId="0" fontId="0" fillId="13" borderId="9" xfId="0" applyFill="1" applyBorder="1"/>
    <xf numFmtId="0" fontId="49" fillId="0" borderId="9" xfId="0" applyFont="1" applyBorder="1"/>
    <xf numFmtId="0" fontId="0" fillId="14" borderId="3" xfId="0" applyFill="1" applyBorder="1" applyAlignment="1">
      <alignment horizontal="center"/>
    </xf>
    <xf numFmtId="0" fontId="0" fillId="0" borderId="3" xfId="0" applyBorder="1" applyAlignment="1">
      <alignment horizontal="center"/>
    </xf>
    <xf numFmtId="0" fontId="0" fillId="0" borderId="0" xfId="0" applyAlignment="1">
      <alignment horizontal="left"/>
    </xf>
    <xf numFmtId="0" fontId="1" fillId="5" borderId="54" xfId="0" applyFont="1" applyFill="1" applyBorder="1" applyAlignment="1">
      <alignment horizontal="center" vertical="center"/>
    </xf>
    <xf numFmtId="0" fontId="14" fillId="0" borderId="0" xfId="0" applyFont="1" applyAlignment="1">
      <alignment horizontal="right"/>
    </xf>
    <xf numFmtId="0" fontId="55" fillId="6" borderId="0" xfId="0" applyFont="1" applyFill="1" applyAlignment="1">
      <alignment horizontal="center" vertical="center"/>
    </xf>
    <xf numFmtId="0" fontId="9" fillId="2" borderId="9" xfId="0" applyFont="1" applyFill="1" applyBorder="1" applyAlignment="1">
      <alignment horizontal="center" vertical="center"/>
    </xf>
    <xf numFmtId="0" fontId="0" fillId="2" borderId="9" xfId="0" applyFill="1" applyBorder="1" applyAlignment="1">
      <alignment horizontal="center"/>
    </xf>
    <xf numFmtId="0" fontId="0" fillId="2" borderId="44" xfId="0" applyFill="1" applyBorder="1" applyAlignment="1">
      <alignment horizontal="center"/>
    </xf>
    <xf numFmtId="0" fontId="56" fillId="2" borderId="0" xfId="0" applyFont="1" applyFill="1" applyAlignment="1">
      <alignment horizontal="center" vertical="center"/>
    </xf>
    <xf numFmtId="0" fontId="0" fillId="0" borderId="9" xfId="0" applyBorder="1" applyAlignment="1">
      <alignment horizontal="center"/>
    </xf>
    <xf numFmtId="0" fontId="1" fillId="5" borderId="59" xfId="0" applyFont="1" applyFill="1" applyBorder="1" applyAlignment="1">
      <alignment horizontal="center"/>
    </xf>
    <xf numFmtId="0" fontId="8" fillId="6" borderId="0" xfId="0" applyFont="1" applyFill="1" applyAlignment="1">
      <alignment horizontal="left" vertical="center"/>
    </xf>
    <xf numFmtId="0" fontId="9" fillId="2" borderId="8" xfId="0" applyFont="1" applyFill="1" applyBorder="1" applyAlignment="1">
      <alignment horizontal="center" vertical="center"/>
    </xf>
    <xf numFmtId="0" fontId="10" fillId="2" borderId="0" xfId="0" applyFont="1" applyFill="1" applyAlignment="1">
      <alignment horizontal="center"/>
    </xf>
    <xf numFmtId="0" fontId="42" fillId="6" borderId="0" xfId="0" applyFont="1" applyFill="1" applyAlignment="1">
      <alignment horizontal="left" vertical="center"/>
    </xf>
    <xf numFmtId="0" fontId="14" fillId="2" borderId="27" xfId="0" applyFont="1" applyFill="1" applyBorder="1" applyAlignment="1">
      <alignment horizontal="left" vertical="center"/>
    </xf>
    <xf numFmtId="0" fontId="14" fillId="2" borderId="43" xfId="0" applyFont="1" applyFill="1" applyBorder="1" applyAlignment="1">
      <alignment horizontal="left" vertical="center"/>
    </xf>
    <xf numFmtId="0" fontId="14" fillId="15" borderId="43" xfId="0" applyFont="1" applyFill="1" applyBorder="1" applyAlignment="1">
      <alignment horizontal="left" vertical="center"/>
    </xf>
    <xf numFmtId="0" fontId="49" fillId="0" borderId="43" xfId="0" applyFont="1" applyBorder="1" applyAlignment="1">
      <alignment horizontal="left" vertical="center"/>
    </xf>
    <xf numFmtId="0" fontId="49" fillId="0" borderId="17" xfId="0" applyFont="1" applyBorder="1" applyAlignment="1">
      <alignment horizontal="left" vertical="center"/>
    </xf>
    <xf numFmtId="0" fontId="49" fillId="15" borderId="17" xfId="0" applyFont="1" applyFill="1" applyBorder="1" applyAlignment="1">
      <alignment horizontal="left" vertical="center"/>
    </xf>
    <xf numFmtId="0" fontId="49" fillId="0" borderId="19" xfId="0" applyFont="1" applyBorder="1" applyAlignment="1">
      <alignment horizontal="left" vertical="center"/>
    </xf>
    <xf numFmtId="2" fontId="17" fillId="2" borderId="10" xfId="0" applyNumberFormat="1" applyFont="1" applyFill="1" applyBorder="1" applyAlignment="1">
      <alignment horizontal="center" vertical="center"/>
    </xf>
    <xf numFmtId="0" fontId="17" fillId="2" borderId="4"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26" xfId="0" applyFont="1" applyFill="1" applyBorder="1" applyAlignment="1">
      <alignment horizontal="center" vertical="center"/>
    </xf>
    <xf numFmtId="0" fontId="0" fillId="2" borderId="0" xfId="0" applyFill="1" applyAlignment="1">
      <alignment horizontal="left"/>
    </xf>
    <xf numFmtId="0" fontId="0" fillId="2" borderId="21" xfId="0" applyFill="1" applyBorder="1" applyAlignment="1">
      <alignment horizontal="right" vertical="center"/>
    </xf>
    <xf numFmtId="0" fontId="0" fillId="2" borderId="22" xfId="0" applyFill="1" applyBorder="1" applyAlignment="1">
      <alignment horizontal="right" vertical="center"/>
    </xf>
    <xf numFmtId="0" fontId="0" fillId="2" borderId="23" xfId="0" applyFill="1" applyBorder="1" applyAlignment="1">
      <alignment horizontal="right" vertical="center"/>
    </xf>
    <xf numFmtId="0" fontId="58" fillId="2" borderId="3" xfId="0" applyFont="1" applyFill="1" applyBorder="1" applyAlignment="1">
      <alignment horizontal="center" vertical="center"/>
    </xf>
    <xf numFmtId="0" fontId="0" fillId="2" borderId="24" xfId="0" applyFill="1" applyBorder="1" applyAlignment="1">
      <alignment horizontal="center" vertical="center"/>
    </xf>
    <xf numFmtId="0" fontId="0" fillId="2" borderId="7" xfId="0" applyFill="1" applyBorder="1" applyAlignment="1">
      <alignment horizontal="center" vertical="center"/>
    </xf>
    <xf numFmtId="0" fontId="49" fillId="15" borderId="43" xfId="0" applyFont="1" applyFill="1" applyBorder="1" applyAlignment="1">
      <alignment horizontal="left" vertical="center"/>
    </xf>
    <xf numFmtId="0" fontId="49" fillId="0" borderId="61" xfId="0" applyFont="1" applyBorder="1" applyAlignment="1">
      <alignment horizontal="left" vertical="center"/>
    </xf>
    <xf numFmtId="0" fontId="14" fillId="2" borderId="54" xfId="0" applyFont="1" applyFill="1" applyBorder="1" applyAlignment="1">
      <alignment horizontal="center"/>
    </xf>
    <xf numFmtId="0" fontId="14" fillId="2" borderId="48" xfId="0" applyFont="1" applyFill="1" applyBorder="1" applyAlignment="1">
      <alignment horizontal="center"/>
    </xf>
    <xf numFmtId="0" fontId="14" fillId="2" borderId="49" xfId="0" applyFont="1" applyFill="1" applyBorder="1" applyAlignment="1">
      <alignment horizontal="center"/>
    </xf>
    <xf numFmtId="0" fontId="17" fillId="2" borderId="0" xfId="0" applyFont="1" applyFill="1" applyAlignment="1">
      <alignment horizontal="right"/>
    </xf>
    <xf numFmtId="0" fontId="0" fillId="2" borderId="27" xfId="0" applyFill="1" applyBorder="1" applyAlignment="1">
      <alignment horizontal="left" vertical="center"/>
    </xf>
    <xf numFmtId="0" fontId="60" fillId="2" borderId="0" xfId="0" applyFont="1" applyFill="1"/>
    <xf numFmtId="0" fontId="59" fillId="2" borderId="12" xfId="0" applyFont="1" applyFill="1" applyBorder="1" applyAlignment="1">
      <alignment horizontal="center" vertical="center"/>
    </xf>
    <xf numFmtId="0" fontId="14" fillId="2" borderId="11" xfId="0" applyFont="1" applyFill="1" applyBorder="1" applyAlignment="1">
      <alignment horizontal="center" vertical="center"/>
    </xf>
    <xf numFmtId="0" fontId="0" fillId="2" borderId="6" xfId="0" applyFill="1" applyBorder="1"/>
    <xf numFmtId="0" fontId="0" fillId="2" borderId="54" xfId="0" applyFill="1" applyBorder="1" applyAlignment="1">
      <alignment horizontal="center" vertical="center"/>
    </xf>
    <xf numFmtId="1" fontId="0" fillId="2" borderId="0" xfId="0" applyNumberFormat="1" applyFill="1" applyAlignment="1">
      <alignment horizontal="center"/>
    </xf>
    <xf numFmtId="0" fontId="17" fillId="2" borderId="0" xfId="0" applyFont="1" applyFill="1" applyAlignment="1">
      <alignment horizontal="center" vertical="center"/>
    </xf>
    <xf numFmtId="9" fontId="0" fillId="2" borderId="0" xfId="2" applyFont="1" applyFill="1"/>
    <xf numFmtId="10" fontId="0" fillId="2" borderId="0" xfId="2" applyNumberFormat="1" applyFont="1" applyFill="1"/>
    <xf numFmtId="3" fontId="0" fillId="2" borderId="54" xfId="0" applyNumberFormat="1" applyFill="1" applyBorder="1" applyAlignment="1">
      <alignment horizontal="center" vertical="center"/>
    </xf>
    <xf numFmtId="3" fontId="0" fillId="2" borderId="48" xfId="0" applyNumberFormat="1" applyFill="1" applyBorder="1" applyAlignment="1">
      <alignment horizontal="center" vertical="center"/>
    </xf>
    <xf numFmtId="3" fontId="0" fillId="2" borderId="49" xfId="0" applyNumberFormat="1" applyFill="1" applyBorder="1" applyAlignment="1">
      <alignment horizontal="center" vertical="center"/>
    </xf>
    <xf numFmtId="3" fontId="17" fillId="2" borderId="8" xfId="0" applyNumberFormat="1" applyFont="1" applyFill="1" applyBorder="1" applyAlignment="1">
      <alignment horizontal="center" vertical="center"/>
    </xf>
    <xf numFmtId="3" fontId="17" fillId="2" borderId="23" xfId="0" applyNumberFormat="1" applyFont="1" applyFill="1" applyBorder="1" applyAlignment="1">
      <alignment horizontal="center" vertical="center"/>
    </xf>
    <xf numFmtId="3" fontId="0" fillId="2" borderId="16" xfId="0" applyNumberFormat="1" applyFill="1" applyBorder="1" applyAlignment="1">
      <alignment horizontal="center"/>
    </xf>
    <xf numFmtId="3" fontId="0" fillId="2" borderId="18" xfId="0" applyNumberFormat="1" applyFill="1" applyBorder="1" applyAlignment="1">
      <alignment horizontal="center"/>
    </xf>
    <xf numFmtId="3" fontId="0" fillId="2" borderId="20" xfId="0" applyNumberFormat="1" applyFill="1" applyBorder="1" applyAlignment="1">
      <alignment horizontal="center"/>
    </xf>
    <xf numFmtId="3" fontId="0" fillId="2" borderId="53" xfId="0" applyNumberFormat="1" applyFill="1" applyBorder="1" applyAlignment="1">
      <alignment horizontal="center"/>
    </xf>
    <xf numFmtId="0" fontId="61" fillId="2" borderId="0" xfId="0" applyFont="1" applyFill="1" applyAlignment="1">
      <alignment vertical="center"/>
    </xf>
    <xf numFmtId="0" fontId="1" fillId="2" borderId="0" xfId="0" applyFont="1" applyFill="1" applyAlignment="1">
      <alignment vertical="center"/>
    </xf>
    <xf numFmtId="0" fontId="9" fillId="16" borderId="0" xfId="0" applyFont="1" applyFill="1"/>
    <xf numFmtId="0" fontId="0" fillId="16" borderId="0" xfId="0" applyFill="1" applyAlignment="1">
      <alignment horizontal="center"/>
    </xf>
    <xf numFmtId="0" fontId="0" fillId="16" borderId="0" xfId="0" applyFill="1"/>
    <xf numFmtId="0" fontId="62" fillId="2" borderId="0" xfId="0" applyFont="1" applyFill="1" applyAlignment="1">
      <alignment horizontal="left" vertical="top" wrapText="1"/>
    </xf>
    <xf numFmtId="0" fontId="63" fillId="2" borderId="0" xfId="0" applyFont="1" applyFill="1" applyAlignment="1">
      <alignment horizontal="center" vertical="center"/>
    </xf>
    <xf numFmtId="2" fontId="17" fillId="2" borderId="2" xfId="0" applyNumberFormat="1" applyFont="1" applyFill="1" applyBorder="1" applyAlignment="1">
      <alignment horizontal="center" vertical="center"/>
    </xf>
    <xf numFmtId="0" fontId="0" fillId="2" borderId="7" xfId="0" applyFill="1" applyBorder="1" applyAlignment="1">
      <alignment horizontal="left" vertical="center"/>
    </xf>
    <xf numFmtId="1" fontId="17" fillId="2" borderId="2" xfId="0" applyNumberFormat="1" applyFont="1" applyFill="1" applyBorder="1" applyAlignment="1">
      <alignment horizontal="center" vertical="center"/>
    </xf>
    <xf numFmtId="0" fontId="53" fillId="6" borderId="0" xfId="0" applyFont="1" applyFill="1" applyAlignment="1">
      <alignment horizontal="right" vertical="top" wrapText="1"/>
    </xf>
    <xf numFmtId="0" fontId="20" fillId="2" borderId="0" xfId="0" applyFont="1" applyFill="1" applyAlignment="1">
      <alignment vertical="center"/>
    </xf>
    <xf numFmtId="0" fontId="1" fillId="7" borderId="6" xfId="0" applyFont="1" applyFill="1" applyBorder="1" applyAlignment="1">
      <alignment vertical="center"/>
    </xf>
    <xf numFmtId="0" fontId="0" fillId="7" borderId="38" xfId="0" applyFill="1" applyBorder="1" applyAlignment="1">
      <alignment vertical="center"/>
    </xf>
    <xf numFmtId="0" fontId="0" fillId="7" borderId="38" xfId="0" applyFill="1" applyBorder="1"/>
    <xf numFmtId="0" fontId="0" fillId="7" borderId="37" xfId="0" applyFill="1" applyBorder="1" applyAlignment="1">
      <alignment vertical="center"/>
    </xf>
    <xf numFmtId="0" fontId="66" fillId="2" borderId="5" xfId="0" applyFont="1" applyFill="1" applyBorder="1" applyAlignment="1">
      <alignment horizontal="center" vertical="center"/>
    </xf>
    <xf numFmtId="0" fontId="12" fillId="2" borderId="32" xfId="0" applyFont="1" applyFill="1" applyBorder="1" applyAlignment="1">
      <alignment horizontal="right" vertical="center"/>
    </xf>
    <xf numFmtId="0" fontId="32" fillId="2" borderId="0" xfId="1" applyFont="1" applyFill="1" applyAlignment="1">
      <alignment horizontal="left" vertical="center"/>
    </xf>
    <xf numFmtId="0" fontId="44" fillId="2" borderId="0" xfId="1" applyFont="1" applyFill="1" applyAlignment="1">
      <alignment horizontal="left" vertical="center"/>
    </xf>
    <xf numFmtId="0" fontId="31" fillId="2" borderId="0" xfId="0" applyFont="1" applyFill="1" applyAlignment="1">
      <alignment horizontal="left" vertical="center" wrapText="1"/>
    </xf>
    <xf numFmtId="0" fontId="34" fillId="17" borderId="41" xfId="0" applyFont="1" applyFill="1" applyBorder="1" applyAlignment="1">
      <alignment horizontal="left"/>
    </xf>
    <xf numFmtId="0" fontId="50" fillId="17" borderId="5" xfId="0" applyFont="1" applyFill="1" applyBorder="1" applyAlignment="1">
      <alignment horizontal="left" vertical="top"/>
    </xf>
    <xf numFmtId="0" fontId="14" fillId="17" borderId="42" xfId="0" applyFont="1" applyFill="1" applyBorder="1" applyAlignment="1">
      <alignment vertical="center"/>
    </xf>
    <xf numFmtId="0" fontId="14" fillId="17" borderId="30" xfId="0" applyFont="1" applyFill="1" applyBorder="1" applyAlignment="1">
      <alignment vertical="center"/>
    </xf>
    <xf numFmtId="0" fontId="14" fillId="17" borderId="30" xfId="0" applyFont="1" applyFill="1" applyBorder="1" applyAlignment="1">
      <alignment horizontal="center" vertical="center"/>
    </xf>
    <xf numFmtId="0" fontId="14" fillId="17" borderId="30" xfId="0" applyFont="1" applyFill="1" applyBorder="1" applyAlignment="1">
      <alignment horizontal="left" vertical="center"/>
    </xf>
    <xf numFmtId="0" fontId="14" fillId="17" borderId="31" xfId="0" applyFont="1" applyFill="1" applyBorder="1" applyAlignment="1">
      <alignment vertical="center"/>
    </xf>
    <xf numFmtId="0" fontId="0" fillId="17" borderId="32" xfId="0" applyFill="1" applyBorder="1" applyAlignment="1">
      <alignment vertical="center"/>
    </xf>
    <xf numFmtId="0" fontId="0" fillId="18" borderId="0" xfId="0" applyFill="1" applyAlignment="1">
      <alignment horizontal="right" vertical="center"/>
    </xf>
    <xf numFmtId="0" fontId="12" fillId="17" borderId="0" xfId="0" applyFont="1" applyFill="1" applyAlignment="1">
      <alignment horizontal="center" vertical="center"/>
    </xf>
    <xf numFmtId="0" fontId="0" fillId="17" borderId="0" xfId="0" applyFill="1" applyAlignment="1">
      <alignment horizontal="left" vertical="center"/>
    </xf>
    <xf numFmtId="0" fontId="0" fillId="17" borderId="33" xfId="0" applyFill="1" applyBorder="1" applyAlignment="1">
      <alignment vertical="center"/>
    </xf>
    <xf numFmtId="0" fontId="46" fillId="17" borderId="0" xfId="0" applyFont="1" applyFill="1" applyAlignment="1">
      <alignment horizontal="right" vertical="top" wrapText="1"/>
    </xf>
    <xf numFmtId="0" fontId="18" fillId="17" borderId="0" xfId="0" applyFont="1" applyFill="1" applyAlignment="1">
      <alignment horizontal="center" vertical="center"/>
    </xf>
    <xf numFmtId="0" fontId="10" fillId="17" borderId="0" xfId="0" applyFont="1" applyFill="1" applyAlignment="1">
      <alignment horizontal="center" vertical="center"/>
    </xf>
    <xf numFmtId="0" fontId="0" fillId="17" borderId="0" xfId="0" applyFill="1" applyAlignment="1">
      <alignment horizontal="right" vertical="center"/>
    </xf>
    <xf numFmtId="9" fontId="14" fillId="17" borderId="0" xfId="2" applyFont="1" applyFill="1" applyAlignment="1">
      <alignment horizontal="center" vertical="center"/>
    </xf>
    <xf numFmtId="0" fontId="0" fillId="17" borderId="34" xfId="0" applyFill="1" applyBorder="1" applyAlignment="1">
      <alignment vertical="center"/>
    </xf>
    <xf numFmtId="0" fontId="46" fillId="17" borderId="35" xfId="0" applyFont="1" applyFill="1" applyBorder="1" applyAlignment="1">
      <alignment horizontal="right" vertical="top" wrapText="1"/>
    </xf>
    <xf numFmtId="0" fontId="18" fillId="17" borderId="35" xfId="0" applyFont="1" applyFill="1" applyBorder="1" applyAlignment="1">
      <alignment horizontal="center" vertical="center"/>
    </xf>
    <xf numFmtId="0" fontId="0" fillId="17" borderId="35" xfId="0" applyFill="1" applyBorder="1" applyAlignment="1">
      <alignment horizontal="left" vertical="center"/>
    </xf>
    <xf numFmtId="0" fontId="0" fillId="17" borderId="36" xfId="0" applyFill="1" applyBorder="1" applyAlignment="1">
      <alignment vertical="center"/>
    </xf>
    <xf numFmtId="0" fontId="1" fillId="8" borderId="0" xfId="0" applyFont="1" applyFill="1" applyAlignment="1">
      <alignment horizontal="center" vertical="center"/>
    </xf>
    <xf numFmtId="0" fontId="39" fillId="8" borderId="33" xfId="0" applyFont="1" applyFill="1" applyBorder="1" applyAlignment="1">
      <alignment horizontal="center" vertical="center"/>
    </xf>
    <xf numFmtId="0" fontId="1" fillId="8" borderId="35" xfId="0" applyFont="1" applyFill="1" applyBorder="1" applyAlignment="1">
      <alignment horizontal="center" vertical="center"/>
    </xf>
    <xf numFmtId="0" fontId="39" fillId="8" borderId="35" xfId="0" applyFont="1" applyFill="1" applyBorder="1" applyAlignment="1">
      <alignment horizontal="center" vertical="center"/>
    </xf>
    <xf numFmtId="0" fontId="39" fillId="8" borderId="36" xfId="0" applyFont="1" applyFill="1" applyBorder="1" applyAlignment="1">
      <alignment horizontal="center" vertical="center"/>
    </xf>
    <xf numFmtId="0" fontId="1" fillId="2" borderId="0" xfId="0" applyFont="1" applyFill="1" applyAlignment="1">
      <alignment horizontal="right" vertical="center"/>
    </xf>
    <xf numFmtId="0" fontId="0" fillId="8" borderId="3" xfId="0" applyFill="1" applyBorder="1" applyAlignment="1">
      <alignment horizontal="center" vertical="center"/>
    </xf>
    <xf numFmtId="0" fontId="1" fillId="2" borderId="15"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16" xfId="0" applyFont="1" applyFill="1" applyBorder="1" applyAlignment="1">
      <alignment horizontal="center" vertical="center"/>
    </xf>
    <xf numFmtId="0" fontId="0" fillId="7" borderId="19" xfId="0" applyFill="1" applyBorder="1" applyAlignment="1">
      <alignment horizontal="left" vertical="center"/>
    </xf>
    <xf numFmtId="0" fontId="0" fillId="7" borderId="26" xfId="0" applyFill="1" applyBorder="1" applyAlignment="1">
      <alignment horizontal="left" vertical="center"/>
    </xf>
    <xf numFmtId="0" fontId="0" fillId="6" borderId="26" xfId="0" applyFill="1" applyBorder="1" applyAlignment="1">
      <alignment horizontal="left" vertical="center"/>
    </xf>
    <xf numFmtId="0" fontId="0" fillId="5" borderId="20" xfId="0" applyFill="1" applyBorder="1" applyAlignment="1">
      <alignment horizontal="center" vertical="center"/>
    </xf>
    <xf numFmtId="0" fontId="0" fillId="17" borderId="3" xfId="0" applyFill="1" applyBorder="1" applyAlignment="1">
      <alignment horizontal="center" vertical="center"/>
    </xf>
    <xf numFmtId="0" fontId="0" fillId="19" borderId="3" xfId="0" applyFill="1" applyBorder="1" applyAlignment="1">
      <alignment horizontal="center" vertical="center"/>
    </xf>
    <xf numFmtId="0" fontId="0" fillId="19" borderId="10" xfId="0" applyFill="1" applyBorder="1" applyAlignment="1">
      <alignment horizontal="center" vertical="center"/>
    </xf>
    <xf numFmtId="0" fontId="30" fillId="2" borderId="0" xfId="1" applyFill="1"/>
    <xf numFmtId="0" fontId="1" fillId="2" borderId="0" xfId="0" applyFont="1" applyFill="1" applyAlignment="1">
      <alignment horizontal="right"/>
    </xf>
    <xf numFmtId="0" fontId="0" fillId="6" borderId="0" xfId="0" applyFill="1" applyAlignment="1">
      <alignment horizontal="right" vertical="top" wrapText="1"/>
    </xf>
    <xf numFmtId="0" fontId="68" fillId="2" borderId="0" xfId="0" applyFont="1" applyFill="1" applyAlignment="1">
      <alignment horizontal="right" vertical="center"/>
    </xf>
    <xf numFmtId="0" fontId="62" fillId="2" borderId="0" xfId="0" applyFont="1" applyFill="1" applyAlignment="1">
      <alignment horizontal="center" vertical="center"/>
    </xf>
    <xf numFmtId="0" fontId="68" fillId="2" borderId="0" xfId="0" applyFont="1" applyFill="1" applyAlignment="1">
      <alignment horizontal="center" vertical="center"/>
    </xf>
    <xf numFmtId="1" fontId="0" fillId="2" borderId="3" xfId="0" applyNumberFormat="1" applyFill="1" applyBorder="1" applyAlignment="1">
      <alignment horizontal="center" vertical="center"/>
    </xf>
    <xf numFmtId="1" fontId="0" fillId="2" borderId="18" xfId="0" applyNumberFormat="1" applyFill="1" applyBorder="1" applyAlignment="1">
      <alignment horizontal="center" vertical="center"/>
    </xf>
    <xf numFmtId="1" fontId="0" fillId="2" borderId="29" xfId="0" applyNumberFormat="1" applyFill="1" applyBorder="1" applyAlignment="1">
      <alignment horizontal="center" vertical="center"/>
    </xf>
    <xf numFmtId="1" fontId="0" fillId="2" borderId="16" xfId="0" applyNumberFormat="1" applyFill="1" applyBorder="1" applyAlignment="1">
      <alignment horizontal="center" vertical="center"/>
    </xf>
    <xf numFmtId="0" fontId="8" fillId="2" borderId="63" xfId="0" applyFont="1" applyFill="1" applyBorder="1" applyAlignment="1">
      <alignment horizontal="center" vertical="center"/>
    </xf>
    <xf numFmtId="0" fontId="8" fillId="2" borderId="52"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53" xfId="0" applyFont="1" applyFill="1" applyBorder="1" applyAlignment="1">
      <alignment horizontal="center" vertical="center"/>
    </xf>
    <xf numFmtId="0" fontId="8" fillId="2" borderId="64" xfId="0" applyFont="1" applyFill="1" applyBorder="1" applyAlignment="1">
      <alignment horizontal="center" vertical="center"/>
    </xf>
    <xf numFmtId="0" fontId="69" fillId="2" borderId="0" xfId="1" applyFont="1" applyFill="1" applyAlignment="1">
      <alignment vertical="center" wrapText="1"/>
    </xf>
    <xf numFmtId="0" fontId="70" fillId="2" borderId="0" xfId="0" applyFont="1" applyFill="1" applyAlignment="1">
      <alignment horizontal="left" vertical="center" wrapText="1"/>
    </xf>
    <xf numFmtId="0" fontId="0" fillId="5" borderId="2" xfId="0" applyFill="1" applyBorder="1" applyAlignment="1">
      <alignment horizontal="left" vertical="center"/>
    </xf>
    <xf numFmtId="164" fontId="17" fillId="2" borderId="8" xfId="0" applyNumberFormat="1" applyFont="1" applyFill="1" applyBorder="1" applyAlignment="1">
      <alignment horizontal="center" vertical="center"/>
    </xf>
    <xf numFmtId="0" fontId="0" fillId="2" borderId="3" xfId="0" applyFill="1" applyBorder="1" applyAlignment="1">
      <alignment horizontal="center" vertical="center" wrapText="1"/>
    </xf>
    <xf numFmtId="0" fontId="0" fillId="11" borderId="0" xfId="0" applyFill="1" applyAlignment="1">
      <alignment horizontal="center" vertical="center"/>
    </xf>
    <xf numFmtId="0" fontId="53" fillId="6" borderId="0" xfId="0" applyFont="1" applyFill="1" applyAlignment="1">
      <alignment horizontal="right" vertical="center" wrapText="1"/>
    </xf>
    <xf numFmtId="0" fontId="71" fillId="6" borderId="0" xfId="0" applyFont="1" applyFill="1" applyAlignment="1">
      <alignment horizontal="center" vertical="center"/>
    </xf>
    <xf numFmtId="0" fontId="1" fillId="3" borderId="65" xfId="0" applyFont="1" applyFill="1" applyBorder="1" applyAlignment="1">
      <alignment horizontal="center" vertical="center" wrapText="1"/>
    </xf>
    <xf numFmtId="0" fontId="1" fillId="3" borderId="66" xfId="0" applyFont="1" applyFill="1" applyBorder="1" applyAlignment="1">
      <alignment horizontal="center" vertical="center" wrapText="1"/>
    </xf>
    <xf numFmtId="0" fontId="1" fillId="3" borderId="65" xfId="0" applyFont="1" applyFill="1" applyBorder="1" applyAlignment="1">
      <alignment horizontal="center" vertical="center"/>
    </xf>
    <xf numFmtId="0" fontId="1" fillId="3" borderId="66" xfId="0" applyFont="1" applyFill="1" applyBorder="1" applyAlignment="1">
      <alignment horizontal="center" vertical="center"/>
    </xf>
    <xf numFmtId="0" fontId="42" fillId="6" borderId="0" xfId="0" applyFont="1" applyFill="1" applyAlignment="1">
      <alignment vertical="center" wrapText="1"/>
    </xf>
    <xf numFmtId="9" fontId="53" fillId="6" borderId="0" xfId="2" applyFont="1" applyFill="1" applyAlignment="1">
      <alignment horizontal="left" vertical="center" wrapText="1"/>
    </xf>
    <xf numFmtId="0" fontId="0" fillId="2" borderId="3" xfId="0" applyFill="1" applyBorder="1"/>
    <xf numFmtId="2" fontId="17" fillId="2" borderId="8" xfId="0" applyNumberFormat="1" applyFont="1" applyFill="1" applyBorder="1" applyAlignment="1">
      <alignment horizontal="center" vertical="center"/>
    </xf>
    <xf numFmtId="2" fontId="0" fillId="2" borderId="3" xfId="0" applyNumberFormat="1" applyFill="1" applyBorder="1" applyAlignment="1">
      <alignment horizontal="center" vertical="center"/>
    </xf>
    <xf numFmtId="164" fontId="0" fillId="2" borderId="3" xfId="0" applyNumberFormat="1" applyFill="1" applyBorder="1" applyAlignment="1">
      <alignment horizontal="center" vertical="center"/>
    </xf>
    <xf numFmtId="0" fontId="53" fillId="6" borderId="0" xfId="0" applyFont="1" applyFill="1" applyAlignment="1">
      <alignment horizontal="left" vertical="center"/>
    </xf>
    <xf numFmtId="0" fontId="72" fillId="6" borderId="0" xfId="0" applyFont="1" applyFill="1" applyAlignment="1">
      <alignment horizontal="right" vertical="center"/>
    </xf>
    <xf numFmtId="0" fontId="72" fillId="6" borderId="0" xfId="0" applyFont="1" applyFill="1" applyAlignment="1">
      <alignment horizontal="left" vertical="center"/>
    </xf>
    <xf numFmtId="0" fontId="53" fillId="6" borderId="33" xfId="0" applyFont="1" applyFill="1" applyBorder="1" applyAlignment="1">
      <alignment vertical="center"/>
    </xf>
    <xf numFmtId="0" fontId="17" fillId="2" borderId="3" xfId="0" applyFont="1" applyFill="1" applyBorder="1" applyAlignment="1">
      <alignment horizontal="center" vertical="center"/>
    </xf>
    <xf numFmtId="0" fontId="69" fillId="8" borderId="0" xfId="0" applyFont="1" applyFill="1" applyAlignment="1">
      <alignment horizontal="center" vertical="center"/>
    </xf>
    <xf numFmtId="2" fontId="17" fillId="2" borderId="8" xfId="0" applyNumberFormat="1" applyFont="1" applyFill="1" applyBorder="1" applyAlignment="1">
      <alignment horizontal="center" vertical="center" wrapText="1"/>
    </xf>
    <xf numFmtId="0" fontId="17" fillId="2" borderId="8" xfId="0" applyFont="1" applyFill="1" applyBorder="1" applyAlignment="1">
      <alignment horizontal="center"/>
    </xf>
    <xf numFmtId="164" fontId="53" fillId="6" borderId="0" xfId="0" applyNumberFormat="1" applyFont="1" applyFill="1" applyAlignment="1">
      <alignment horizontal="center" vertical="center"/>
    </xf>
    <xf numFmtId="0" fontId="0" fillId="15" borderId="15" xfId="0" applyFill="1" applyBorder="1" applyAlignment="1">
      <alignment horizontal="right" vertical="center"/>
    </xf>
    <xf numFmtId="0" fontId="0" fillId="15" borderId="16" xfId="0" applyFill="1" applyBorder="1" applyAlignment="1">
      <alignment horizontal="right" vertical="center"/>
    </xf>
    <xf numFmtId="0" fontId="62" fillId="2" borderId="0" xfId="0" applyFont="1" applyFill="1" applyAlignment="1">
      <alignment horizontal="left" vertical="center" wrapText="1"/>
    </xf>
    <xf numFmtId="0" fontId="0" fillId="6" borderId="32" xfId="0" applyFill="1" applyBorder="1" applyAlignment="1">
      <alignment horizontal="center" vertical="center"/>
    </xf>
    <xf numFmtId="0" fontId="0" fillId="6" borderId="0" xfId="0" applyFill="1" applyAlignment="1">
      <alignment horizontal="center" vertical="center"/>
    </xf>
    <xf numFmtId="0" fontId="66" fillId="2" borderId="30" xfId="0" applyFont="1" applyFill="1" applyBorder="1" applyAlignment="1">
      <alignment horizontal="center" vertical="center"/>
    </xf>
    <xf numFmtId="0" fontId="36" fillId="10" borderId="6" xfId="1" applyFont="1" applyFill="1" applyBorder="1" applyAlignment="1">
      <alignment horizontal="center" vertical="center"/>
    </xf>
    <xf numFmtId="0" fontId="36" fillId="10" borderId="38" xfId="1" applyFont="1" applyFill="1" applyBorder="1" applyAlignment="1">
      <alignment horizontal="center" vertical="center"/>
    </xf>
    <xf numFmtId="0" fontId="36" fillId="10" borderId="37" xfId="1" applyFont="1" applyFill="1" applyBorder="1" applyAlignment="1">
      <alignment horizontal="center" vertical="center"/>
    </xf>
    <xf numFmtId="0" fontId="0" fillId="2" borderId="0" xfId="0" applyFill="1" applyAlignment="1">
      <alignment horizontal="left" vertical="center"/>
    </xf>
    <xf numFmtId="0" fontId="11" fillId="12" borderId="0" xfId="0" applyFont="1" applyFill="1" applyAlignment="1">
      <alignment horizontal="left" vertical="center"/>
    </xf>
    <xf numFmtId="0" fontId="1" fillId="2" borderId="0" xfId="0" applyFont="1" applyFill="1" applyAlignment="1">
      <alignment horizontal="left" vertical="center"/>
    </xf>
    <xf numFmtId="0" fontId="0" fillId="2" borderId="0" xfId="0" applyFill="1" applyAlignment="1">
      <alignment horizontal="justify" vertical="top" wrapText="1"/>
    </xf>
    <xf numFmtId="0" fontId="30" fillId="2" borderId="0" xfId="1" applyFill="1" applyBorder="1" applyAlignment="1">
      <alignment horizontal="left" vertical="center"/>
    </xf>
    <xf numFmtId="0" fontId="62" fillId="2" borderId="0" xfId="0" applyFont="1" applyFill="1" applyAlignment="1">
      <alignment horizontal="left" vertical="top" wrapText="1"/>
    </xf>
    <xf numFmtId="0" fontId="32" fillId="2" borderId="0" xfId="1" applyFont="1" applyFill="1" applyAlignment="1">
      <alignment horizontal="left" vertical="center"/>
    </xf>
    <xf numFmtId="0" fontId="0" fillId="11" borderId="6" xfId="0" applyFill="1" applyBorder="1" applyAlignment="1">
      <alignment horizontal="center" vertical="center"/>
    </xf>
    <xf numFmtId="0" fontId="0" fillId="11" borderId="38" xfId="0" applyFill="1" applyBorder="1" applyAlignment="1">
      <alignment horizontal="center" vertical="center"/>
    </xf>
    <xf numFmtId="0" fontId="0" fillId="11" borderId="37" xfId="0" applyFill="1" applyBorder="1" applyAlignment="1">
      <alignment horizontal="center" vertical="center"/>
    </xf>
    <xf numFmtId="0" fontId="44" fillId="2" borderId="0" xfId="1" applyFont="1" applyFill="1" applyAlignment="1">
      <alignment horizontal="left" vertical="center"/>
    </xf>
    <xf numFmtId="0" fontId="31" fillId="2" borderId="0" xfId="0" applyFont="1" applyFill="1" applyAlignment="1">
      <alignment horizontal="left" vertical="center" wrapText="1"/>
    </xf>
    <xf numFmtId="0" fontId="22" fillId="2" borderId="0" xfId="0" applyFont="1" applyFill="1" applyAlignment="1">
      <alignment horizontal="left" vertical="center" wrapText="1"/>
    </xf>
    <xf numFmtId="0" fontId="13" fillId="10" borderId="6" xfId="0" applyFont="1" applyFill="1" applyBorder="1" applyAlignment="1">
      <alignment horizontal="center" vertical="center"/>
    </xf>
    <xf numFmtId="0" fontId="13" fillId="10" borderId="38" xfId="0" applyFont="1" applyFill="1" applyBorder="1" applyAlignment="1">
      <alignment horizontal="center" vertical="center"/>
    </xf>
    <xf numFmtId="0" fontId="13" fillId="10" borderId="37" xfId="0" applyFont="1" applyFill="1" applyBorder="1" applyAlignment="1">
      <alignment horizontal="center" vertical="center"/>
    </xf>
    <xf numFmtId="0" fontId="0" fillId="2" borderId="10" xfId="0" applyFill="1" applyBorder="1" applyAlignment="1">
      <alignment horizontal="center" vertical="center"/>
    </xf>
    <xf numFmtId="0" fontId="0" fillId="2" borderId="62" xfId="0" applyFill="1" applyBorder="1" applyAlignment="1">
      <alignment horizontal="center" vertical="center"/>
    </xf>
    <xf numFmtId="0" fontId="48" fillId="11" borderId="0" xfId="0" applyFont="1" applyFill="1" applyAlignment="1">
      <alignment horizontal="center"/>
    </xf>
    <xf numFmtId="0" fontId="30" fillId="2" borderId="0" xfId="1" applyFill="1" applyAlignment="1">
      <alignment horizontal="center"/>
    </xf>
    <xf numFmtId="0" fontId="8" fillId="15" borderId="27" xfId="0" applyFont="1" applyFill="1" applyBorder="1" applyAlignment="1">
      <alignment horizontal="center"/>
    </xf>
    <xf numFmtId="0" fontId="8" fillId="15" borderId="55" xfId="0" applyFont="1" applyFill="1" applyBorder="1" applyAlignment="1">
      <alignment horizontal="center"/>
    </xf>
    <xf numFmtId="0" fontId="8" fillId="15" borderId="45" xfId="0" applyFont="1" applyFill="1" applyBorder="1" applyAlignment="1">
      <alignment horizontal="center"/>
    </xf>
    <xf numFmtId="0" fontId="14" fillId="15" borderId="27" xfId="0" applyFont="1" applyFill="1" applyBorder="1" applyAlignment="1">
      <alignment horizontal="center"/>
    </xf>
    <xf numFmtId="0" fontId="14" fillId="15" borderId="55" xfId="0" applyFont="1" applyFill="1" applyBorder="1" applyAlignment="1">
      <alignment horizontal="center"/>
    </xf>
    <xf numFmtId="0" fontId="14" fillId="15" borderId="45" xfId="0" applyFont="1" applyFill="1" applyBorder="1" applyAlignment="1">
      <alignment horizontal="center"/>
    </xf>
    <xf numFmtId="0" fontId="0" fillId="15" borderId="15" xfId="0" applyFill="1" applyBorder="1" applyAlignment="1">
      <alignment horizontal="center"/>
    </xf>
    <xf numFmtId="0" fontId="0" fillId="15" borderId="29" xfId="0" applyFill="1" applyBorder="1" applyAlignment="1">
      <alignment horizontal="center"/>
    </xf>
    <xf numFmtId="0" fontId="0" fillId="15" borderId="16" xfId="0" applyFill="1" applyBorder="1" applyAlignment="1">
      <alignment horizontal="center"/>
    </xf>
    <xf numFmtId="0" fontId="8" fillId="15" borderId="27" xfId="0" applyFont="1" applyFill="1" applyBorder="1" applyAlignment="1">
      <alignment horizontal="left" vertical="top"/>
    </xf>
    <xf numFmtId="0" fontId="8" fillId="15" borderId="55" xfId="0" applyFont="1" applyFill="1" applyBorder="1" applyAlignment="1">
      <alignment horizontal="left" vertical="top"/>
    </xf>
    <xf numFmtId="0" fontId="8" fillId="15" borderId="45" xfId="0" applyFont="1" applyFill="1" applyBorder="1" applyAlignment="1">
      <alignment horizontal="left" vertical="top"/>
    </xf>
    <xf numFmtId="0" fontId="0" fillId="2" borderId="15" xfId="0" applyFill="1" applyBorder="1" applyAlignment="1">
      <alignment horizontal="center"/>
    </xf>
    <xf numFmtId="0" fontId="0" fillId="2" borderId="29" xfId="0" applyFill="1" applyBorder="1" applyAlignment="1">
      <alignment horizontal="center"/>
    </xf>
    <xf numFmtId="0" fontId="0" fillId="2" borderId="16" xfId="0" applyFill="1" applyBorder="1" applyAlignment="1">
      <alignment horizont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28" xfId="0" applyFill="1" applyBorder="1" applyAlignment="1">
      <alignment horizontal="center" vertical="center"/>
    </xf>
    <xf numFmtId="0" fontId="0" fillId="2" borderId="60" xfId="0" applyFill="1" applyBorder="1" applyAlignment="1">
      <alignment horizontal="center" vertical="center"/>
    </xf>
    <xf numFmtId="0" fontId="0" fillId="2" borderId="29" xfId="0" applyFill="1" applyBorder="1" applyAlignment="1">
      <alignment horizontal="center" vertical="center"/>
    </xf>
    <xf numFmtId="0" fontId="0" fillId="15" borderId="27" xfId="0" applyFill="1" applyBorder="1" applyAlignment="1">
      <alignment horizontal="center" vertical="center"/>
    </xf>
    <xf numFmtId="0" fontId="0" fillId="15" borderId="55" xfId="0" applyFill="1" applyBorder="1" applyAlignment="1">
      <alignment horizontal="center" vertical="center"/>
    </xf>
    <xf numFmtId="0" fontId="0" fillId="15" borderId="45" xfId="0" applyFill="1" applyBorder="1" applyAlignment="1">
      <alignment horizontal="center" vertical="center"/>
    </xf>
    <xf numFmtId="0" fontId="0" fillId="2" borderId="27" xfId="0" applyFill="1" applyBorder="1" applyAlignment="1">
      <alignment horizontal="center" vertical="center"/>
    </xf>
    <xf numFmtId="0" fontId="0" fillId="2" borderId="55" xfId="0" applyFill="1" applyBorder="1" applyAlignment="1">
      <alignment horizontal="center" vertical="center"/>
    </xf>
    <xf numFmtId="0" fontId="0" fillId="2" borderId="45" xfId="0" applyFill="1" applyBorder="1" applyAlignment="1">
      <alignment horizontal="center" vertical="center"/>
    </xf>
    <xf numFmtId="0" fontId="0" fillId="2" borderId="6" xfId="0" applyFill="1" applyBorder="1" applyAlignment="1">
      <alignment horizontal="center" vertical="center"/>
    </xf>
    <xf numFmtId="0" fontId="0" fillId="2" borderId="37" xfId="0" applyFill="1" applyBorder="1" applyAlignment="1">
      <alignment horizontal="center" vertical="center"/>
    </xf>
    <xf numFmtId="0" fontId="0" fillId="2" borderId="35" xfId="0" applyFill="1" applyBorder="1" applyAlignment="1">
      <alignment horizontal="center" vertical="center"/>
    </xf>
    <xf numFmtId="0" fontId="14" fillId="2" borderId="9" xfId="0" applyFont="1" applyFill="1" applyBorder="1" applyAlignment="1">
      <alignment horizontal="center" vertical="center"/>
    </xf>
    <xf numFmtId="0" fontId="14" fillId="2" borderId="58" xfId="0" applyFont="1" applyFill="1" applyBorder="1" applyAlignment="1">
      <alignment horizontal="center" vertical="center"/>
    </xf>
    <xf numFmtId="0" fontId="14" fillId="2" borderId="8" xfId="0" applyFont="1" applyFill="1" applyBorder="1" applyAlignment="1">
      <alignment horizontal="center" vertical="center"/>
    </xf>
    <xf numFmtId="0" fontId="6" fillId="13" borderId="3" xfId="0" applyFont="1" applyFill="1" applyBorder="1" applyAlignment="1">
      <alignment horizontal="center"/>
    </xf>
    <xf numFmtId="0" fontId="14" fillId="13" borderId="3" xfId="0" applyFont="1" applyFill="1" applyBorder="1" applyAlignment="1">
      <alignment horizontal="center"/>
    </xf>
  </cellXfs>
  <cellStyles count="3">
    <cellStyle name="Lien hypertexte" xfId="1" builtinId="8"/>
    <cellStyle name="Normal" xfId="0" builtinId="0"/>
    <cellStyle name="Pourcentage" xfId="2" builtinId="5"/>
  </cellStyles>
  <dxfs count="144">
    <dxf>
      <fill>
        <patternFill patternType="solid">
          <bgColor theme="4"/>
        </patternFill>
      </fill>
    </dxf>
    <dxf>
      <fill>
        <patternFill>
          <bgColor theme="6"/>
        </patternFill>
      </fill>
    </dxf>
    <dxf>
      <fill>
        <patternFill>
          <bgColor theme="7"/>
        </patternFill>
      </fill>
    </dxf>
    <dxf>
      <fill>
        <patternFill>
          <bgColor rgb="FFFFC000"/>
        </patternFill>
      </fill>
    </dxf>
    <dxf>
      <fill>
        <patternFill>
          <bgColor theme="7" tint="0.39994506668294322"/>
        </patternFill>
      </fill>
    </dxf>
    <dxf>
      <fill>
        <patternFill>
          <bgColor theme="5" tint="0.59996337778862885"/>
        </patternFill>
      </fill>
    </dxf>
    <dxf>
      <fill>
        <patternFill>
          <bgColor theme="6" tint="0.79998168889431442"/>
        </patternFill>
      </fill>
    </dxf>
    <dxf>
      <fill>
        <patternFill patternType="solid">
          <bgColor theme="4"/>
        </patternFill>
      </fill>
    </dxf>
    <dxf>
      <fill>
        <patternFill>
          <bgColor theme="6"/>
        </patternFill>
      </fill>
    </dxf>
    <dxf>
      <fill>
        <patternFill>
          <bgColor theme="7"/>
        </patternFill>
      </fill>
    </dxf>
    <dxf>
      <fill>
        <patternFill>
          <bgColor rgb="FFFFC000"/>
        </patternFill>
      </fill>
    </dxf>
    <dxf>
      <fill>
        <patternFill>
          <bgColor theme="7" tint="0.39994506668294322"/>
        </patternFill>
      </fill>
    </dxf>
    <dxf>
      <fill>
        <patternFill>
          <bgColor theme="5" tint="0.59996337778862885"/>
        </patternFill>
      </fill>
    </dxf>
    <dxf>
      <fill>
        <patternFill>
          <bgColor theme="6" tint="0.79998168889431442"/>
        </patternFill>
      </fill>
    </dxf>
    <dxf>
      <fill>
        <patternFill>
          <bgColor rgb="FFFFFF00"/>
        </patternFill>
      </fill>
    </dxf>
    <dxf>
      <fill>
        <patternFill>
          <bgColor rgb="FFFFFF00"/>
        </patternFill>
      </fill>
    </dxf>
    <dxf>
      <font>
        <color rgb="FF9C5700"/>
      </font>
      <fill>
        <patternFill>
          <bgColor rgb="FFFFEB9C"/>
        </patternFill>
      </fill>
    </dxf>
    <dxf>
      <fill>
        <patternFill>
          <bgColor theme="5" tint="0.79998168889431442"/>
        </patternFill>
      </fill>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rgb="FFFFFF00"/>
        </patternFill>
      </fill>
    </dxf>
    <dxf>
      <font>
        <color rgb="FF9C5700"/>
      </font>
      <fill>
        <patternFill>
          <bgColor rgb="FFFFEB9C"/>
        </patternFill>
      </fill>
    </dxf>
    <dxf>
      <fill>
        <patternFill>
          <bgColor rgb="FFFFFF00"/>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fill>
        <patternFill>
          <bgColor theme="5" tint="0.79998168889431442"/>
        </patternFill>
      </fill>
    </dxf>
    <dxf>
      <font>
        <b/>
        <i val="0"/>
        <color theme="4"/>
      </font>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5700"/>
      </font>
      <fill>
        <patternFill>
          <bgColor rgb="FFFFEB9C"/>
        </patternFill>
      </fill>
    </dxf>
    <dxf>
      <fill>
        <patternFill>
          <bgColor theme="5" tint="0.79998168889431442"/>
        </patternFill>
      </fill>
    </dxf>
    <dxf>
      <fill>
        <patternFill>
          <bgColor theme="5" tint="0.79998168889431442"/>
        </patternFill>
      </fill>
    </dxf>
    <dxf>
      <font>
        <color rgb="FF9C5700"/>
      </font>
      <fill>
        <patternFill>
          <bgColor rgb="FFFFEB9C"/>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ont>
        <color rgb="FF9C5700"/>
      </font>
      <fill>
        <patternFill>
          <bgColor rgb="FFFFEB9C"/>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5700"/>
      </font>
      <fill>
        <patternFill>
          <bgColor rgb="FFFFEB9C"/>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1"/>
      </font>
      <fill>
        <patternFill>
          <bgColor theme="6"/>
        </patternFill>
      </fill>
    </dxf>
    <dxf>
      <font>
        <color rgb="FF006100"/>
      </font>
      <fill>
        <patternFill>
          <bgColor rgb="FFC6EFCE"/>
        </patternFill>
      </fill>
    </dxf>
    <dxf>
      <font>
        <color theme="1"/>
      </font>
    </dxf>
    <dxf>
      <font>
        <color theme="1"/>
      </font>
    </dxf>
    <dxf>
      <font>
        <color rgb="FF9C0006"/>
      </font>
      <fill>
        <patternFill>
          <bgColor rgb="FFFFC7CE"/>
        </patternFill>
      </fill>
    </dxf>
    <dxf>
      <font>
        <color theme="1"/>
      </font>
    </dxf>
    <dxf>
      <font>
        <color theme="1"/>
      </font>
    </dxf>
    <dxf>
      <font>
        <color theme="1"/>
      </font>
      <fill>
        <patternFill>
          <bgColor theme="6"/>
        </patternFill>
      </fill>
    </dxf>
    <dxf>
      <font>
        <color theme="1"/>
      </font>
      <fill>
        <patternFill>
          <bgColor theme="6"/>
        </patternFill>
      </fill>
    </dxf>
    <dxf>
      <fill>
        <patternFill>
          <bgColor theme="4"/>
        </patternFill>
      </fill>
    </dxf>
    <dxf>
      <font>
        <color theme="1"/>
      </font>
      <fill>
        <patternFill>
          <bgColor theme="6"/>
        </patternFill>
      </fill>
    </dxf>
    <dxf>
      <font>
        <color theme="1" tint="0.499984740745262"/>
      </font>
      <fill>
        <patternFill>
          <bgColor theme="5" tint="0.79998168889431442"/>
        </patternFill>
      </fill>
    </dxf>
    <dxf>
      <font>
        <color theme="1"/>
      </font>
      <fill>
        <patternFill>
          <bgColor theme="6"/>
        </patternFill>
      </fill>
    </dxf>
    <dxf>
      <font>
        <color theme="1"/>
      </font>
      <fill>
        <patternFill>
          <bgColor theme="6"/>
        </patternFill>
      </fill>
    </dxf>
    <dxf>
      <font>
        <color theme="1"/>
      </font>
      <fill>
        <patternFill>
          <bgColor theme="6"/>
        </patternFill>
      </fill>
    </dxf>
    <dxf>
      <font>
        <color theme="0" tint="-0.499984740745262"/>
      </font>
    </dxf>
    <dxf>
      <font>
        <color theme="0" tint="-0.499984740745262"/>
      </font>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7" Type="http://schemas.openxmlformats.org/officeDocument/2006/relationships/image" Target="../media/image5.png"/><Relationship Id="rId2" Type="http://schemas.openxmlformats.org/officeDocument/2006/relationships/hyperlink" Target="#Input_resultats!C2"/><Relationship Id="rId1" Type="http://schemas.openxmlformats.org/officeDocument/2006/relationships/image" Target="../media/image1.jpeg"/><Relationship Id="rId6" Type="http://schemas.openxmlformats.org/officeDocument/2006/relationships/image" Target="../media/image4.png"/><Relationship Id="rId5" Type="http://schemas.openxmlformats.org/officeDocument/2006/relationships/hyperlink" Target="https://www.ifpeb.fr/travaux/le-hub-des-prescripteurs-bas-carbone/"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png"/><Relationship Id="rId18" Type="http://schemas.openxmlformats.org/officeDocument/2006/relationships/image" Target="../media/image23.png"/><Relationship Id="rId3" Type="http://schemas.openxmlformats.org/officeDocument/2006/relationships/image" Target="../media/image8.png"/><Relationship Id="rId21" Type="http://schemas.openxmlformats.org/officeDocument/2006/relationships/image" Target="../media/image26.png"/><Relationship Id="rId7" Type="http://schemas.openxmlformats.org/officeDocument/2006/relationships/image" Target="../media/image12.png"/><Relationship Id="rId12" Type="http://schemas.openxmlformats.org/officeDocument/2006/relationships/image" Target="../media/image17.png"/><Relationship Id="rId17" Type="http://schemas.openxmlformats.org/officeDocument/2006/relationships/image" Target="../media/image22.png"/><Relationship Id="rId25" Type="http://schemas.openxmlformats.org/officeDocument/2006/relationships/image" Target="../media/image30.png"/><Relationship Id="rId2" Type="http://schemas.openxmlformats.org/officeDocument/2006/relationships/image" Target="../media/image7.png"/><Relationship Id="rId16" Type="http://schemas.openxmlformats.org/officeDocument/2006/relationships/image" Target="../media/image21.png"/><Relationship Id="rId20" Type="http://schemas.openxmlformats.org/officeDocument/2006/relationships/image" Target="../media/image25.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24" Type="http://schemas.openxmlformats.org/officeDocument/2006/relationships/image" Target="../media/image29.png"/><Relationship Id="rId5" Type="http://schemas.openxmlformats.org/officeDocument/2006/relationships/image" Target="../media/image10.png"/><Relationship Id="rId15" Type="http://schemas.openxmlformats.org/officeDocument/2006/relationships/image" Target="../media/image20.png"/><Relationship Id="rId23" Type="http://schemas.openxmlformats.org/officeDocument/2006/relationships/image" Target="../media/image28.png"/><Relationship Id="rId10" Type="http://schemas.openxmlformats.org/officeDocument/2006/relationships/image" Target="../media/image15.png"/><Relationship Id="rId19" Type="http://schemas.openxmlformats.org/officeDocument/2006/relationships/image" Target="../media/image24.png"/><Relationship Id="rId4" Type="http://schemas.openxmlformats.org/officeDocument/2006/relationships/image" Target="../media/image9.png"/><Relationship Id="rId9" Type="http://schemas.openxmlformats.org/officeDocument/2006/relationships/image" Target="../media/image14.png"/><Relationship Id="rId14" Type="http://schemas.openxmlformats.org/officeDocument/2006/relationships/image" Target="../media/image19.png"/><Relationship Id="rId22" Type="http://schemas.openxmlformats.org/officeDocument/2006/relationships/image" Target="../media/image27.png"/></Relationships>
</file>

<file path=xl/drawings/_rels/drawing3.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18" Type="http://schemas.openxmlformats.org/officeDocument/2006/relationships/image" Target="../media/image48.png"/><Relationship Id="rId3" Type="http://schemas.openxmlformats.org/officeDocument/2006/relationships/image" Target="../media/image33.png"/><Relationship Id="rId21" Type="http://schemas.openxmlformats.org/officeDocument/2006/relationships/image" Target="../media/image51.pn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47.png"/><Relationship Id="rId2" Type="http://schemas.openxmlformats.org/officeDocument/2006/relationships/image" Target="../media/image32.png"/><Relationship Id="rId16" Type="http://schemas.openxmlformats.org/officeDocument/2006/relationships/image" Target="../media/image46.png"/><Relationship Id="rId20" Type="http://schemas.openxmlformats.org/officeDocument/2006/relationships/image" Target="../media/image50.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5" Type="http://schemas.openxmlformats.org/officeDocument/2006/relationships/image" Target="../media/image45.png"/><Relationship Id="rId10" Type="http://schemas.openxmlformats.org/officeDocument/2006/relationships/image" Target="../media/image40.png"/><Relationship Id="rId19" Type="http://schemas.openxmlformats.org/officeDocument/2006/relationships/image" Target="../media/image49.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 Id="rId22" Type="http://schemas.openxmlformats.org/officeDocument/2006/relationships/image" Target="../media/image52.png"/></Relationships>
</file>

<file path=xl/drawings/_rels/drawing4.xml.rels><?xml version="1.0" encoding="UTF-8" standalone="yes"?>
<Relationships xmlns="http://schemas.openxmlformats.org/package/2006/relationships"><Relationship Id="rId8" Type="http://schemas.openxmlformats.org/officeDocument/2006/relationships/image" Target="../media/image60.png"/><Relationship Id="rId13" Type="http://schemas.openxmlformats.org/officeDocument/2006/relationships/image" Target="../media/image65.png"/><Relationship Id="rId18" Type="http://schemas.openxmlformats.org/officeDocument/2006/relationships/image" Target="../media/image70.png"/><Relationship Id="rId3" Type="http://schemas.openxmlformats.org/officeDocument/2006/relationships/image" Target="../media/image55.png"/><Relationship Id="rId7" Type="http://schemas.openxmlformats.org/officeDocument/2006/relationships/image" Target="../media/image59.png"/><Relationship Id="rId12" Type="http://schemas.openxmlformats.org/officeDocument/2006/relationships/image" Target="../media/image64.png"/><Relationship Id="rId17" Type="http://schemas.openxmlformats.org/officeDocument/2006/relationships/image" Target="../media/image69.png"/><Relationship Id="rId2" Type="http://schemas.openxmlformats.org/officeDocument/2006/relationships/image" Target="../media/image54.png"/><Relationship Id="rId16" Type="http://schemas.openxmlformats.org/officeDocument/2006/relationships/image" Target="../media/image68.png"/><Relationship Id="rId1" Type="http://schemas.openxmlformats.org/officeDocument/2006/relationships/image" Target="../media/image53.png"/><Relationship Id="rId6" Type="http://schemas.openxmlformats.org/officeDocument/2006/relationships/image" Target="../media/image58.png"/><Relationship Id="rId11" Type="http://schemas.openxmlformats.org/officeDocument/2006/relationships/image" Target="../media/image63.png"/><Relationship Id="rId5" Type="http://schemas.openxmlformats.org/officeDocument/2006/relationships/image" Target="../media/image57.png"/><Relationship Id="rId15" Type="http://schemas.openxmlformats.org/officeDocument/2006/relationships/image" Target="../media/image67.png"/><Relationship Id="rId10" Type="http://schemas.openxmlformats.org/officeDocument/2006/relationships/image" Target="../media/image62.png"/><Relationship Id="rId19" Type="http://schemas.openxmlformats.org/officeDocument/2006/relationships/image" Target="../media/image71.png"/><Relationship Id="rId4" Type="http://schemas.openxmlformats.org/officeDocument/2006/relationships/image" Target="../media/image56.png"/><Relationship Id="rId9" Type="http://schemas.openxmlformats.org/officeDocument/2006/relationships/image" Target="../media/image61.png"/><Relationship Id="rId14" Type="http://schemas.openxmlformats.org/officeDocument/2006/relationships/image" Target="../media/image66.png"/></Relationships>
</file>

<file path=xl/drawings/_rels/drawing5.xml.rels><?xml version="1.0" encoding="UTF-8" standalone="yes"?>
<Relationships xmlns="http://schemas.openxmlformats.org/package/2006/relationships"><Relationship Id="rId8" Type="http://schemas.openxmlformats.org/officeDocument/2006/relationships/image" Target="../media/image79.png"/><Relationship Id="rId13" Type="http://schemas.openxmlformats.org/officeDocument/2006/relationships/image" Target="../media/image84.png"/><Relationship Id="rId18" Type="http://schemas.openxmlformats.org/officeDocument/2006/relationships/image" Target="../media/image89.png"/><Relationship Id="rId3" Type="http://schemas.openxmlformats.org/officeDocument/2006/relationships/image" Target="../media/image74.png"/><Relationship Id="rId21" Type="http://schemas.openxmlformats.org/officeDocument/2006/relationships/image" Target="../media/image92.png"/><Relationship Id="rId7" Type="http://schemas.openxmlformats.org/officeDocument/2006/relationships/image" Target="../media/image78.png"/><Relationship Id="rId12" Type="http://schemas.openxmlformats.org/officeDocument/2006/relationships/image" Target="../media/image83.png"/><Relationship Id="rId17" Type="http://schemas.openxmlformats.org/officeDocument/2006/relationships/image" Target="../media/image88.png"/><Relationship Id="rId25" Type="http://schemas.openxmlformats.org/officeDocument/2006/relationships/image" Target="../media/image96.png"/><Relationship Id="rId2" Type="http://schemas.openxmlformats.org/officeDocument/2006/relationships/image" Target="../media/image73.png"/><Relationship Id="rId16" Type="http://schemas.openxmlformats.org/officeDocument/2006/relationships/image" Target="../media/image87.png"/><Relationship Id="rId20" Type="http://schemas.openxmlformats.org/officeDocument/2006/relationships/image" Target="../media/image91.png"/><Relationship Id="rId1" Type="http://schemas.openxmlformats.org/officeDocument/2006/relationships/image" Target="../media/image72.png"/><Relationship Id="rId6" Type="http://schemas.openxmlformats.org/officeDocument/2006/relationships/image" Target="../media/image77.png"/><Relationship Id="rId11" Type="http://schemas.openxmlformats.org/officeDocument/2006/relationships/image" Target="../media/image82.png"/><Relationship Id="rId24" Type="http://schemas.openxmlformats.org/officeDocument/2006/relationships/image" Target="../media/image95.png"/><Relationship Id="rId5" Type="http://schemas.openxmlformats.org/officeDocument/2006/relationships/image" Target="../media/image76.png"/><Relationship Id="rId15" Type="http://schemas.openxmlformats.org/officeDocument/2006/relationships/image" Target="../media/image86.png"/><Relationship Id="rId23" Type="http://schemas.openxmlformats.org/officeDocument/2006/relationships/image" Target="../media/image94.png"/><Relationship Id="rId10" Type="http://schemas.openxmlformats.org/officeDocument/2006/relationships/image" Target="../media/image81.png"/><Relationship Id="rId19" Type="http://schemas.openxmlformats.org/officeDocument/2006/relationships/image" Target="../media/image90.png"/><Relationship Id="rId4" Type="http://schemas.openxmlformats.org/officeDocument/2006/relationships/image" Target="../media/image75.png"/><Relationship Id="rId9" Type="http://schemas.openxmlformats.org/officeDocument/2006/relationships/image" Target="../media/image80.png"/><Relationship Id="rId14" Type="http://schemas.openxmlformats.org/officeDocument/2006/relationships/image" Target="../media/image85.png"/><Relationship Id="rId22" Type="http://schemas.openxmlformats.org/officeDocument/2006/relationships/image" Target="../media/image93.png"/></Relationships>
</file>

<file path=xl/drawings/_rels/drawing6.xml.rels><?xml version="1.0" encoding="UTF-8" standalone="yes"?>
<Relationships xmlns="http://schemas.openxmlformats.org/package/2006/relationships"><Relationship Id="rId1" Type="http://schemas.openxmlformats.org/officeDocument/2006/relationships/image" Target="../media/image97.png"/></Relationships>
</file>

<file path=xl/drawings/drawing1.xml><?xml version="1.0" encoding="utf-8"?>
<xdr:wsDr xmlns:xdr="http://schemas.openxmlformats.org/drawingml/2006/spreadsheetDrawing" xmlns:a="http://schemas.openxmlformats.org/drawingml/2006/main">
  <xdr:twoCellAnchor editAs="oneCell">
    <xdr:from>
      <xdr:col>7</xdr:col>
      <xdr:colOff>523686</xdr:colOff>
      <xdr:row>4</xdr:row>
      <xdr:rowOff>165653</xdr:rowOff>
    </xdr:from>
    <xdr:to>
      <xdr:col>8</xdr:col>
      <xdr:colOff>759764</xdr:colOff>
      <xdr:row>6</xdr:row>
      <xdr:rowOff>1021521</xdr:rowOff>
    </xdr:to>
    <xdr:pic>
      <xdr:nvPicPr>
        <xdr:cNvPr id="2" name="Image 1" descr="variation du seuil de la RE2020">
          <a:extLst>
            <a:ext uri="{FF2B5EF4-FFF2-40B4-BE49-F238E27FC236}">
              <a16:creationId xmlns:a16="http://schemas.microsoft.com/office/drawing/2014/main" id="{3614A7A9-4DB3-9688-E13F-4E550D4971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8469" y="1192696"/>
          <a:ext cx="998078" cy="1363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314740</xdr:colOff>
      <xdr:row>28</xdr:row>
      <xdr:rowOff>110435</xdr:rowOff>
    </xdr:from>
    <xdr:to>
      <xdr:col>8</xdr:col>
      <xdr:colOff>171174</xdr:colOff>
      <xdr:row>28</xdr:row>
      <xdr:rowOff>696470</xdr:rowOff>
    </xdr:to>
    <xdr:pic>
      <xdr:nvPicPr>
        <xdr:cNvPr id="3" name="Image 2" descr="Click Icon Vector Art, Icons, and Graphics for Free Download">
          <a:hlinkClick xmlns:r="http://schemas.openxmlformats.org/officeDocument/2006/relationships" r:id="rId2"/>
          <a:extLst>
            <a:ext uri="{FF2B5EF4-FFF2-40B4-BE49-F238E27FC236}">
              <a16:creationId xmlns:a16="http://schemas.microsoft.com/office/drawing/2014/main" id="{27349D68-26D3-4E67-BBDF-6838D37F7116}"/>
            </a:ext>
          </a:extLst>
        </xdr:cNvPr>
        <xdr:cNvPicPr>
          <a:picLocks noChangeAspect="1" noChangeArrowheads="1"/>
        </xdr:cNvPicPr>
      </xdr:nvPicPr>
      <xdr:blipFill>
        <a:blip xmlns:r="http://schemas.openxmlformats.org/officeDocument/2006/relationships" r:embed="rId3" cstate="print">
          <a:duotone>
            <a:prstClr val="black"/>
            <a:schemeClr val="accent2">
              <a:tint val="45000"/>
              <a:satMod val="400000"/>
            </a:schemeClr>
          </a:duotone>
          <a:extLst>
            <a:ext uri="{28A0092B-C50C-407E-A947-70E740481C1C}">
              <a14:useLocalDpi xmlns:a14="http://schemas.microsoft.com/office/drawing/2010/main" val="0"/>
            </a:ext>
          </a:extLst>
        </a:blip>
        <a:srcRect/>
        <a:stretch>
          <a:fillRect/>
        </a:stretch>
      </xdr:blipFill>
      <xdr:spPr bwMode="auto">
        <a:xfrm>
          <a:off x="5339523" y="4511261"/>
          <a:ext cx="618434" cy="589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303695</xdr:colOff>
      <xdr:row>3</xdr:row>
      <xdr:rowOff>9831</xdr:rowOff>
    </xdr:from>
    <xdr:to>
      <xdr:col>8</xdr:col>
      <xdr:colOff>698771</xdr:colOff>
      <xdr:row>4</xdr:row>
      <xdr:rowOff>40327</xdr:rowOff>
    </xdr:to>
    <xdr:pic>
      <xdr:nvPicPr>
        <xdr:cNvPr id="4" name="Image 3" descr="Réglementation Environnementale 2020 - tout savoir sur la RE2020">
          <a:extLst>
            <a:ext uri="{FF2B5EF4-FFF2-40B4-BE49-F238E27FC236}">
              <a16:creationId xmlns:a16="http://schemas.microsoft.com/office/drawing/2014/main" id="{712AB64F-AF19-4ADD-AA37-F072250E4DD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28478" y="711092"/>
          <a:ext cx="1149139" cy="356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392044</xdr:colOff>
      <xdr:row>2</xdr:row>
      <xdr:rowOff>298173</xdr:rowOff>
    </xdr:from>
    <xdr:to>
      <xdr:col>11</xdr:col>
      <xdr:colOff>413046</xdr:colOff>
      <xdr:row>6</xdr:row>
      <xdr:rowOff>49694</xdr:rowOff>
    </xdr:to>
    <xdr:pic>
      <xdr:nvPicPr>
        <xdr:cNvPr id="5" name="Image 4">
          <a:hlinkClick xmlns:r="http://schemas.openxmlformats.org/officeDocument/2006/relationships" r:id="rId5"/>
          <a:extLst>
            <a:ext uri="{FF2B5EF4-FFF2-40B4-BE49-F238E27FC236}">
              <a16:creationId xmlns:a16="http://schemas.microsoft.com/office/drawing/2014/main" id="{DD5E38F7-8581-73E2-773A-E383A7272C28}"/>
            </a:ext>
          </a:extLst>
        </xdr:cNvPr>
        <xdr:cNvPicPr>
          <a:picLocks noChangeAspect="1"/>
        </xdr:cNvPicPr>
      </xdr:nvPicPr>
      <xdr:blipFill>
        <a:blip xmlns:r="http://schemas.openxmlformats.org/officeDocument/2006/relationships" r:embed="rId6"/>
        <a:stretch>
          <a:fillRect/>
        </a:stretch>
      </xdr:blipFill>
      <xdr:spPr>
        <a:xfrm>
          <a:off x="7327348" y="673651"/>
          <a:ext cx="783003" cy="911087"/>
        </a:xfrm>
        <a:prstGeom prst="rect">
          <a:avLst/>
        </a:prstGeom>
      </xdr:spPr>
    </xdr:pic>
    <xdr:clientData/>
  </xdr:twoCellAnchor>
  <xdr:twoCellAnchor editAs="oneCell">
    <xdr:from>
      <xdr:col>6</xdr:col>
      <xdr:colOff>347839</xdr:colOff>
      <xdr:row>7</xdr:row>
      <xdr:rowOff>71783</xdr:rowOff>
    </xdr:from>
    <xdr:to>
      <xdr:col>9</xdr:col>
      <xdr:colOff>342460</xdr:colOff>
      <xdr:row>15</xdr:row>
      <xdr:rowOff>179096</xdr:rowOff>
    </xdr:to>
    <xdr:pic>
      <xdr:nvPicPr>
        <xdr:cNvPr id="6" name="Image 5">
          <a:extLst>
            <a:ext uri="{FF2B5EF4-FFF2-40B4-BE49-F238E27FC236}">
              <a16:creationId xmlns:a16="http://schemas.microsoft.com/office/drawing/2014/main" id="{3A49F92A-BDC6-7F70-38B3-5060456EE723}"/>
            </a:ext>
          </a:extLst>
        </xdr:cNvPr>
        <xdr:cNvPicPr>
          <a:picLocks noChangeAspect="1"/>
        </xdr:cNvPicPr>
      </xdr:nvPicPr>
      <xdr:blipFill>
        <a:blip xmlns:r="http://schemas.openxmlformats.org/officeDocument/2006/relationships" r:embed="rId7"/>
        <a:stretch>
          <a:fillRect/>
        </a:stretch>
      </xdr:blipFill>
      <xdr:spPr>
        <a:xfrm>
          <a:off x="4610622" y="2639392"/>
          <a:ext cx="2280621" cy="15602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386373</xdr:colOff>
      <xdr:row>29</xdr:row>
      <xdr:rowOff>128955</xdr:rowOff>
    </xdr:from>
    <xdr:to>
      <xdr:col>15</xdr:col>
      <xdr:colOff>313105</xdr:colOff>
      <xdr:row>47</xdr:row>
      <xdr:rowOff>67405</xdr:rowOff>
    </xdr:to>
    <xdr:pic>
      <xdr:nvPicPr>
        <xdr:cNvPr id="2" name="Image 1">
          <a:extLst>
            <a:ext uri="{FF2B5EF4-FFF2-40B4-BE49-F238E27FC236}">
              <a16:creationId xmlns:a16="http://schemas.microsoft.com/office/drawing/2014/main" id="{487B9B52-3B8E-A4B7-0EC9-99327ABFC525}"/>
            </a:ext>
          </a:extLst>
        </xdr:cNvPr>
        <xdr:cNvPicPr>
          <a:picLocks noChangeAspect="1"/>
        </xdr:cNvPicPr>
      </xdr:nvPicPr>
      <xdr:blipFill>
        <a:blip xmlns:r="http://schemas.openxmlformats.org/officeDocument/2006/relationships" r:embed="rId1"/>
        <a:stretch>
          <a:fillRect/>
        </a:stretch>
      </xdr:blipFill>
      <xdr:spPr>
        <a:xfrm>
          <a:off x="9428773" y="5323255"/>
          <a:ext cx="4498732" cy="3342050"/>
        </a:xfrm>
        <a:prstGeom prst="rect">
          <a:avLst/>
        </a:prstGeom>
      </xdr:spPr>
    </xdr:pic>
    <xdr:clientData/>
  </xdr:twoCellAnchor>
  <xdr:twoCellAnchor editAs="oneCell">
    <xdr:from>
      <xdr:col>10</xdr:col>
      <xdr:colOff>251070</xdr:colOff>
      <xdr:row>40</xdr:row>
      <xdr:rowOff>133351</xdr:rowOff>
    </xdr:from>
    <xdr:to>
      <xdr:col>15</xdr:col>
      <xdr:colOff>638420</xdr:colOff>
      <xdr:row>48</xdr:row>
      <xdr:rowOff>46378</xdr:rowOff>
    </xdr:to>
    <xdr:pic>
      <xdr:nvPicPr>
        <xdr:cNvPr id="3" name="Image 2">
          <a:extLst>
            <a:ext uri="{FF2B5EF4-FFF2-40B4-BE49-F238E27FC236}">
              <a16:creationId xmlns:a16="http://schemas.microsoft.com/office/drawing/2014/main" id="{F8D73676-4E78-9644-96CE-73FF581A1895}"/>
            </a:ext>
          </a:extLst>
        </xdr:cNvPr>
        <xdr:cNvPicPr>
          <a:picLocks noChangeAspect="1"/>
        </xdr:cNvPicPr>
      </xdr:nvPicPr>
      <xdr:blipFill>
        <a:blip xmlns:r="http://schemas.openxmlformats.org/officeDocument/2006/relationships" r:embed="rId2"/>
        <a:stretch>
          <a:fillRect/>
        </a:stretch>
      </xdr:blipFill>
      <xdr:spPr>
        <a:xfrm>
          <a:off x="9014070" y="3347428"/>
          <a:ext cx="4197350" cy="1422372"/>
        </a:xfrm>
        <a:prstGeom prst="rect">
          <a:avLst/>
        </a:prstGeom>
      </xdr:spPr>
    </xdr:pic>
    <xdr:clientData/>
  </xdr:twoCellAnchor>
  <xdr:twoCellAnchor editAs="oneCell">
    <xdr:from>
      <xdr:col>10</xdr:col>
      <xdr:colOff>249375</xdr:colOff>
      <xdr:row>47</xdr:row>
      <xdr:rowOff>154094</xdr:rowOff>
    </xdr:from>
    <xdr:to>
      <xdr:col>15</xdr:col>
      <xdr:colOff>374047</xdr:colOff>
      <xdr:row>54</xdr:row>
      <xdr:rowOff>62534</xdr:rowOff>
    </xdr:to>
    <xdr:pic>
      <xdr:nvPicPr>
        <xdr:cNvPr id="4" name="Image 3">
          <a:extLst>
            <a:ext uri="{FF2B5EF4-FFF2-40B4-BE49-F238E27FC236}">
              <a16:creationId xmlns:a16="http://schemas.microsoft.com/office/drawing/2014/main" id="{A80B8339-78B2-E850-892A-8D56471C7EE3}"/>
            </a:ext>
          </a:extLst>
        </xdr:cNvPr>
        <xdr:cNvPicPr>
          <a:picLocks noChangeAspect="1"/>
        </xdr:cNvPicPr>
      </xdr:nvPicPr>
      <xdr:blipFill>
        <a:blip xmlns:r="http://schemas.openxmlformats.org/officeDocument/2006/relationships" r:embed="rId3"/>
        <a:stretch>
          <a:fillRect/>
        </a:stretch>
      </xdr:blipFill>
      <xdr:spPr>
        <a:xfrm>
          <a:off x="9012375" y="4763447"/>
          <a:ext cx="3934672" cy="1253145"/>
        </a:xfrm>
        <a:prstGeom prst="rect">
          <a:avLst/>
        </a:prstGeom>
      </xdr:spPr>
    </xdr:pic>
    <xdr:clientData/>
  </xdr:twoCellAnchor>
  <xdr:twoCellAnchor editAs="oneCell">
    <xdr:from>
      <xdr:col>6</xdr:col>
      <xdr:colOff>211763</xdr:colOff>
      <xdr:row>0</xdr:row>
      <xdr:rowOff>59766</xdr:rowOff>
    </xdr:from>
    <xdr:to>
      <xdr:col>8</xdr:col>
      <xdr:colOff>500529</xdr:colOff>
      <xdr:row>6</xdr:row>
      <xdr:rowOff>41678</xdr:rowOff>
    </xdr:to>
    <xdr:pic>
      <xdr:nvPicPr>
        <xdr:cNvPr id="5" name="Image 4">
          <a:extLst>
            <a:ext uri="{FF2B5EF4-FFF2-40B4-BE49-F238E27FC236}">
              <a16:creationId xmlns:a16="http://schemas.microsoft.com/office/drawing/2014/main" id="{E490649B-40E2-B4B1-D496-FF88C5AC702B}"/>
            </a:ext>
          </a:extLst>
        </xdr:cNvPr>
        <xdr:cNvPicPr>
          <a:picLocks noChangeAspect="1"/>
        </xdr:cNvPicPr>
      </xdr:nvPicPr>
      <xdr:blipFill>
        <a:blip xmlns:r="http://schemas.openxmlformats.org/officeDocument/2006/relationships" r:embed="rId4"/>
        <a:stretch>
          <a:fillRect/>
        </a:stretch>
      </xdr:blipFill>
      <xdr:spPr>
        <a:xfrm>
          <a:off x="5396351" y="59766"/>
          <a:ext cx="2507531" cy="1124912"/>
        </a:xfrm>
        <a:prstGeom prst="rect">
          <a:avLst/>
        </a:prstGeom>
        <a:ln>
          <a:solidFill>
            <a:schemeClr val="accent3"/>
          </a:solidFill>
        </a:ln>
      </xdr:spPr>
    </xdr:pic>
    <xdr:clientData/>
  </xdr:twoCellAnchor>
  <xdr:twoCellAnchor editAs="oneCell">
    <xdr:from>
      <xdr:col>20</xdr:col>
      <xdr:colOff>197776</xdr:colOff>
      <xdr:row>1</xdr:row>
      <xdr:rowOff>149411</xdr:rowOff>
    </xdr:from>
    <xdr:to>
      <xdr:col>25</xdr:col>
      <xdr:colOff>35746</xdr:colOff>
      <xdr:row>26</xdr:row>
      <xdr:rowOff>172513</xdr:rowOff>
    </xdr:to>
    <xdr:pic>
      <xdr:nvPicPr>
        <xdr:cNvPr id="6" name="Image 5">
          <a:extLst>
            <a:ext uri="{FF2B5EF4-FFF2-40B4-BE49-F238E27FC236}">
              <a16:creationId xmlns:a16="http://schemas.microsoft.com/office/drawing/2014/main" id="{1AD640B1-8F6E-8693-94A5-14482492005F}"/>
            </a:ext>
          </a:extLst>
        </xdr:cNvPr>
        <xdr:cNvPicPr>
          <a:picLocks noChangeAspect="1"/>
        </xdr:cNvPicPr>
      </xdr:nvPicPr>
      <xdr:blipFill>
        <a:blip xmlns:r="http://schemas.openxmlformats.org/officeDocument/2006/relationships" r:embed="rId5"/>
        <a:stretch>
          <a:fillRect/>
        </a:stretch>
      </xdr:blipFill>
      <xdr:spPr>
        <a:xfrm>
          <a:off x="16580776" y="343646"/>
          <a:ext cx="3647970" cy="4729946"/>
        </a:xfrm>
        <a:prstGeom prst="rect">
          <a:avLst/>
        </a:prstGeom>
      </xdr:spPr>
    </xdr:pic>
    <xdr:clientData/>
  </xdr:twoCellAnchor>
  <xdr:twoCellAnchor>
    <xdr:from>
      <xdr:col>8</xdr:col>
      <xdr:colOff>328706</xdr:colOff>
      <xdr:row>2</xdr:row>
      <xdr:rowOff>164352</xdr:rowOff>
    </xdr:from>
    <xdr:to>
      <xdr:col>17</xdr:col>
      <xdr:colOff>231588</xdr:colOff>
      <xdr:row>3</xdr:row>
      <xdr:rowOff>112059</xdr:rowOff>
    </xdr:to>
    <xdr:sp macro="" textlink="">
      <xdr:nvSpPr>
        <xdr:cNvPr id="7" name="Flèche : droite 6">
          <a:extLst>
            <a:ext uri="{FF2B5EF4-FFF2-40B4-BE49-F238E27FC236}">
              <a16:creationId xmlns:a16="http://schemas.microsoft.com/office/drawing/2014/main" id="{8BE0EBB1-4EFA-97BA-CEF4-66EFE06B909D}"/>
            </a:ext>
          </a:extLst>
        </xdr:cNvPr>
        <xdr:cNvSpPr/>
      </xdr:nvSpPr>
      <xdr:spPr>
        <a:xfrm>
          <a:off x="7732059" y="552823"/>
          <a:ext cx="6596529" cy="134471"/>
        </a:xfrm>
        <a:prstGeom prst="rightArrow">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10</xdr:col>
      <xdr:colOff>141941</xdr:colOff>
      <xdr:row>56</xdr:row>
      <xdr:rowOff>146618</xdr:rowOff>
    </xdr:from>
    <xdr:to>
      <xdr:col>15</xdr:col>
      <xdr:colOff>315295</xdr:colOff>
      <xdr:row>60</xdr:row>
      <xdr:rowOff>39069</xdr:rowOff>
    </xdr:to>
    <xdr:pic>
      <xdr:nvPicPr>
        <xdr:cNvPr id="8" name="Image 7">
          <a:extLst>
            <a:ext uri="{FF2B5EF4-FFF2-40B4-BE49-F238E27FC236}">
              <a16:creationId xmlns:a16="http://schemas.microsoft.com/office/drawing/2014/main" id="{2AEF1AAE-AE11-D133-0200-0150A313EF45}"/>
            </a:ext>
          </a:extLst>
        </xdr:cNvPr>
        <xdr:cNvPicPr>
          <a:picLocks noChangeAspect="1"/>
        </xdr:cNvPicPr>
      </xdr:nvPicPr>
      <xdr:blipFill>
        <a:blip xmlns:r="http://schemas.openxmlformats.org/officeDocument/2006/relationships" r:embed="rId6"/>
        <a:stretch>
          <a:fillRect/>
        </a:stretch>
      </xdr:blipFill>
      <xdr:spPr>
        <a:xfrm>
          <a:off x="8904941" y="9118794"/>
          <a:ext cx="3983354" cy="661922"/>
        </a:xfrm>
        <a:prstGeom prst="rect">
          <a:avLst/>
        </a:prstGeom>
      </xdr:spPr>
    </xdr:pic>
    <xdr:clientData/>
  </xdr:twoCellAnchor>
  <xdr:twoCellAnchor editAs="oneCell">
    <xdr:from>
      <xdr:col>10</xdr:col>
      <xdr:colOff>141941</xdr:colOff>
      <xdr:row>62</xdr:row>
      <xdr:rowOff>133918</xdr:rowOff>
    </xdr:from>
    <xdr:to>
      <xdr:col>15</xdr:col>
      <xdr:colOff>315295</xdr:colOff>
      <xdr:row>66</xdr:row>
      <xdr:rowOff>26369</xdr:rowOff>
    </xdr:to>
    <xdr:pic>
      <xdr:nvPicPr>
        <xdr:cNvPr id="9" name="Image 8">
          <a:extLst>
            <a:ext uri="{FF2B5EF4-FFF2-40B4-BE49-F238E27FC236}">
              <a16:creationId xmlns:a16="http://schemas.microsoft.com/office/drawing/2014/main" id="{B5A1A0CA-47A2-BF5D-8D2A-C3028ACAFA14}"/>
            </a:ext>
          </a:extLst>
        </xdr:cNvPr>
        <xdr:cNvPicPr>
          <a:picLocks noChangeAspect="1"/>
        </xdr:cNvPicPr>
      </xdr:nvPicPr>
      <xdr:blipFill>
        <a:blip xmlns:r="http://schemas.openxmlformats.org/officeDocument/2006/relationships" r:embed="rId6"/>
        <a:stretch>
          <a:fillRect/>
        </a:stretch>
      </xdr:blipFill>
      <xdr:spPr>
        <a:xfrm>
          <a:off x="8904941" y="10084368"/>
          <a:ext cx="3983354" cy="648101"/>
        </a:xfrm>
        <a:prstGeom prst="rect">
          <a:avLst/>
        </a:prstGeom>
      </xdr:spPr>
    </xdr:pic>
    <xdr:clientData/>
  </xdr:twoCellAnchor>
  <xdr:twoCellAnchor editAs="oneCell">
    <xdr:from>
      <xdr:col>10</xdr:col>
      <xdr:colOff>158750</xdr:colOff>
      <xdr:row>70</xdr:row>
      <xdr:rowOff>176362</xdr:rowOff>
    </xdr:from>
    <xdr:to>
      <xdr:col>15</xdr:col>
      <xdr:colOff>198177</xdr:colOff>
      <xdr:row>74</xdr:row>
      <xdr:rowOff>76426</xdr:rowOff>
    </xdr:to>
    <xdr:pic>
      <xdr:nvPicPr>
        <xdr:cNvPr id="10" name="Image 9">
          <a:extLst>
            <a:ext uri="{FF2B5EF4-FFF2-40B4-BE49-F238E27FC236}">
              <a16:creationId xmlns:a16="http://schemas.microsoft.com/office/drawing/2014/main" id="{8631BF89-33B6-8370-FCED-20E979A05412}"/>
            </a:ext>
          </a:extLst>
        </xdr:cNvPr>
        <xdr:cNvPicPr>
          <a:picLocks noChangeAspect="1"/>
        </xdr:cNvPicPr>
      </xdr:nvPicPr>
      <xdr:blipFill>
        <a:blip xmlns:r="http://schemas.openxmlformats.org/officeDocument/2006/relationships" r:embed="rId7"/>
        <a:stretch>
          <a:fillRect/>
        </a:stretch>
      </xdr:blipFill>
      <xdr:spPr>
        <a:xfrm>
          <a:off x="8921750" y="11638112"/>
          <a:ext cx="3849427" cy="655714"/>
        </a:xfrm>
        <a:prstGeom prst="rect">
          <a:avLst/>
        </a:prstGeom>
      </xdr:spPr>
    </xdr:pic>
    <xdr:clientData/>
  </xdr:twoCellAnchor>
  <xdr:twoCellAnchor editAs="oneCell">
    <xdr:from>
      <xdr:col>10</xdr:col>
      <xdr:colOff>127000</xdr:colOff>
      <xdr:row>77</xdr:row>
      <xdr:rowOff>150962</xdr:rowOff>
    </xdr:from>
    <xdr:to>
      <xdr:col>15</xdr:col>
      <xdr:colOff>166427</xdr:colOff>
      <xdr:row>81</xdr:row>
      <xdr:rowOff>51026</xdr:rowOff>
    </xdr:to>
    <xdr:pic>
      <xdr:nvPicPr>
        <xdr:cNvPr id="11" name="Image 10">
          <a:extLst>
            <a:ext uri="{FF2B5EF4-FFF2-40B4-BE49-F238E27FC236}">
              <a16:creationId xmlns:a16="http://schemas.microsoft.com/office/drawing/2014/main" id="{B57933C7-E0DE-020A-BBC4-68DF9F4DBC33}"/>
            </a:ext>
          </a:extLst>
        </xdr:cNvPr>
        <xdr:cNvPicPr>
          <a:picLocks noChangeAspect="1"/>
        </xdr:cNvPicPr>
      </xdr:nvPicPr>
      <xdr:blipFill>
        <a:blip xmlns:r="http://schemas.openxmlformats.org/officeDocument/2006/relationships" r:embed="rId7"/>
        <a:stretch>
          <a:fillRect/>
        </a:stretch>
      </xdr:blipFill>
      <xdr:spPr>
        <a:xfrm>
          <a:off x="9328150" y="12933512"/>
          <a:ext cx="3849427" cy="655714"/>
        </a:xfrm>
        <a:prstGeom prst="rect">
          <a:avLst/>
        </a:prstGeom>
      </xdr:spPr>
    </xdr:pic>
    <xdr:clientData/>
  </xdr:twoCellAnchor>
  <xdr:twoCellAnchor editAs="oneCell">
    <xdr:from>
      <xdr:col>10</xdr:col>
      <xdr:colOff>215900</xdr:colOff>
      <xdr:row>84</xdr:row>
      <xdr:rowOff>35726</xdr:rowOff>
    </xdr:from>
    <xdr:to>
      <xdr:col>15</xdr:col>
      <xdr:colOff>928</xdr:colOff>
      <xdr:row>87</xdr:row>
      <xdr:rowOff>73181</xdr:rowOff>
    </xdr:to>
    <xdr:pic>
      <xdr:nvPicPr>
        <xdr:cNvPr id="12" name="Image 11">
          <a:extLst>
            <a:ext uri="{FF2B5EF4-FFF2-40B4-BE49-F238E27FC236}">
              <a16:creationId xmlns:a16="http://schemas.microsoft.com/office/drawing/2014/main" id="{1CF15DC1-E800-E0D1-1850-0F24F0FDE609}"/>
            </a:ext>
          </a:extLst>
        </xdr:cNvPr>
        <xdr:cNvPicPr>
          <a:picLocks noChangeAspect="1"/>
        </xdr:cNvPicPr>
      </xdr:nvPicPr>
      <xdr:blipFill>
        <a:blip xmlns:r="http://schemas.openxmlformats.org/officeDocument/2006/relationships" r:embed="rId8"/>
        <a:stretch>
          <a:fillRect/>
        </a:stretch>
      </xdr:blipFill>
      <xdr:spPr>
        <a:xfrm>
          <a:off x="9417050" y="14139076"/>
          <a:ext cx="3595028" cy="602605"/>
        </a:xfrm>
        <a:prstGeom prst="rect">
          <a:avLst/>
        </a:prstGeom>
      </xdr:spPr>
    </xdr:pic>
    <xdr:clientData/>
  </xdr:twoCellAnchor>
  <xdr:twoCellAnchor editAs="oneCell">
    <xdr:from>
      <xdr:col>10</xdr:col>
      <xdr:colOff>184150</xdr:colOff>
      <xdr:row>91</xdr:row>
      <xdr:rowOff>35726</xdr:rowOff>
    </xdr:from>
    <xdr:to>
      <xdr:col>14</xdr:col>
      <xdr:colOff>731178</xdr:colOff>
      <xdr:row>94</xdr:row>
      <xdr:rowOff>73181</xdr:rowOff>
    </xdr:to>
    <xdr:pic>
      <xdr:nvPicPr>
        <xdr:cNvPr id="13" name="Image 12">
          <a:extLst>
            <a:ext uri="{FF2B5EF4-FFF2-40B4-BE49-F238E27FC236}">
              <a16:creationId xmlns:a16="http://schemas.microsoft.com/office/drawing/2014/main" id="{22573B99-E433-0998-CD0D-F52DED283281}"/>
            </a:ext>
          </a:extLst>
        </xdr:cNvPr>
        <xdr:cNvPicPr>
          <a:picLocks noChangeAspect="1"/>
        </xdr:cNvPicPr>
      </xdr:nvPicPr>
      <xdr:blipFill>
        <a:blip xmlns:r="http://schemas.openxmlformats.org/officeDocument/2006/relationships" r:embed="rId8"/>
        <a:stretch>
          <a:fillRect/>
        </a:stretch>
      </xdr:blipFill>
      <xdr:spPr>
        <a:xfrm>
          <a:off x="9385300" y="15459876"/>
          <a:ext cx="3595028" cy="602605"/>
        </a:xfrm>
        <a:prstGeom prst="rect">
          <a:avLst/>
        </a:prstGeom>
      </xdr:spPr>
    </xdr:pic>
    <xdr:clientData/>
  </xdr:twoCellAnchor>
  <xdr:twoCellAnchor editAs="oneCell">
    <xdr:from>
      <xdr:col>10</xdr:col>
      <xdr:colOff>75434</xdr:colOff>
      <xdr:row>98</xdr:row>
      <xdr:rowOff>177800</xdr:rowOff>
    </xdr:from>
    <xdr:to>
      <xdr:col>15</xdr:col>
      <xdr:colOff>44449</xdr:colOff>
      <xdr:row>102</xdr:row>
      <xdr:rowOff>28725</xdr:rowOff>
    </xdr:to>
    <xdr:pic>
      <xdr:nvPicPr>
        <xdr:cNvPr id="14" name="Image 13">
          <a:extLst>
            <a:ext uri="{FF2B5EF4-FFF2-40B4-BE49-F238E27FC236}">
              <a16:creationId xmlns:a16="http://schemas.microsoft.com/office/drawing/2014/main" id="{CE7E0738-3DA8-11D8-BE46-4035ED667DC1}"/>
            </a:ext>
          </a:extLst>
        </xdr:cNvPr>
        <xdr:cNvPicPr>
          <a:picLocks noChangeAspect="1"/>
        </xdr:cNvPicPr>
      </xdr:nvPicPr>
      <xdr:blipFill>
        <a:blip xmlns:r="http://schemas.openxmlformats.org/officeDocument/2006/relationships" r:embed="rId9"/>
        <a:stretch>
          <a:fillRect/>
        </a:stretch>
      </xdr:blipFill>
      <xdr:spPr>
        <a:xfrm>
          <a:off x="9276584" y="17475200"/>
          <a:ext cx="3779015" cy="606575"/>
        </a:xfrm>
        <a:prstGeom prst="rect">
          <a:avLst/>
        </a:prstGeom>
      </xdr:spPr>
    </xdr:pic>
    <xdr:clientData/>
  </xdr:twoCellAnchor>
  <xdr:twoCellAnchor editAs="oneCell">
    <xdr:from>
      <xdr:col>10</xdr:col>
      <xdr:colOff>158751</xdr:colOff>
      <xdr:row>105</xdr:row>
      <xdr:rowOff>76022</xdr:rowOff>
    </xdr:from>
    <xdr:to>
      <xdr:col>15</xdr:col>
      <xdr:colOff>546101</xdr:colOff>
      <xdr:row>109</xdr:row>
      <xdr:rowOff>16033</xdr:rowOff>
    </xdr:to>
    <xdr:pic>
      <xdr:nvPicPr>
        <xdr:cNvPr id="15" name="Image 14">
          <a:extLst>
            <a:ext uri="{FF2B5EF4-FFF2-40B4-BE49-F238E27FC236}">
              <a16:creationId xmlns:a16="http://schemas.microsoft.com/office/drawing/2014/main" id="{560AD45E-5CE7-9E1B-29D5-5080094500C7}"/>
            </a:ext>
          </a:extLst>
        </xdr:cNvPr>
        <xdr:cNvPicPr>
          <a:picLocks noChangeAspect="1"/>
        </xdr:cNvPicPr>
      </xdr:nvPicPr>
      <xdr:blipFill>
        <a:blip xmlns:r="http://schemas.openxmlformats.org/officeDocument/2006/relationships" r:embed="rId10"/>
        <a:stretch>
          <a:fillRect/>
        </a:stretch>
      </xdr:blipFill>
      <xdr:spPr>
        <a:xfrm>
          <a:off x="9963151" y="19246672"/>
          <a:ext cx="4197350" cy="695661"/>
        </a:xfrm>
        <a:prstGeom prst="rect">
          <a:avLst/>
        </a:prstGeom>
      </xdr:spPr>
    </xdr:pic>
    <xdr:clientData/>
  </xdr:twoCellAnchor>
  <xdr:twoCellAnchor editAs="oneCell">
    <xdr:from>
      <xdr:col>10</xdr:col>
      <xdr:colOff>241300</xdr:colOff>
      <xdr:row>112</xdr:row>
      <xdr:rowOff>47008</xdr:rowOff>
    </xdr:from>
    <xdr:to>
      <xdr:col>15</xdr:col>
      <xdr:colOff>531149</xdr:colOff>
      <xdr:row>116</xdr:row>
      <xdr:rowOff>28741</xdr:rowOff>
    </xdr:to>
    <xdr:pic>
      <xdr:nvPicPr>
        <xdr:cNvPr id="16" name="Image 15">
          <a:extLst>
            <a:ext uri="{FF2B5EF4-FFF2-40B4-BE49-F238E27FC236}">
              <a16:creationId xmlns:a16="http://schemas.microsoft.com/office/drawing/2014/main" id="{8012568A-C2E6-ADB1-2418-A67072C49BC8}"/>
            </a:ext>
          </a:extLst>
        </xdr:cNvPr>
        <xdr:cNvPicPr>
          <a:picLocks noChangeAspect="1"/>
        </xdr:cNvPicPr>
      </xdr:nvPicPr>
      <xdr:blipFill>
        <a:blip xmlns:r="http://schemas.openxmlformats.org/officeDocument/2006/relationships" r:embed="rId11"/>
        <a:stretch>
          <a:fillRect/>
        </a:stretch>
      </xdr:blipFill>
      <xdr:spPr>
        <a:xfrm>
          <a:off x="10045700" y="20538458"/>
          <a:ext cx="4099849" cy="737383"/>
        </a:xfrm>
        <a:prstGeom prst="rect">
          <a:avLst/>
        </a:prstGeom>
      </xdr:spPr>
    </xdr:pic>
    <xdr:clientData/>
  </xdr:twoCellAnchor>
  <xdr:twoCellAnchor editAs="oneCell">
    <xdr:from>
      <xdr:col>10</xdr:col>
      <xdr:colOff>131982</xdr:colOff>
      <xdr:row>119</xdr:row>
      <xdr:rowOff>114299</xdr:rowOff>
    </xdr:from>
    <xdr:to>
      <xdr:col>15</xdr:col>
      <xdr:colOff>717550</xdr:colOff>
      <xdr:row>123</xdr:row>
      <xdr:rowOff>95406</xdr:rowOff>
    </xdr:to>
    <xdr:pic>
      <xdr:nvPicPr>
        <xdr:cNvPr id="17" name="Image 16">
          <a:extLst>
            <a:ext uri="{FF2B5EF4-FFF2-40B4-BE49-F238E27FC236}">
              <a16:creationId xmlns:a16="http://schemas.microsoft.com/office/drawing/2014/main" id="{69F361CE-8F89-BAB5-515F-245011DADFFF}"/>
            </a:ext>
          </a:extLst>
        </xdr:cNvPr>
        <xdr:cNvPicPr>
          <a:picLocks noChangeAspect="1"/>
        </xdr:cNvPicPr>
      </xdr:nvPicPr>
      <xdr:blipFill>
        <a:blip xmlns:r="http://schemas.openxmlformats.org/officeDocument/2006/relationships" r:embed="rId12"/>
        <a:stretch>
          <a:fillRect/>
        </a:stretch>
      </xdr:blipFill>
      <xdr:spPr>
        <a:xfrm>
          <a:off x="9936382" y="21926549"/>
          <a:ext cx="4395568" cy="736757"/>
        </a:xfrm>
        <a:prstGeom prst="rect">
          <a:avLst/>
        </a:prstGeom>
      </xdr:spPr>
    </xdr:pic>
    <xdr:clientData/>
  </xdr:twoCellAnchor>
  <xdr:twoCellAnchor editAs="oneCell">
    <xdr:from>
      <xdr:col>10</xdr:col>
      <xdr:colOff>12700</xdr:colOff>
      <xdr:row>126</xdr:row>
      <xdr:rowOff>38100</xdr:rowOff>
    </xdr:from>
    <xdr:to>
      <xdr:col>16</xdr:col>
      <xdr:colOff>150427</xdr:colOff>
      <xdr:row>130</xdr:row>
      <xdr:rowOff>47781</xdr:rowOff>
    </xdr:to>
    <xdr:pic>
      <xdr:nvPicPr>
        <xdr:cNvPr id="18" name="Image 17">
          <a:extLst>
            <a:ext uri="{FF2B5EF4-FFF2-40B4-BE49-F238E27FC236}">
              <a16:creationId xmlns:a16="http://schemas.microsoft.com/office/drawing/2014/main" id="{41245EC4-8C9A-3CBB-7D66-0E1ECD06C986}"/>
            </a:ext>
          </a:extLst>
        </xdr:cNvPr>
        <xdr:cNvPicPr>
          <a:picLocks noChangeAspect="1"/>
        </xdr:cNvPicPr>
      </xdr:nvPicPr>
      <xdr:blipFill>
        <a:blip xmlns:r="http://schemas.openxmlformats.org/officeDocument/2006/relationships" r:embed="rId13"/>
        <a:stretch>
          <a:fillRect/>
        </a:stretch>
      </xdr:blipFill>
      <xdr:spPr>
        <a:xfrm>
          <a:off x="9817100" y="23171150"/>
          <a:ext cx="4709727" cy="765331"/>
        </a:xfrm>
        <a:prstGeom prst="rect">
          <a:avLst/>
        </a:prstGeom>
      </xdr:spPr>
    </xdr:pic>
    <xdr:clientData/>
  </xdr:twoCellAnchor>
  <xdr:twoCellAnchor editAs="oneCell">
    <xdr:from>
      <xdr:col>10</xdr:col>
      <xdr:colOff>139700</xdr:colOff>
      <xdr:row>133</xdr:row>
      <xdr:rowOff>69308</xdr:rowOff>
    </xdr:from>
    <xdr:to>
      <xdr:col>15</xdr:col>
      <xdr:colOff>740710</xdr:colOff>
      <xdr:row>137</xdr:row>
      <xdr:rowOff>47781</xdr:rowOff>
    </xdr:to>
    <xdr:pic>
      <xdr:nvPicPr>
        <xdr:cNvPr id="19" name="Image 18">
          <a:extLst>
            <a:ext uri="{FF2B5EF4-FFF2-40B4-BE49-F238E27FC236}">
              <a16:creationId xmlns:a16="http://schemas.microsoft.com/office/drawing/2014/main" id="{DA74C5E3-318E-5E08-22BD-4E710B4A511D}"/>
            </a:ext>
          </a:extLst>
        </xdr:cNvPr>
        <xdr:cNvPicPr>
          <a:picLocks noChangeAspect="1"/>
        </xdr:cNvPicPr>
      </xdr:nvPicPr>
      <xdr:blipFill>
        <a:blip xmlns:r="http://schemas.openxmlformats.org/officeDocument/2006/relationships" r:embed="rId14"/>
        <a:stretch>
          <a:fillRect/>
        </a:stretch>
      </xdr:blipFill>
      <xdr:spPr>
        <a:xfrm>
          <a:off x="9944100" y="24523158"/>
          <a:ext cx="4411010" cy="734123"/>
        </a:xfrm>
        <a:prstGeom prst="rect">
          <a:avLst/>
        </a:prstGeom>
      </xdr:spPr>
    </xdr:pic>
    <xdr:clientData/>
  </xdr:twoCellAnchor>
  <xdr:twoCellAnchor editAs="oneCell">
    <xdr:from>
      <xdr:col>10</xdr:col>
      <xdr:colOff>146050</xdr:colOff>
      <xdr:row>140</xdr:row>
      <xdr:rowOff>107950</xdr:rowOff>
    </xdr:from>
    <xdr:to>
      <xdr:col>15</xdr:col>
      <xdr:colOff>711995</xdr:colOff>
      <xdr:row>144</xdr:row>
      <xdr:rowOff>135287</xdr:rowOff>
    </xdr:to>
    <xdr:pic>
      <xdr:nvPicPr>
        <xdr:cNvPr id="20" name="Image 19">
          <a:extLst>
            <a:ext uri="{FF2B5EF4-FFF2-40B4-BE49-F238E27FC236}">
              <a16:creationId xmlns:a16="http://schemas.microsoft.com/office/drawing/2014/main" id="{5115A627-9B28-4175-3F1B-0A73EEB21619}"/>
            </a:ext>
          </a:extLst>
        </xdr:cNvPr>
        <xdr:cNvPicPr>
          <a:picLocks noChangeAspect="1"/>
        </xdr:cNvPicPr>
      </xdr:nvPicPr>
      <xdr:blipFill>
        <a:blip xmlns:r="http://schemas.openxmlformats.org/officeDocument/2006/relationships" r:embed="rId15"/>
        <a:stretch>
          <a:fillRect/>
        </a:stretch>
      </xdr:blipFill>
      <xdr:spPr>
        <a:xfrm>
          <a:off x="9950450" y="25882600"/>
          <a:ext cx="4375945" cy="782987"/>
        </a:xfrm>
        <a:prstGeom prst="rect">
          <a:avLst/>
        </a:prstGeom>
      </xdr:spPr>
    </xdr:pic>
    <xdr:clientData/>
  </xdr:twoCellAnchor>
  <xdr:twoCellAnchor editAs="oneCell">
    <xdr:from>
      <xdr:col>10</xdr:col>
      <xdr:colOff>95250</xdr:colOff>
      <xdr:row>147</xdr:row>
      <xdr:rowOff>57150</xdr:rowOff>
    </xdr:from>
    <xdr:to>
      <xdr:col>15</xdr:col>
      <xdr:colOff>537377</xdr:colOff>
      <xdr:row>151</xdr:row>
      <xdr:rowOff>63075</xdr:rowOff>
    </xdr:to>
    <xdr:pic>
      <xdr:nvPicPr>
        <xdr:cNvPr id="21" name="Image 20">
          <a:extLst>
            <a:ext uri="{FF2B5EF4-FFF2-40B4-BE49-F238E27FC236}">
              <a16:creationId xmlns:a16="http://schemas.microsoft.com/office/drawing/2014/main" id="{2D7EE3D8-9060-1FB5-31DB-E954D65A15B8}"/>
            </a:ext>
          </a:extLst>
        </xdr:cNvPr>
        <xdr:cNvPicPr>
          <a:picLocks noChangeAspect="1"/>
        </xdr:cNvPicPr>
      </xdr:nvPicPr>
      <xdr:blipFill>
        <a:blip xmlns:r="http://schemas.openxmlformats.org/officeDocument/2006/relationships" r:embed="rId16"/>
        <a:stretch>
          <a:fillRect/>
        </a:stretch>
      </xdr:blipFill>
      <xdr:spPr>
        <a:xfrm>
          <a:off x="9899650" y="27152600"/>
          <a:ext cx="4252127" cy="761575"/>
        </a:xfrm>
        <a:prstGeom prst="rect">
          <a:avLst/>
        </a:prstGeom>
      </xdr:spPr>
    </xdr:pic>
    <xdr:clientData/>
  </xdr:twoCellAnchor>
  <xdr:twoCellAnchor editAs="oneCell">
    <xdr:from>
      <xdr:col>10</xdr:col>
      <xdr:colOff>40636</xdr:colOff>
      <xdr:row>154</xdr:row>
      <xdr:rowOff>76233</xdr:rowOff>
    </xdr:from>
    <xdr:to>
      <xdr:col>15</xdr:col>
      <xdr:colOff>50800</xdr:colOff>
      <xdr:row>158</xdr:row>
      <xdr:rowOff>57151</xdr:rowOff>
    </xdr:to>
    <xdr:pic>
      <xdr:nvPicPr>
        <xdr:cNvPr id="22" name="Image 21">
          <a:extLst>
            <a:ext uri="{FF2B5EF4-FFF2-40B4-BE49-F238E27FC236}">
              <a16:creationId xmlns:a16="http://schemas.microsoft.com/office/drawing/2014/main" id="{E494106F-8A4D-76F8-2B18-4185CAF2A26D}"/>
            </a:ext>
          </a:extLst>
        </xdr:cNvPr>
        <xdr:cNvPicPr>
          <a:picLocks noChangeAspect="1"/>
        </xdr:cNvPicPr>
      </xdr:nvPicPr>
      <xdr:blipFill>
        <a:blip xmlns:r="http://schemas.openxmlformats.org/officeDocument/2006/relationships" r:embed="rId17"/>
        <a:stretch>
          <a:fillRect/>
        </a:stretch>
      </xdr:blipFill>
      <xdr:spPr>
        <a:xfrm>
          <a:off x="9845036" y="28676633"/>
          <a:ext cx="3820164" cy="736568"/>
        </a:xfrm>
        <a:prstGeom prst="rect">
          <a:avLst/>
        </a:prstGeom>
      </xdr:spPr>
    </xdr:pic>
    <xdr:clientData/>
  </xdr:twoCellAnchor>
  <xdr:twoCellAnchor editAs="oneCell">
    <xdr:from>
      <xdr:col>10</xdr:col>
      <xdr:colOff>114300</xdr:colOff>
      <xdr:row>161</xdr:row>
      <xdr:rowOff>107951</xdr:rowOff>
    </xdr:from>
    <xdr:to>
      <xdr:col>15</xdr:col>
      <xdr:colOff>639102</xdr:colOff>
      <xdr:row>165</xdr:row>
      <xdr:rowOff>42635</xdr:rowOff>
    </xdr:to>
    <xdr:pic>
      <xdr:nvPicPr>
        <xdr:cNvPr id="23" name="Image 22">
          <a:extLst>
            <a:ext uri="{FF2B5EF4-FFF2-40B4-BE49-F238E27FC236}">
              <a16:creationId xmlns:a16="http://schemas.microsoft.com/office/drawing/2014/main" id="{FB0BCA27-3461-CED0-23E9-1D7761ED7A73}"/>
            </a:ext>
          </a:extLst>
        </xdr:cNvPr>
        <xdr:cNvPicPr>
          <a:picLocks noChangeAspect="1"/>
        </xdr:cNvPicPr>
      </xdr:nvPicPr>
      <xdr:blipFill>
        <a:blip xmlns:r="http://schemas.openxmlformats.org/officeDocument/2006/relationships" r:embed="rId18"/>
        <a:stretch>
          <a:fillRect/>
        </a:stretch>
      </xdr:blipFill>
      <xdr:spPr>
        <a:xfrm>
          <a:off x="9918700" y="30029151"/>
          <a:ext cx="4334802" cy="690334"/>
        </a:xfrm>
        <a:prstGeom prst="rect">
          <a:avLst/>
        </a:prstGeom>
      </xdr:spPr>
    </xdr:pic>
    <xdr:clientData/>
  </xdr:twoCellAnchor>
  <xdr:twoCellAnchor editAs="oneCell">
    <xdr:from>
      <xdr:col>10</xdr:col>
      <xdr:colOff>171450</xdr:colOff>
      <xdr:row>168</xdr:row>
      <xdr:rowOff>76200</xdr:rowOff>
    </xdr:from>
    <xdr:to>
      <xdr:col>16</xdr:col>
      <xdr:colOff>45381</xdr:colOff>
      <xdr:row>172</xdr:row>
      <xdr:rowOff>50953</xdr:rowOff>
    </xdr:to>
    <xdr:pic>
      <xdr:nvPicPr>
        <xdr:cNvPr id="24" name="Image 23">
          <a:extLst>
            <a:ext uri="{FF2B5EF4-FFF2-40B4-BE49-F238E27FC236}">
              <a16:creationId xmlns:a16="http://schemas.microsoft.com/office/drawing/2014/main" id="{7CA1F8C3-836B-D890-C9B6-2DDA98FFF0E1}"/>
            </a:ext>
          </a:extLst>
        </xdr:cNvPr>
        <xdr:cNvPicPr>
          <a:picLocks noChangeAspect="1"/>
        </xdr:cNvPicPr>
      </xdr:nvPicPr>
      <xdr:blipFill>
        <a:blip xmlns:r="http://schemas.openxmlformats.org/officeDocument/2006/relationships" r:embed="rId19"/>
        <a:stretch>
          <a:fillRect/>
        </a:stretch>
      </xdr:blipFill>
      <xdr:spPr>
        <a:xfrm>
          <a:off x="9975850" y="31318200"/>
          <a:ext cx="4445931" cy="730403"/>
        </a:xfrm>
        <a:prstGeom prst="rect">
          <a:avLst/>
        </a:prstGeom>
      </xdr:spPr>
    </xdr:pic>
    <xdr:clientData/>
  </xdr:twoCellAnchor>
  <xdr:twoCellAnchor editAs="oneCell">
    <xdr:from>
      <xdr:col>10</xdr:col>
      <xdr:colOff>151770</xdr:colOff>
      <xdr:row>175</xdr:row>
      <xdr:rowOff>44451</xdr:rowOff>
    </xdr:from>
    <xdr:to>
      <xdr:col>16</xdr:col>
      <xdr:colOff>67479</xdr:colOff>
      <xdr:row>179</xdr:row>
      <xdr:rowOff>127001</xdr:rowOff>
    </xdr:to>
    <xdr:pic>
      <xdr:nvPicPr>
        <xdr:cNvPr id="25" name="Image 24">
          <a:extLst>
            <a:ext uri="{FF2B5EF4-FFF2-40B4-BE49-F238E27FC236}">
              <a16:creationId xmlns:a16="http://schemas.microsoft.com/office/drawing/2014/main" id="{2E23EDA7-374A-E69F-F0F1-2B51ECBAD2C1}"/>
            </a:ext>
          </a:extLst>
        </xdr:cNvPr>
        <xdr:cNvPicPr>
          <a:picLocks noChangeAspect="1"/>
        </xdr:cNvPicPr>
      </xdr:nvPicPr>
      <xdr:blipFill>
        <a:blip xmlns:r="http://schemas.openxmlformats.org/officeDocument/2006/relationships" r:embed="rId20"/>
        <a:stretch>
          <a:fillRect/>
        </a:stretch>
      </xdr:blipFill>
      <xdr:spPr>
        <a:xfrm>
          <a:off x="9956170" y="32791401"/>
          <a:ext cx="4487709" cy="838200"/>
        </a:xfrm>
        <a:prstGeom prst="rect">
          <a:avLst/>
        </a:prstGeom>
      </xdr:spPr>
    </xdr:pic>
    <xdr:clientData/>
  </xdr:twoCellAnchor>
  <xdr:twoCellAnchor editAs="oneCell">
    <xdr:from>
      <xdr:col>10</xdr:col>
      <xdr:colOff>95250</xdr:colOff>
      <xdr:row>182</xdr:row>
      <xdr:rowOff>95251</xdr:rowOff>
    </xdr:from>
    <xdr:to>
      <xdr:col>15</xdr:col>
      <xdr:colOff>708827</xdr:colOff>
      <xdr:row>186</xdr:row>
      <xdr:rowOff>124547</xdr:rowOff>
    </xdr:to>
    <xdr:pic>
      <xdr:nvPicPr>
        <xdr:cNvPr id="26" name="Image 25">
          <a:extLst>
            <a:ext uri="{FF2B5EF4-FFF2-40B4-BE49-F238E27FC236}">
              <a16:creationId xmlns:a16="http://schemas.microsoft.com/office/drawing/2014/main" id="{7B484591-1066-616B-08F5-0C5E48AB5651}"/>
            </a:ext>
          </a:extLst>
        </xdr:cNvPr>
        <xdr:cNvPicPr>
          <a:picLocks noChangeAspect="1"/>
        </xdr:cNvPicPr>
      </xdr:nvPicPr>
      <xdr:blipFill>
        <a:blip xmlns:r="http://schemas.openxmlformats.org/officeDocument/2006/relationships" r:embed="rId21"/>
        <a:stretch>
          <a:fillRect/>
        </a:stretch>
      </xdr:blipFill>
      <xdr:spPr>
        <a:xfrm>
          <a:off x="9899650" y="34163001"/>
          <a:ext cx="4423577" cy="784946"/>
        </a:xfrm>
        <a:prstGeom prst="rect">
          <a:avLst/>
        </a:prstGeom>
      </xdr:spPr>
    </xdr:pic>
    <xdr:clientData/>
  </xdr:twoCellAnchor>
  <xdr:twoCellAnchor editAs="oneCell">
    <xdr:from>
      <xdr:col>10</xdr:col>
      <xdr:colOff>82550</xdr:colOff>
      <xdr:row>189</xdr:row>
      <xdr:rowOff>6351</xdr:rowOff>
    </xdr:from>
    <xdr:to>
      <xdr:col>16</xdr:col>
      <xdr:colOff>32566</xdr:colOff>
      <xdr:row>193</xdr:row>
      <xdr:rowOff>68199</xdr:rowOff>
    </xdr:to>
    <xdr:pic>
      <xdr:nvPicPr>
        <xdr:cNvPr id="27" name="Image 26">
          <a:extLst>
            <a:ext uri="{FF2B5EF4-FFF2-40B4-BE49-F238E27FC236}">
              <a16:creationId xmlns:a16="http://schemas.microsoft.com/office/drawing/2014/main" id="{B4CA106D-C8E4-EB3E-ADFB-0DD3C7E85065}"/>
            </a:ext>
          </a:extLst>
        </xdr:cNvPr>
        <xdr:cNvPicPr>
          <a:picLocks noChangeAspect="1"/>
        </xdr:cNvPicPr>
      </xdr:nvPicPr>
      <xdr:blipFill>
        <a:blip xmlns:r="http://schemas.openxmlformats.org/officeDocument/2006/relationships" r:embed="rId22"/>
        <a:stretch>
          <a:fillRect/>
        </a:stretch>
      </xdr:blipFill>
      <xdr:spPr>
        <a:xfrm>
          <a:off x="9886950" y="35394901"/>
          <a:ext cx="4522016" cy="817498"/>
        </a:xfrm>
        <a:prstGeom prst="rect">
          <a:avLst/>
        </a:prstGeom>
      </xdr:spPr>
    </xdr:pic>
    <xdr:clientData/>
  </xdr:twoCellAnchor>
  <xdr:twoCellAnchor editAs="oneCell">
    <xdr:from>
      <xdr:col>10</xdr:col>
      <xdr:colOff>130846</xdr:colOff>
      <xdr:row>196</xdr:row>
      <xdr:rowOff>165101</xdr:rowOff>
    </xdr:from>
    <xdr:to>
      <xdr:col>16</xdr:col>
      <xdr:colOff>29501</xdr:colOff>
      <xdr:row>200</xdr:row>
      <xdr:rowOff>44451</xdr:rowOff>
    </xdr:to>
    <xdr:pic>
      <xdr:nvPicPr>
        <xdr:cNvPr id="28" name="Image 27">
          <a:extLst>
            <a:ext uri="{FF2B5EF4-FFF2-40B4-BE49-F238E27FC236}">
              <a16:creationId xmlns:a16="http://schemas.microsoft.com/office/drawing/2014/main" id="{C08D078E-265E-21A0-E960-DA0E36A7935F}"/>
            </a:ext>
          </a:extLst>
        </xdr:cNvPr>
        <xdr:cNvPicPr>
          <a:picLocks noChangeAspect="1"/>
        </xdr:cNvPicPr>
      </xdr:nvPicPr>
      <xdr:blipFill>
        <a:blip xmlns:r="http://schemas.openxmlformats.org/officeDocument/2006/relationships" r:embed="rId23"/>
        <a:stretch>
          <a:fillRect/>
        </a:stretch>
      </xdr:blipFill>
      <xdr:spPr>
        <a:xfrm>
          <a:off x="9935246" y="37058601"/>
          <a:ext cx="4470655" cy="635000"/>
        </a:xfrm>
        <a:prstGeom prst="rect">
          <a:avLst/>
        </a:prstGeom>
      </xdr:spPr>
    </xdr:pic>
    <xdr:clientData/>
  </xdr:twoCellAnchor>
  <xdr:twoCellAnchor editAs="oneCell">
    <xdr:from>
      <xdr:col>10</xdr:col>
      <xdr:colOff>101600</xdr:colOff>
      <xdr:row>203</xdr:row>
      <xdr:rowOff>107950</xdr:rowOff>
    </xdr:from>
    <xdr:to>
      <xdr:col>15</xdr:col>
      <xdr:colOff>743870</xdr:colOff>
      <xdr:row>207</xdr:row>
      <xdr:rowOff>40729</xdr:rowOff>
    </xdr:to>
    <xdr:pic>
      <xdr:nvPicPr>
        <xdr:cNvPr id="29" name="Image 28">
          <a:extLst>
            <a:ext uri="{FF2B5EF4-FFF2-40B4-BE49-F238E27FC236}">
              <a16:creationId xmlns:a16="http://schemas.microsoft.com/office/drawing/2014/main" id="{94951FD2-2E94-463A-0972-8A397AE8F853}"/>
            </a:ext>
          </a:extLst>
        </xdr:cNvPr>
        <xdr:cNvPicPr>
          <a:picLocks noChangeAspect="1"/>
        </xdr:cNvPicPr>
      </xdr:nvPicPr>
      <xdr:blipFill>
        <a:blip xmlns:r="http://schemas.openxmlformats.org/officeDocument/2006/relationships" r:embed="rId24"/>
        <a:stretch>
          <a:fillRect/>
        </a:stretch>
      </xdr:blipFill>
      <xdr:spPr>
        <a:xfrm>
          <a:off x="9906000" y="38322250"/>
          <a:ext cx="4452270" cy="688429"/>
        </a:xfrm>
        <a:prstGeom prst="rect">
          <a:avLst/>
        </a:prstGeom>
      </xdr:spPr>
    </xdr:pic>
    <xdr:clientData/>
  </xdr:twoCellAnchor>
  <xdr:twoCellAnchor editAs="oneCell">
    <xdr:from>
      <xdr:col>10</xdr:col>
      <xdr:colOff>254000</xdr:colOff>
      <xdr:row>210</xdr:row>
      <xdr:rowOff>107950</xdr:rowOff>
    </xdr:from>
    <xdr:to>
      <xdr:col>15</xdr:col>
      <xdr:colOff>531021</xdr:colOff>
      <xdr:row>214</xdr:row>
      <xdr:rowOff>61899</xdr:rowOff>
    </xdr:to>
    <xdr:pic>
      <xdr:nvPicPr>
        <xdr:cNvPr id="30" name="Image 29">
          <a:extLst>
            <a:ext uri="{FF2B5EF4-FFF2-40B4-BE49-F238E27FC236}">
              <a16:creationId xmlns:a16="http://schemas.microsoft.com/office/drawing/2014/main" id="{37E635A5-CF96-2BD7-8E84-0D14FFC3997C}"/>
            </a:ext>
          </a:extLst>
        </xdr:cNvPr>
        <xdr:cNvPicPr>
          <a:picLocks noChangeAspect="1"/>
        </xdr:cNvPicPr>
      </xdr:nvPicPr>
      <xdr:blipFill>
        <a:blip xmlns:r="http://schemas.openxmlformats.org/officeDocument/2006/relationships" r:embed="rId25"/>
        <a:stretch>
          <a:fillRect/>
        </a:stretch>
      </xdr:blipFill>
      <xdr:spPr>
        <a:xfrm>
          <a:off x="10058400" y="39643050"/>
          <a:ext cx="4087021" cy="709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544658</xdr:colOff>
      <xdr:row>57</xdr:row>
      <xdr:rowOff>115375</xdr:rowOff>
    </xdr:from>
    <xdr:to>
      <xdr:col>26</xdr:col>
      <xdr:colOff>81014</xdr:colOff>
      <xdr:row>61</xdr:row>
      <xdr:rowOff>109104</xdr:rowOff>
    </xdr:to>
    <xdr:grpSp>
      <xdr:nvGrpSpPr>
        <xdr:cNvPr id="21" name="Groupe 20">
          <a:extLst>
            <a:ext uri="{FF2B5EF4-FFF2-40B4-BE49-F238E27FC236}">
              <a16:creationId xmlns:a16="http://schemas.microsoft.com/office/drawing/2014/main" id="{DF03269B-F62B-90D2-980E-CC72F09E4B8F}"/>
            </a:ext>
          </a:extLst>
        </xdr:cNvPr>
        <xdr:cNvGrpSpPr/>
      </xdr:nvGrpSpPr>
      <xdr:grpSpPr>
        <a:xfrm>
          <a:off x="28007047" y="11055518"/>
          <a:ext cx="4215625" cy="717855"/>
          <a:chOff x="7283450" y="2536523"/>
          <a:chExt cx="4097337" cy="728089"/>
        </a:xfrm>
      </xdr:grpSpPr>
      <xdr:pic>
        <xdr:nvPicPr>
          <xdr:cNvPr id="19" name="Image 18">
            <a:extLst>
              <a:ext uri="{FF2B5EF4-FFF2-40B4-BE49-F238E27FC236}">
                <a16:creationId xmlns:a16="http://schemas.microsoft.com/office/drawing/2014/main" id="{5D99F4D5-54FA-55D9-5DF2-F772EF301112}"/>
              </a:ext>
            </a:extLst>
          </xdr:cNvPr>
          <xdr:cNvPicPr>
            <a:picLocks noChangeAspect="1"/>
          </xdr:cNvPicPr>
        </xdr:nvPicPr>
        <xdr:blipFill rotWithShape="1">
          <a:blip xmlns:r="http://schemas.openxmlformats.org/officeDocument/2006/relationships" r:embed="rId1"/>
          <a:srcRect b="68740"/>
          <a:stretch/>
        </xdr:blipFill>
        <xdr:spPr>
          <a:xfrm>
            <a:off x="7283450" y="2536523"/>
            <a:ext cx="4097337" cy="574977"/>
          </a:xfrm>
          <a:prstGeom prst="rect">
            <a:avLst/>
          </a:prstGeom>
          <a:ln>
            <a:solidFill>
              <a:schemeClr val="accent1"/>
            </a:solidFill>
          </a:ln>
        </xdr:spPr>
      </xdr:pic>
      <xdr:pic>
        <xdr:nvPicPr>
          <xdr:cNvPr id="20" name="Image 19">
            <a:extLst>
              <a:ext uri="{FF2B5EF4-FFF2-40B4-BE49-F238E27FC236}">
                <a16:creationId xmlns:a16="http://schemas.microsoft.com/office/drawing/2014/main" id="{B33C8638-570D-3A1E-3D88-403898183D8F}"/>
              </a:ext>
            </a:extLst>
          </xdr:cNvPr>
          <xdr:cNvPicPr>
            <a:picLocks noChangeAspect="1"/>
          </xdr:cNvPicPr>
        </xdr:nvPicPr>
        <xdr:blipFill rotWithShape="1">
          <a:blip xmlns:r="http://schemas.openxmlformats.org/officeDocument/2006/relationships" r:embed="rId1"/>
          <a:srcRect t="92366"/>
          <a:stretch/>
        </xdr:blipFill>
        <xdr:spPr>
          <a:xfrm>
            <a:off x="7283450" y="3124199"/>
            <a:ext cx="4097337" cy="140413"/>
          </a:xfrm>
          <a:prstGeom prst="rect">
            <a:avLst/>
          </a:prstGeom>
          <a:ln>
            <a:solidFill>
              <a:schemeClr val="accent1"/>
            </a:solidFill>
          </a:ln>
        </xdr:spPr>
      </xdr:pic>
    </xdr:grpSp>
    <xdr:clientData/>
  </xdr:twoCellAnchor>
  <xdr:twoCellAnchor editAs="oneCell">
    <xdr:from>
      <xdr:col>6</xdr:col>
      <xdr:colOff>440764</xdr:colOff>
      <xdr:row>77</xdr:row>
      <xdr:rowOff>64192</xdr:rowOff>
    </xdr:from>
    <xdr:to>
      <xdr:col>9</xdr:col>
      <xdr:colOff>181548</xdr:colOff>
      <xdr:row>79</xdr:row>
      <xdr:rowOff>122481</xdr:rowOff>
    </xdr:to>
    <xdr:pic>
      <xdr:nvPicPr>
        <xdr:cNvPr id="22" name="Image 21">
          <a:extLst>
            <a:ext uri="{FF2B5EF4-FFF2-40B4-BE49-F238E27FC236}">
              <a16:creationId xmlns:a16="http://schemas.microsoft.com/office/drawing/2014/main" id="{D3ECF94A-8154-CDE4-669B-09889C7BB44C}"/>
            </a:ext>
          </a:extLst>
        </xdr:cNvPr>
        <xdr:cNvPicPr>
          <a:picLocks noChangeAspect="1"/>
        </xdr:cNvPicPr>
      </xdr:nvPicPr>
      <xdr:blipFill>
        <a:blip xmlns:r="http://schemas.openxmlformats.org/officeDocument/2006/relationships" r:embed="rId2"/>
        <a:stretch>
          <a:fillRect/>
        </a:stretch>
      </xdr:blipFill>
      <xdr:spPr>
        <a:xfrm>
          <a:off x="10384117" y="5443016"/>
          <a:ext cx="2023609" cy="524639"/>
        </a:xfrm>
        <a:prstGeom prst="rect">
          <a:avLst/>
        </a:prstGeom>
        <a:ln>
          <a:solidFill>
            <a:schemeClr val="accent1"/>
          </a:solidFill>
        </a:ln>
      </xdr:spPr>
    </xdr:pic>
    <xdr:clientData/>
  </xdr:twoCellAnchor>
  <xdr:twoCellAnchor editAs="oneCell">
    <xdr:from>
      <xdr:col>14</xdr:col>
      <xdr:colOff>662292</xdr:colOff>
      <xdr:row>74</xdr:row>
      <xdr:rowOff>21877</xdr:rowOff>
    </xdr:from>
    <xdr:to>
      <xdr:col>17</xdr:col>
      <xdr:colOff>416068</xdr:colOff>
      <xdr:row>79</xdr:row>
      <xdr:rowOff>65646</xdr:rowOff>
    </xdr:to>
    <xdr:pic>
      <xdr:nvPicPr>
        <xdr:cNvPr id="23" name="Image 22">
          <a:extLst>
            <a:ext uri="{FF2B5EF4-FFF2-40B4-BE49-F238E27FC236}">
              <a16:creationId xmlns:a16="http://schemas.microsoft.com/office/drawing/2014/main" id="{5A19F58A-6C36-B683-F94B-177B39AE928E}"/>
            </a:ext>
          </a:extLst>
        </xdr:cNvPr>
        <xdr:cNvPicPr>
          <a:picLocks noChangeAspect="1"/>
        </xdr:cNvPicPr>
      </xdr:nvPicPr>
      <xdr:blipFill>
        <a:blip xmlns:r="http://schemas.openxmlformats.org/officeDocument/2006/relationships" r:embed="rId3"/>
        <a:stretch>
          <a:fillRect/>
        </a:stretch>
      </xdr:blipFill>
      <xdr:spPr>
        <a:xfrm>
          <a:off x="21962006" y="14345663"/>
          <a:ext cx="2985926" cy="1177697"/>
        </a:xfrm>
        <a:prstGeom prst="rect">
          <a:avLst/>
        </a:prstGeom>
        <a:ln>
          <a:solidFill>
            <a:schemeClr val="accent1"/>
          </a:solidFill>
        </a:ln>
      </xdr:spPr>
    </xdr:pic>
    <xdr:clientData/>
  </xdr:twoCellAnchor>
  <xdr:twoCellAnchor editAs="oneCell">
    <xdr:from>
      <xdr:col>55</xdr:col>
      <xdr:colOff>241096</xdr:colOff>
      <xdr:row>98</xdr:row>
      <xdr:rowOff>216755</xdr:rowOff>
    </xdr:from>
    <xdr:to>
      <xdr:col>60</xdr:col>
      <xdr:colOff>466040</xdr:colOff>
      <xdr:row>101</xdr:row>
      <xdr:rowOff>182312</xdr:rowOff>
    </xdr:to>
    <xdr:pic>
      <xdr:nvPicPr>
        <xdr:cNvPr id="24" name="Image 23">
          <a:extLst>
            <a:ext uri="{FF2B5EF4-FFF2-40B4-BE49-F238E27FC236}">
              <a16:creationId xmlns:a16="http://schemas.microsoft.com/office/drawing/2014/main" id="{FBB48B79-1D4D-3DBB-9207-A0C676FC73A9}"/>
            </a:ext>
          </a:extLst>
        </xdr:cNvPr>
        <xdr:cNvPicPr>
          <a:picLocks noChangeAspect="1"/>
        </xdr:cNvPicPr>
      </xdr:nvPicPr>
      <xdr:blipFill>
        <a:blip xmlns:r="http://schemas.openxmlformats.org/officeDocument/2006/relationships" r:embed="rId4"/>
        <a:stretch>
          <a:fillRect/>
        </a:stretch>
      </xdr:blipFill>
      <xdr:spPr>
        <a:xfrm>
          <a:off x="53730508" y="21694696"/>
          <a:ext cx="4034944" cy="645381"/>
        </a:xfrm>
        <a:prstGeom prst="rect">
          <a:avLst/>
        </a:prstGeom>
        <a:ln>
          <a:solidFill>
            <a:schemeClr val="accent1"/>
          </a:solidFill>
        </a:ln>
      </xdr:spPr>
    </xdr:pic>
    <xdr:clientData/>
  </xdr:twoCellAnchor>
  <xdr:twoCellAnchor editAs="oneCell">
    <xdr:from>
      <xdr:col>26</xdr:col>
      <xdr:colOff>317971</xdr:colOff>
      <xdr:row>57</xdr:row>
      <xdr:rowOff>166163</xdr:rowOff>
    </xdr:from>
    <xdr:to>
      <xdr:col>31</xdr:col>
      <xdr:colOff>353325</xdr:colOff>
      <xdr:row>61</xdr:row>
      <xdr:rowOff>102502</xdr:rowOff>
    </xdr:to>
    <xdr:pic>
      <xdr:nvPicPr>
        <xdr:cNvPr id="25" name="Image 24">
          <a:extLst>
            <a:ext uri="{FF2B5EF4-FFF2-40B4-BE49-F238E27FC236}">
              <a16:creationId xmlns:a16="http://schemas.microsoft.com/office/drawing/2014/main" id="{96523EFE-025E-7B53-30F5-F16CC3FA050E}"/>
            </a:ext>
          </a:extLst>
        </xdr:cNvPr>
        <xdr:cNvPicPr>
          <a:picLocks noChangeAspect="1"/>
        </xdr:cNvPicPr>
      </xdr:nvPicPr>
      <xdr:blipFill>
        <a:blip xmlns:r="http://schemas.openxmlformats.org/officeDocument/2006/relationships" r:embed="rId5"/>
        <a:stretch>
          <a:fillRect/>
        </a:stretch>
      </xdr:blipFill>
      <xdr:spPr>
        <a:xfrm>
          <a:off x="30775559" y="11114310"/>
          <a:ext cx="3842179" cy="656691"/>
        </a:xfrm>
        <a:prstGeom prst="rect">
          <a:avLst/>
        </a:prstGeom>
        <a:ln>
          <a:solidFill>
            <a:schemeClr val="accent3"/>
          </a:solidFill>
        </a:ln>
      </xdr:spPr>
    </xdr:pic>
    <xdr:clientData/>
  </xdr:twoCellAnchor>
  <xdr:twoCellAnchor editAs="oneCell">
    <xdr:from>
      <xdr:col>20</xdr:col>
      <xdr:colOff>286289</xdr:colOff>
      <xdr:row>72</xdr:row>
      <xdr:rowOff>182711</xdr:rowOff>
    </xdr:from>
    <xdr:to>
      <xdr:col>24</xdr:col>
      <xdr:colOff>44664</xdr:colOff>
      <xdr:row>78</xdr:row>
      <xdr:rowOff>181403</xdr:rowOff>
    </xdr:to>
    <xdr:pic>
      <xdr:nvPicPr>
        <xdr:cNvPr id="26" name="Image 25">
          <a:extLst>
            <a:ext uri="{FF2B5EF4-FFF2-40B4-BE49-F238E27FC236}">
              <a16:creationId xmlns:a16="http://schemas.microsoft.com/office/drawing/2014/main" id="{4EA7DC0C-0ABA-6DA2-376E-34C32DD0555A}"/>
            </a:ext>
          </a:extLst>
        </xdr:cNvPr>
        <xdr:cNvPicPr>
          <a:picLocks noChangeAspect="1"/>
        </xdr:cNvPicPr>
      </xdr:nvPicPr>
      <xdr:blipFill>
        <a:blip xmlns:r="http://schemas.openxmlformats.org/officeDocument/2006/relationships" r:embed="rId6"/>
        <a:stretch>
          <a:fillRect/>
        </a:stretch>
      </xdr:blipFill>
      <xdr:spPr>
        <a:xfrm>
          <a:off x="26158003" y="14052925"/>
          <a:ext cx="2806375" cy="1353057"/>
        </a:xfrm>
        <a:prstGeom prst="rect">
          <a:avLst/>
        </a:prstGeom>
        <a:ln>
          <a:solidFill>
            <a:schemeClr val="accent3"/>
          </a:solidFill>
        </a:ln>
      </xdr:spPr>
    </xdr:pic>
    <xdr:clientData/>
  </xdr:twoCellAnchor>
  <xdr:twoCellAnchor editAs="oneCell">
    <xdr:from>
      <xdr:col>42</xdr:col>
      <xdr:colOff>240105</xdr:colOff>
      <xdr:row>94</xdr:row>
      <xdr:rowOff>116031</xdr:rowOff>
    </xdr:from>
    <xdr:to>
      <xdr:col>45</xdr:col>
      <xdr:colOff>638542</xdr:colOff>
      <xdr:row>96</xdr:row>
      <xdr:rowOff>217247</xdr:rowOff>
    </xdr:to>
    <xdr:pic>
      <xdr:nvPicPr>
        <xdr:cNvPr id="27" name="Image 26">
          <a:extLst>
            <a:ext uri="{FF2B5EF4-FFF2-40B4-BE49-F238E27FC236}">
              <a16:creationId xmlns:a16="http://schemas.microsoft.com/office/drawing/2014/main" id="{E1148B06-EC39-D9A5-6FE0-DF0C3082495D}"/>
            </a:ext>
          </a:extLst>
        </xdr:cNvPr>
        <xdr:cNvPicPr>
          <a:picLocks noChangeAspect="1"/>
        </xdr:cNvPicPr>
      </xdr:nvPicPr>
      <xdr:blipFill>
        <a:blip xmlns:r="http://schemas.openxmlformats.org/officeDocument/2006/relationships" r:embed="rId7"/>
        <a:stretch>
          <a:fillRect/>
        </a:stretch>
      </xdr:blipFill>
      <xdr:spPr>
        <a:xfrm>
          <a:off x="43820155" y="20569381"/>
          <a:ext cx="2678087" cy="545716"/>
        </a:xfrm>
        <a:prstGeom prst="rect">
          <a:avLst/>
        </a:prstGeom>
        <a:ln>
          <a:solidFill>
            <a:schemeClr val="accent3"/>
          </a:solidFill>
        </a:ln>
      </xdr:spPr>
    </xdr:pic>
    <xdr:clientData/>
  </xdr:twoCellAnchor>
  <xdr:twoCellAnchor editAs="oneCell">
    <xdr:from>
      <xdr:col>55</xdr:col>
      <xdr:colOff>541958</xdr:colOff>
      <xdr:row>105</xdr:row>
      <xdr:rowOff>132542</xdr:rowOff>
    </xdr:from>
    <xdr:to>
      <xdr:col>61</xdr:col>
      <xdr:colOff>8077</xdr:colOff>
      <xdr:row>108</xdr:row>
      <xdr:rowOff>111922</xdr:rowOff>
    </xdr:to>
    <xdr:pic>
      <xdr:nvPicPr>
        <xdr:cNvPr id="28" name="Image 27">
          <a:extLst>
            <a:ext uri="{FF2B5EF4-FFF2-40B4-BE49-F238E27FC236}">
              <a16:creationId xmlns:a16="http://schemas.microsoft.com/office/drawing/2014/main" id="{B7DCB52E-734E-215D-7A01-371F237B82A9}"/>
            </a:ext>
          </a:extLst>
        </xdr:cNvPr>
        <xdr:cNvPicPr>
          <a:picLocks noChangeAspect="1"/>
        </xdr:cNvPicPr>
      </xdr:nvPicPr>
      <xdr:blipFill>
        <a:blip xmlns:r="http://schemas.openxmlformats.org/officeDocument/2006/relationships" r:embed="rId4"/>
        <a:stretch>
          <a:fillRect/>
        </a:stretch>
      </xdr:blipFill>
      <xdr:spPr>
        <a:xfrm>
          <a:off x="54031370" y="23186777"/>
          <a:ext cx="4038119" cy="651733"/>
        </a:xfrm>
        <a:prstGeom prst="rect">
          <a:avLst/>
        </a:prstGeom>
        <a:ln>
          <a:solidFill>
            <a:schemeClr val="accent3"/>
          </a:solidFill>
        </a:ln>
      </xdr:spPr>
    </xdr:pic>
    <xdr:clientData/>
  </xdr:twoCellAnchor>
  <xdr:twoCellAnchor editAs="oneCell">
    <xdr:from>
      <xdr:col>32</xdr:col>
      <xdr:colOff>85811</xdr:colOff>
      <xdr:row>56</xdr:row>
      <xdr:rowOff>172364</xdr:rowOff>
    </xdr:from>
    <xdr:to>
      <xdr:col>36</xdr:col>
      <xdr:colOff>446168</xdr:colOff>
      <xdr:row>61</xdr:row>
      <xdr:rowOff>67748</xdr:rowOff>
    </xdr:to>
    <xdr:pic>
      <xdr:nvPicPr>
        <xdr:cNvPr id="29" name="Image 28">
          <a:extLst>
            <a:ext uri="{FF2B5EF4-FFF2-40B4-BE49-F238E27FC236}">
              <a16:creationId xmlns:a16="http://schemas.microsoft.com/office/drawing/2014/main" id="{81CBC956-388B-276B-4112-B25F2A198A0C}"/>
            </a:ext>
          </a:extLst>
        </xdr:cNvPr>
        <xdr:cNvPicPr>
          <a:picLocks noChangeAspect="1"/>
        </xdr:cNvPicPr>
      </xdr:nvPicPr>
      <xdr:blipFill>
        <a:blip xmlns:r="http://schemas.openxmlformats.org/officeDocument/2006/relationships" r:embed="rId8"/>
        <a:stretch>
          <a:fillRect/>
        </a:stretch>
      </xdr:blipFill>
      <xdr:spPr>
        <a:xfrm>
          <a:off x="35115399" y="10941217"/>
          <a:ext cx="3411532" cy="795030"/>
        </a:xfrm>
        <a:prstGeom prst="rect">
          <a:avLst/>
        </a:prstGeom>
        <a:ln>
          <a:solidFill>
            <a:schemeClr val="accent4"/>
          </a:solidFill>
        </a:ln>
      </xdr:spPr>
    </xdr:pic>
    <xdr:clientData/>
  </xdr:twoCellAnchor>
  <xdr:twoCellAnchor editAs="oneCell">
    <xdr:from>
      <xdr:col>44</xdr:col>
      <xdr:colOff>375227</xdr:colOff>
      <xdr:row>87</xdr:row>
      <xdr:rowOff>49672</xdr:rowOff>
    </xdr:from>
    <xdr:to>
      <xdr:col>46</xdr:col>
      <xdr:colOff>635000</xdr:colOff>
      <xdr:row>91</xdr:row>
      <xdr:rowOff>46434</xdr:rowOff>
    </xdr:to>
    <xdr:pic>
      <xdr:nvPicPr>
        <xdr:cNvPr id="30" name="Image 29">
          <a:extLst>
            <a:ext uri="{FF2B5EF4-FFF2-40B4-BE49-F238E27FC236}">
              <a16:creationId xmlns:a16="http://schemas.microsoft.com/office/drawing/2014/main" id="{7AD4765A-5125-63D6-E613-BAFF25E6DD3A}"/>
            </a:ext>
          </a:extLst>
        </xdr:cNvPr>
        <xdr:cNvPicPr>
          <a:picLocks noChangeAspect="1"/>
        </xdr:cNvPicPr>
      </xdr:nvPicPr>
      <xdr:blipFill>
        <a:blip xmlns:r="http://schemas.openxmlformats.org/officeDocument/2006/relationships" r:embed="rId9"/>
        <a:stretch>
          <a:fillRect/>
        </a:stretch>
      </xdr:blipFill>
      <xdr:spPr>
        <a:xfrm>
          <a:off x="44534941" y="17321672"/>
          <a:ext cx="1783773" cy="767833"/>
        </a:xfrm>
        <a:prstGeom prst="rect">
          <a:avLst/>
        </a:prstGeom>
        <a:ln>
          <a:solidFill>
            <a:schemeClr val="accent4"/>
          </a:solidFill>
        </a:ln>
      </xdr:spPr>
    </xdr:pic>
    <xdr:clientData/>
  </xdr:twoCellAnchor>
  <xdr:twoCellAnchor editAs="oneCell">
    <xdr:from>
      <xdr:col>36</xdr:col>
      <xdr:colOff>606430</xdr:colOff>
      <xdr:row>56</xdr:row>
      <xdr:rowOff>98862</xdr:rowOff>
    </xdr:from>
    <xdr:to>
      <xdr:col>41</xdr:col>
      <xdr:colOff>426554</xdr:colOff>
      <xdr:row>61</xdr:row>
      <xdr:rowOff>103989</xdr:rowOff>
    </xdr:to>
    <xdr:pic>
      <xdr:nvPicPr>
        <xdr:cNvPr id="31" name="Image 30">
          <a:extLst>
            <a:ext uri="{FF2B5EF4-FFF2-40B4-BE49-F238E27FC236}">
              <a16:creationId xmlns:a16="http://schemas.microsoft.com/office/drawing/2014/main" id="{88FA8E1E-4B88-B4D7-1590-AB2311ABADF6}"/>
            </a:ext>
          </a:extLst>
        </xdr:cNvPr>
        <xdr:cNvPicPr>
          <a:picLocks noChangeAspect="1"/>
        </xdr:cNvPicPr>
      </xdr:nvPicPr>
      <xdr:blipFill>
        <a:blip xmlns:r="http://schemas.openxmlformats.org/officeDocument/2006/relationships" r:embed="rId10"/>
        <a:stretch>
          <a:fillRect/>
        </a:stretch>
      </xdr:blipFill>
      <xdr:spPr>
        <a:xfrm>
          <a:off x="38684018" y="10867715"/>
          <a:ext cx="3626949" cy="898423"/>
        </a:xfrm>
        <a:prstGeom prst="rect">
          <a:avLst/>
        </a:prstGeom>
        <a:ln>
          <a:solidFill>
            <a:schemeClr val="accent2"/>
          </a:solidFill>
        </a:ln>
      </xdr:spPr>
    </xdr:pic>
    <xdr:clientData/>
  </xdr:twoCellAnchor>
  <xdr:twoCellAnchor editAs="oneCell">
    <xdr:from>
      <xdr:col>45</xdr:col>
      <xdr:colOff>691592</xdr:colOff>
      <xdr:row>94</xdr:row>
      <xdr:rowOff>129553</xdr:rowOff>
    </xdr:from>
    <xdr:to>
      <xdr:col>48</xdr:col>
      <xdr:colOff>666223</xdr:colOff>
      <xdr:row>97</xdr:row>
      <xdr:rowOff>21516</xdr:rowOff>
    </xdr:to>
    <xdr:pic>
      <xdr:nvPicPr>
        <xdr:cNvPr id="32" name="Image 31">
          <a:extLst>
            <a:ext uri="{FF2B5EF4-FFF2-40B4-BE49-F238E27FC236}">
              <a16:creationId xmlns:a16="http://schemas.microsoft.com/office/drawing/2014/main" id="{F9B2751B-653A-BC83-A7BC-4B5932A423BA}"/>
            </a:ext>
          </a:extLst>
        </xdr:cNvPr>
        <xdr:cNvPicPr>
          <a:picLocks noChangeAspect="1"/>
        </xdr:cNvPicPr>
      </xdr:nvPicPr>
      <xdr:blipFill>
        <a:blip xmlns:r="http://schemas.openxmlformats.org/officeDocument/2006/relationships" r:embed="rId11"/>
        <a:stretch>
          <a:fillRect/>
        </a:stretch>
      </xdr:blipFill>
      <xdr:spPr>
        <a:xfrm>
          <a:off x="46557642" y="20582903"/>
          <a:ext cx="2260631" cy="565063"/>
        </a:xfrm>
        <a:prstGeom prst="rect">
          <a:avLst/>
        </a:prstGeom>
        <a:ln>
          <a:solidFill>
            <a:schemeClr val="accent2"/>
          </a:solidFill>
        </a:ln>
      </xdr:spPr>
    </xdr:pic>
    <xdr:clientData/>
  </xdr:twoCellAnchor>
  <xdr:twoCellAnchor editAs="oneCell">
    <xdr:from>
      <xdr:col>55</xdr:col>
      <xdr:colOff>13679</xdr:colOff>
      <xdr:row>102</xdr:row>
      <xdr:rowOff>135825</xdr:rowOff>
    </xdr:from>
    <xdr:to>
      <xdr:col>57</xdr:col>
      <xdr:colOff>296450</xdr:colOff>
      <xdr:row>104</xdr:row>
      <xdr:rowOff>113911</xdr:rowOff>
    </xdr:to>
    <xdr:pic>
      <xdr:nvPicPr>
        <xdr:cNvPr id="33" name="Image 32">
          <a:extLst>
            <a:ext uri="{FF2B5EF4-FFF2-40B4-BE49-F238E27FC236}">
              <a16:creationId xmlns:a16="http://schemas.microsoft.com/office/drawing/2014/main" id="{F39E3C15-9AF1-8E57-3F2C-3C4BA3D300BD}"/>
            </a:ext>
          </a:extLst>
        </xdr:cNvPr>
        <xdr:cNvPicPr>
          <a:picLocks noChangeAspect="1"/>
        </xdr:cNvPicPr>
      </xdr:nvPicPr>
      <xdr:blipFill>
        <a:blip xmlns:r="http://schemas.openxmlformats.org/officeDocument/2006/relationships" r:embed="rId12"/>
        <a:stretch>
          <a:fillRect/>
        </a:stretch>
      </xdr:blipFill>
      <xdr:spPr>
        <a:xfrm>
          <a:off x="53503091" y="22517707"/>
          <a:ext cx="1800421" cy="426322"/>
        </a:xfrm>
        <a:prstGeom prst="rect">
          <a:avLst/>
        </a:prstGeom>
        <a:ln>
          <a:solidFill>
            <a:schemeClr val="accent2"/>
          </a:solidFill>
        </a:ln>
      </xdr:spPr>
    </xdr:pic>
    <xdr:clientData/>
  </xdr:twoCellAnchor>
  <xdr:twoCellAnchor editAs="oneCell">
    <xdr:from>
      <xdr:col>14</xdr:col>
      <xdr:colOff>301530</xdr:colOff>
      <xdr:row>48</xdr:row>
      <xdr:rowOff>52293</xdr:rowOff>
    </xdr:from>
    <xdr:to>
      <xdr:col>18</xdr:col>
      <xdr:colOff>246771</xdr:colOff>
      <xdr:row>61</xdr:row>
      <xdr:rowOff>1954</xdr:rowOff>
    </xdr:to>
    <xdr:pic>
      <xdr:nvPicPr>
        <xdr:cNvPr id="2" name="Image 1">
          <a:extLst>
            <a:ext uri="{FF2B5EF4-FFF2-40B4-BE49-F238E27FC236}">
              <a16:creationId xmlns:a16="http://schemas.microsoft.com/office/drawing/2014/main" id="{DD6751D6-58F3-69B4-9F84-9D82178ABF27}"/>
            </a:ext>
          </a:extLst>
        </xdr:cNvPr>
        <xdr:cNvPicPr>
          <a:picLocks noChangeAspect="1"/>
        </xdr:cNvPicPr>
      </xdr:nvPicPr>
      <xdr:blipFill>
        <a:blip xmlns:r="http://schemas.openxmlformats.org/officeDocument/2006/relationships" r:embed="rId13"/>
        <a:stretch>
          <a:fillRect/>
        </a:stretch>
      </xdr:blipFill>
      <xdr:spPr>
        <a:xfrm>
          <a:off x="21600177" y="9891058"/>
          <a:ext cx="3936216" cy="2373307"/>
        </a:xfrm>
        <a:prstGeom prst="rect">
          <a:avLst/>
        </a:prstGeom>
      </xdr:spPr>
    </xdr:pic>
    <xdr:clientData/>
  </xdr:twoCellAnchor>
  <xdr:twoCellAnchor>
    <xdr:from>
      <xdr:col>19</xdr:col>
      <xdr:colOff>475939</xdr:colOff>
      <xdr:row>18</xdr:row>
      <xdr:rowOff>97531</xdr:rowOff>
    </xdr:from>
    <xdr:to>
      <xdr:col>24</xdr:col>
      <xdr:colOff>556381</xdr:colOff>
      <xdr:row>50</xdr:row>
      <xdr:rowOff>169277</xdr:rowOff>
    </xdr:to>
    <xdr:grpSp>
      <xdr:nvGrpSpPr>
        <xdr:cNvPr id="5" name="Groupe 4">
          <a:extLst>
            <a:ext uri="{FF2B5EF4-FFF2-40B4-BE49-F238E27FC236}">
              <a16:creationId xmlns:a16="http://schemas.microsoft.com/office/drawing/2014/main" id="{19265989-431D-001C-2781-AC3F40862BE6}"/>
            </a:ext>
          </a:extLst>
        </xdr:cNvPr>
        <xdr:cNvGrpSpPr/>
      </xdr:nvGrpSpPr>
      <xdr:grpSpPr>
        <a:xfrm>
          <a:off x="27155010" y="3961960"/>
          <a:ext cx="3982744" cy="5877460"/>
          <a:chOff x="21636040" y="3887665"/>
          <a:chExt cx="3890442" cy="6048217"/>
        </a:xfrm>
      </xdr:grpSpPr>
      <xdr:pic>
        <xdr:nvPicPr>
          <xdr:cNvPr id="3" name="Image 2">
            <a:extLst>
              <a:ext uri="{FF2B5EF4-FFF2-40B4-BE49-F238E27FC236}">
                <a16:creationId xmlns:a16="http://schemas.microsoft.com/office/drawing/2014/main" id="{E576BACB-A969-8834-1A61-19F36F36F256}"/>
              </a:ext>
            </a:extLst>
          </xdr:cNvPr>
          <xdr:cNvPicPr>
            <a:picLocks noChangeAspect="1"/>
          </xdr:cNvPicPr>
        </xdr:nvPicPr>
        <xdr:blipFill>
          <a:blip xmlns:r="http://schemas.openxmlformats.org/officeDocument/2006/relationships" r:embed="rId14"/>
          <a:stretch>
            <a:fillRect/>
          </a:stretch>
        </xdr:blipFill>
        <xdr:spPr>
          <a:xfrm>
            <a:off x="21636040" y="4497293"/>
            <a:ext cx="3890442" cy="5438589"/>
          </a:xfrm>
          <a:prstGeom prst="rect">
            <a:avLst/>
          </a:prstGeom>
        </xdr:spPr>
      </xdr:pic>
      <xdr:pic>
        <xdr:nvPicPr>
          <xdr:cNvPr id="4" name="Image 3">
            <a:extLst>
              <a:ext uri="{FF2B5EF4-FFF2-40B4-BE49-F238E27FC236}">
                <a16:creationId xmlns:a16="http://schemas.microsoft.com/office/drawing/2014/main" id="{9D3AADF7-F031-FB55-D958-5ADB68D9447F}"/>
              </a:ext>
            </a:extLst>
          </xdr:cNvPr>
          <xdr:cNvPicPr>
            <a:picLocks noChangeAspect="1"/>
          </xdr:cNvPicPr>
        </xdr:nvPicPr>
        <xdr:blipFill>
          <a:blip xmlns:r="http://schemas.openxmlformats.org/officeDocument/2006/relationships" r:embed="rId15"/>
          <a:stretch>
            <a:fillRect/>
          </a:stretch>
        </xdr:blipFill>
        <xdr:spPr>
          <a:xfrm>
            <a:off x="21657235" y="3887665"/>
            <a:ext cx="3835636" cy="574692"/>
          </a:xfrm>
          <a:prstGeom prst="rect">
            <a:avLst/>
          </a:prstGeom>
        </xdr:spPr>
      </xdr:pic>
    </xdr:grpSp>
    <xdr:clientData/>
  </xdr:twoCellAnchor>
  <xdr:twoCellAnchor editAs="oneCell">
    <xdr:from>
      <xdr:col>14</xdr:col>
      <xdr:colOff>452465</xdr:colOff>
      <xdr:row>3</xdr:row>
      <xdr:rowOff>135658</xdr:rowOff>
    </xdr:from>
    <xdr:to>
      <xdr:col>18</xdr:col>
      <xdr:colOff>87750</xdr:colOff>
      <xdr:row>29</xdr:row>
      <xdr:rowOff>31689</xdr:rowOff>
    </xdr:to>
    <xdr:pic>
      <xdr:nvPicPr>
        <xdr:cNvPr id="7" name="Image 6">
          <a:extLst>
            <a:ext uri="{FF2B5EF4-FFF2-40B4-BE49-F238E27FC236}">
              <a16:creationId xmlns:a16="http://schemas.microsoft.com/office/drawing/2014/main" id="{66536730-5E7B-C704-0FA9-EA009F48CB44}"/>
            </a:ext>
          </a:extLst>
        </xdr:cNvPr>
        <xdr:cNvPicPr>
          <a:picLocks noChangeAspect="1"/>
        </xdr:cNvPicPr>
      </xdr:nvPicPr>
      <xdr:blipFill>
        <a:blip xmlns:r="http://schemas.openxmlformats.org/officeDocument/2006/relationships" r:embed="rId16"/>
        <a:stretch>
          <a:fillRect/>
        </a:stretch>
      </xdr:blipFill>
      <xdr:spPr>
        <a:xfrm>
          <a:off x="21740840" y="754783"/>
          <a:ext cx="3623085" cy="5580215"/>
        </a:xfrm>
        <a:prstGeom prst="rect">
          <a:avLst/>
        </a:prstGeom>
      </xdr:spPr>
    </xdr:pic>
    <xdr:clientData/>
  </xdr:twoCellAnchor>
  <xdr:twoCellAnchor>
    <xdr:from>
      <xdr:col>6</xdr:col>
      <xdr:colOff>250330</xdr:colOff>
      <xdr:row>6</xdr:row>
      <xdr:rowOff>59960</xdr:rowOff>
    </xdr:from>
    <xdr:to>
      <xdr:col>9</xdr:col>
      <xdr:colOff>1490440</xdr:colOff>
      <xdr:row>29</xdr:row>
      <xdr:rowOff>166807</xdr:rowOff>
    </xdr:to>
    <xdr:grpSp>
      <xdr:nvGrpSpPr>
        <xdr:cNvPr id="10" name="Groupe 9">
          <a:extLst>
            <a:ext uri="{FF2B5EF4-FFF2-40B4-BE49-F238E27FC236}">
              <a16:creationId xmlns:a16="http://schemas.microsoft.com/office/drawing/2014/main" id="{4482582C-33A1-4BCF-19D5-1565ACE14A09}"/>
            </a:ext>
          </a:extLst>
        </xdr:cNvPr>
        <xdr:cNvGrpSpPr/>
      </xdr:nvGrpSpPr>
      <xdr:grpSpPr>
        <a:xfrm>
          <a:off x="12344131" y="1376904"/>
          <a:ext cx="3580539" cy="4648458"/>
          <a:chOff x="11001375" y="381000"/>
          <a:chExt cx="8430802" cy="11659390"/>
        </a:xfrm>
      </xdr:grpSpPr>
      <xdr:pic>
        <xdr:nvPicPr>
          <xdr:cNvPr id="8" name="Image 7">
            <a:extLst>
              <a:ext uri="{FF2B5EF4-FFF2-40B4-BE49-F238E27FC236}">
                <a16:creationId xmlns:a16="http://schemas.microsoft.com/office/drawing/2014/main" id="{0BD4DABD-78BA-89F0-91F7-0980A3E26639}"/>
              </a:ext>
            </a:extLst>
          </xdr:cNvPr>
          <xdr:cNvPicPr>
            <a:picLocks noChangeAspect="1"/>
          </xdr:cNvPicPr>
        </xdr:nvPicPr>
        <xdr:blipFill>
          <a:blip xmlns:r="http://schemas.openxmlformats.org/officeDocument/2006/relationships" r:embed="rId17"/>
          <a:stretch>
            <a:fillRect/>
          </a:stretch>
        </xdr:blipFill>
        <xdr:spPr>
          <a:xfrm>
            <a:off x="11001375" y="381000"/>
            <a:ext cx="8430802" cy="6068272"/>
          </a:xfrm>
          <a:prstGeom prst="rect">
            <a:avLst/>
          </a:prstGeom>
        </xdr:spPr>
      </xdr:pic>
      <xdr:pic>
        <xdr:nvPicPr>
          <xdr:cNvPr id="9" name="Image 8">
            <a:extLst>
              <a:ext uri="{FF2B5EF4-FFF2-40B4-BE49-F238E27FC236}">
                <a16:creationId xmlns:a16="http://schemas.microsoft.com/office/drawing/2014/main" id="{89F8DAB7-D805-7A7A-F313-7EFF6FC68E8C}"/>
              </a:ext>
            </a:extLst>
          </xdr:cNvPr>
          <xdr:cNvPicPr>
            <a:picLocks noChangeAspect="1"/>
          </xdr:cNvPicPr>
        </xdr:nvPicPr>
        <xdr:blipFill>
          <a:blip xmlns:r="http://schemas.openxmlformats.org/officeDocument/2006/relationships" r:embed="rId18"/>
          <a:stretch>
            <a:fillRect/>
          </a:stretch>
        </xdr:blipFill>
        <xdr:spPr>
          <a:xfrm>
            <a:off x="11033125" y="6381750"/>
            <a:ext cx="8373644" cy="5658640"/>
          </a:xfrm>
          <a:prstGeom prst="rect">
            <a:avLst/>
          </a:prstGeom>
        </xdr:spPr>
      </xdr:pic>
    </xdr:grpSp>
    <xdr:clientData/>
  </xdr:twoCellAnchor>
  <xdr:twoCellAnchor>
    <xdr:from>
      <xdr:col>2</xdr:col>
      <xdr:colOff>426357</xdr:colOff>
      <xdr:row>62</xdr:row>
      <xdr:rowOff>63500</xdr:rowOff>
    </xdr:from>
    <xdr:to>
      <xdr:col>2</xdr:col>
      <xdr:colOff>653143</xdr:colOff>
      <xdr:row>74</xdr:row>
      <xdr:rowOff>90714</xdr:rowOff>
    </xdr:to>
    <xdr:sp macro="" textlink="">
      <xdr:nvSpPr>
        <xdr:cNvPr id="11" name="Parenthèse ouvrante 10">
          <a:extLst>
            <a:ext uri="{FF2B5EF4-FFF2-40B4-BE49-F238E27FC236}">
              <a16:creationId xmlns:a16="http://schemas.microsoft.com/office/drawing/2014/main" id="{1EFABA56-94E9-0863-C6FB-2D55AB6A48B5}"/>
            </a:ext>
          </a:extLst>
        </xdr:cNvPr>
        <xdr:cNvSpPr/>
      </xdr:nvSpPr>
      <xdr:spPr>
        <a:xfrm>
          <a:off x="5479143" y="12019643"/>
          <a:ext cx="226786" cy="2394857"/>
        </a:xfrm>
        <a:prstGeom prst="leftBracket">
          <a:avLst/>
        </a:prstGeom>
        <a:ln>
          <a:headEnd type="triangle"/>
          <a:tailEnd type="triangle"/>
        </a:ln>
      </xdr:spPr>
      <xdr:style>
        <a:lnRef idx="2">
          <a:schemeClr val="accent2"/>
        </a:lnRef>
        <a:fillRef idx="0">
          <a:schemeClr val="accent2"/>
        </a:fillRef>
        <a:effectRef idx="1">
          <a:schemeClr val="accent2"/>
        </a:effectRef>
        <a:fontRef idx="minor">
          <a:schemeClr val="tx1"/>
        </a:fontRef>
      </xdr:style>
      <xdr:txBody>
        <a:bodyPr rtlCol="0" anchor="ctr"/>
        <a:lstStyle/>
        <a:p>
          <a:pPr algn="l"/>
          <a:endParaRPr lang="fr-FR" sz="1100"/>
        </a:p>
      </xdr:txBody>
    </xdr:sp>
    <xdr:clientData/>
  </xdr:twoCellAnchor>
  <xdr:twoCellAnchor editAs="oneCell">
    <xdr:from>
      <xdr:col>27</xdr:col>
      <xdr:colOff>248397</xdr:colOff>
      <xdr:row>110</xdr:row>
      <xdr:rowOff>59765</xdr:rowOff>
    </xdr:from>
    <xdr:to>
      <xdr:col>31</xdr:col>
      <xdr:colOff>759844</xdr:colOff>
      <xdr:row>114</xdr:row>
      <xdr:rowOff>104736</xdr:rowOff>
    </xdr:to>
    <xdr:pic>
      <xdr:nvPicPr>
        <xdr:cNvPr id="6" name="Image 5">
          <a:extLst>
            <a:ext uri="{FF2B5EF4-FFF2-40B4-BE49-F238E27FC236}">
              <a16:creationId xmlns:a16="http://schemas.microsoft.com/office/drawing/2014/main" id="{23855114-9DF2-E0B2-9A59-48329F693C19}"/>
            </a:ext>
          </a:extLst>
        </xdr:cNvPr>
        <xdr:cNvPicPr>
          <a:picLocks noChangeAspect="1"/>
        </xdr:cNvPicPr>
      </xdr:nvPicPr>
      <xdr:blipFill>
        <a:blip xmlns:r="http://schemas.openxmlformats.org/officeDocument/2006/relationships" r:embed="rId19"/>
        <a:stretch>
          <a:fillRect/>
        </a:stretch>
      </xdr:blipFill>
      <xdr:spPr>
        <a:xfrm>
          <a:off x="32401809" y="24204706"/>
          <a:ext cx="3559447" cy="803487"/>
        </a:xfrm>
        <a:prstGeom prst="rect">
          <a:avLst/>
        </a:prstGeom>
      </xdr:spPr>
    </xdr:pic>
    <xdr:clientData/>
  </xdr:twoCellAnchor>
  <xdr:twoCellAnchor editAs="oneCell">
    <xdr:from>
      <xdr:col>10</xdr:col>
      <xdr:colOff>166618</xdr:colOff>
      <xdr:row>111</xdr:row>
      <xdr:rowOff>140804</xdr:rowOff>
    </xdr:from>
    <xdr:to>
      <xdr:col>11</xdr:col>
      <xdr:colOff>502064</xdr:colOff>
      <xdr:row>116</xdr:row>
      <xdr:rowOff>45480</xdr:rowOff>
    </xdr:to>
    <xdr:pic>
      <xdr:nvPicPr>
        <xdr:cNvPr id="14" name="Image 13">
          <a:extLst>
            <a:ext uri="{FF2B5EF4-FFF2-40B4-BE49-F238E27FC236}">
              <a16:creationId xmlns:a16="http://schemas.microsoft.com/office/drawing/2014/main" id="{DCF644D0-99AF-5552-77B9-AC33F6599B6C}"/>
            </a:ext>
          </a:extLst>
        </xdr:cNvPr>
        <xdr:cNvPicPr>
          <a:picLocks noChangeAspect="1"/>
        </xdr:cNvPicPr>
      </xdr:nvPicPr>
      <xdr:blipFill>
        <a:blip xmlns:r="http://schemas.openxmlformats.org/officeDocument/2006/relationships" r:embed="rId20"/>
        <a:stretch>
          <a:fillRect/>
        </a:stretch>
      </xdr:blipFill>
      <xdr:spPr>
        <a:xfrm>
          <a:off x="15820748" y="23961587"/>
          <a:ext cx="3714751" cy="815763"/>
        </a:xfrm>
        <a:prstGeom prst="rect">
          <a:avLst/>
        </a:prstGeom>
        <a:ln>
          <a:solidFill>
            <a:schemeClr val="accent1"/>
          </a:solidFill>
        </a:ln>
      </xdr:spPr>
    </xdr:pic>
    <xdr:clientData/>
  </xdr:twoCellAnchor>
  <xdr:twoCellAnchor editAs="oneCell">
    <xdr:from>
      <xdr:col>11</xdr:col>
      <xdr:colOff>615950</xdr:colOff>
      <xdr:row>111</xdr:row>
      <xdr:rowOff>107950</xdr:rowOff>
    </xdr:from>
    <xdr:to>
      <xdr:col>15</xdr:col>
      <xdr:colOff>450850</xdr:colOff>
      <xdr:row>116</xdr:row>
      <xdr:rowOff>39606</xdr:rowOff>
    </xdr:to>
    <xdr:pic>
      <xdr:nvPicPr>
        <xdr:cNvPr id="15" name="Image 14">
          <a:extLst>
            <a:ext uri="{FF2B5EF4-FFF2-40B4-BE49-F238E27FC236}">
              <a16:creationId xmlns:a16="http://schemas.microsoft.com/office/drawing/2014/main" id="{FF94CF90-3CEC-6329-81BE-5832860F6BD5}"/>
            </a:ext>
          </a:extLst>
        </xdr:cNvPr>
        <xdr:cNvPicPr>
          <a:picLocks noChangeAspect="1"/>
        </xdr:cNvPicPr>
      </xdr:nvPicPr>
      <xdr:blipFill>
        <a:blip xmlns:r="http://schemas.openxmlformats.org/officeDocument/2006/relationships" r:embed="rId21"/>
        <a:stretch>
          <a:fillRect/>
        </a:stretch>
      </xdr:blipFill>
      <xdr:spPr>
        <a:xfrm>
          <a:off x="19627850" y="24187150"/>
          <a:ext cx="2882900" cy="852406"/>
        </a:xfrm>
        <a:prstGeom prst="rect">
          <a:avLst/>
        </a:prstGeom>
        <a:ln>
          <a:solidFill>
            <a:schemeClr val="accent3"/>
          </a:solidFill>
        </a:ln>
      </xdr:spPr>
    </xdr:pic>
    <xdr:clientData/>
  </xdr:twoCellAnchor>
  <xdr:twoCellAnchor editAs="oneCell">
    <xdr:from>
      <xdr:col>27</xdr:col>
      <xdr:colOff>308429</xdr:colOff>
      <xdr:row>89</xdr:row>
      <xdr:rowOff>106328</xdr:rowOff>
    </xdr:from>
    <xdr:to>
      <xdr:col>30</xdr:col>
      <xdr:colOff>235857</xdr:colOff>
      <xdr:row>93</xdr:row>
      <xdr:rowOff>140538</xdr:rowOff>
    </xdr:to>
    <xdr:pic>
      <xdr:nvPicPr>
        <xdr:cNvPr id="12" name="Image 11">
          <a:extLst>
            <a:ext uri="{FF2B5EF4-FFF2-40B4-BE49-F238E27FC236}">
              <a16:creationId xmlns:a16="http://schemas.microsoft.com/office/drawing/2014/main" id="{18260FDE-A847-6036-22CC-71D8E2D1C4F9}"/>
            </a:ext>
          </a:extLst>
        </xdr:cNvPr>
        <xdr:cNvPicPr>
          <a:picLocks noChangeAspect="1"/>
        </xdr:cNvPicPr>
      </xdr:nvPicPr>
      <xdr:blipFill>
        <a:blip xmlns:r="http://schemas.openxmlformats.org/officeDocument/2006/relationships" r:embed="rId22"/>
        <a:stretch>
          <a:fillRect/>
        </a:stretch>
      </xdr:blipFill>
      <xdr:spPr>
        <a:xfrm>
          <a:off x="32457572" y="19265185"/>
          <a:ext cx="2213428" cy="8506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46319</xdr:colOff>
      <xdr:row>2</xdr:row>
      <xdr:rowOff>98612</xdr:rowOff>
    </xdr:from>
    <xdr:to>
      <xdr:col>13</xdr:col>
      <xdr:colOff>541619</xdr:colOff>
      <xdr:row>7</xdr:row>
      <xdr:rowOff>113331</xdr:rowOff>
    </xdr:to>
    <xdr:pic>
      <xdr:nvPicPr>
        <xdr:cNvPr id="2" name="Image 1">
          <a:extLst>
            <a:ext uri="{FF2B5EF4-FFF2-40B4-BE49-F238E27FC236}">
              <a16:creationId xmlns:a16="http://schemas.microsoft.com/office/drawing/2014/main" id="{F3BCA961-5746-5DCA-9BA8-3974F78413DA}"/>
            </a:ext>
          </a:extLst>
        </xdr:cNvPr>
        <xdr:cNvPicPr>
          <a:picLocks noChangeAspect="1"/>
        </xdr:cNvPicPr>
      </xdr:nvPicPr>
      <xdr:blipFill>
        <a:blip xmlns:r="http://schemas.openxmlformats.org/officeDocument/2006/relationships" r:embed="rId1"/>
        <a:stretch>
          <a:fillRect/>
        </a:stretch>
      </xdr:blipFill>
      <xdr:spPr>
        <a:xfrm>
          <a:off x="14695769" y="511362"/>
          <a:ext cx="2784475" cy="1113269"/>
        </a:xfrm>
        <a:prstGeom prst="rect">
          <a:avLst/>
        </a:prstGeom>
      </xdr:spPr>
    </xdr:pic>
    <xdr:clientData/>
  </xdr:twoCellAnchor>
  <xdr:twoCellAnchor editAs="oneCell">
    <xdr:from>
      <xdr:col>16</xdr:col>
      <xdr:colOff>368647</xdr:colOff>
      <xdr:row>6</xdr:row>
      <xdr:rowOff>37194</xdr:rowOff>
    </xdr:from>
    <xdr:to>
      <xdr:col>22</xdr:col>
      <xdr:colOff>31227</xdr:colOff>
      <xdr:row>9</xdr:row>
      <xdr:rowOff>221754</xdr:rowOff>
    </xdr:to>
    <xdr:pic>
      <xdr:nvPicPr>
        <xdr:cNvPr id="3" name="Image 2">
          <a:extLst>
            <a:ext uri="{FF2B5EF4-FFF2-40B4-BE49-F238E27FC236}">
              <a16:creationId xmlns:a16="http://schemas.microsoft.com/office/drawing/2014/main" id="{4BCE08BA-BF1F-91C6-EB8C-2396E32D446E}"/>
            </a:ext>
          </a:extLst>
        </xdr:cNvPr>
        <xdr:cNvPicPr>
          <a:picLocks noChangeAspect="1"/>
        </xdr:cNvPicPr>
      </xdr:nvPicPr>
      <xdr:blipFill>
        <a:blip xmlns:r="http://schemas.openxmlformats.org/officeDocument/2006/relationships" r:embed="rId2"/>
        <a:stretch>
          <a:fillRect/>
        </a:stretch>
      </xdr:blipFill>
      <xdr:spPr>
        <a:xfrm>
          <a:off x="17672397" y="1205594"/>
          <a:ext cx="4234580" cy="794626"/>
        </a:xfrm>
        <a:prstGeom prst="rect">
          <a:avLst/>
        </a:prstGeom>
        <a:ln>
          <a:solidFill>
            <a:schemeClr val="accent1"/>
          </a:solidFill>
        </a:ln>
      </xdr:spPr>
    </xdr:pic>
    <xdr:clientData/>
  </xdr:twoCellAnchor>
  <xdr:twoCellAnchor editAs="oneCell">
    <xdr:from>
      <xdr:col>7</xdr:col>
      <xdr:colOff>69850</xdr:colOff>
      <xdr:row>44</xdr:row>
      <xdr:rowOff>101601</xdr:rowOff>
    </xdr:from>
    <xdr:to>
      <xdr:col>9</xdr:col>
      <xdr:colOff>219655</xdr:colOff>
      <xdr:row>46</xdr:row>
      <xdr:rowOff>92537</xdr:rowOff>
    </xdr:to>
    <xdr:pic>
      <xdr:nvPicPr>
        <xdr:cNvPr id="4" name="Image 3">
          <a:extLst>
            <a:ext uri="{FF2B5EF4-FFF2-40B4-BE49-F238E27FC236}">
              <a16:creationId xmlns:a16="http://schemas.microsoft.com/office/drawing/2014/main" id="{695A9517-191B-2173-5F63-C095D90607F0}"/>
            </a:ext>
          </a:extLst>
        </xdr:cNvPr>
        <xdr:cNvPicPr>
          <a:picLocks noChangeAspect="1"/>
        </xdr:cNvPicPr>
      </xdr:nvPicPr>
      <xdr:blipFill>
        <a:blip xmlns:r="http://schemas.openxmlformats.org/officeDocument/2006/relationships" r:embed="rId3"/>
        <a:stretch>
          <a:fillRect/>
        </a:stretch>
      </xdr:blipFill>
      <xdr:spPr>
        <a:xfrm>
          <a:off x="10515600" y="4000501"/>
          <a:ext cx="1673806" cy="448136"/>
        </a:xfrm>
        <a:prstGeom prst="rect">
          <a:avLst/>
        </a:prstGeom>
      </xdr:spPr>
    </xdr:pic>
    <xdr:clientData/>
  </xdr:twoCellAnchor>
  <xdr:twoCellAnchor editAs="oneCell">
    <xdr:from>
      <xdr:col>14</xdr:col>
      <xdr:colOff>259541</xdr:colOff>
      <xdr:row>46</xdr:row>
      <xdr:rowOff>12555</xdr:rowOff>
    </xdr:from>
    <xdr:to>
      <xdr:col>18</xdr:col>
      <xdr:colOff>707876</xdr:colOff>
      <xdr:row>52</xdr:row>
      <xdr:rowOff>85969</xdr:rowOff>
    </xdr:to>
    <xdr:pic>
      <xdr:nvPicPr>
        <xdr:cNvPr id="5" name="Image 4">
          <a:extLst>
            <a:ext uri="{FF2B5EF4-FFF2-40B4-BE49-F238E27FC236}">
              <a16:creationId xmlns:a16="http://schemas.microsoft.com/office/drawing/2014/main" id="{469D0AAC-8260-5740-3FA0-C9BF656AE881}"/>
            </a:ext>
          </a:extLst>
        </xdr:cNvPr>
        <xdr:cNvPicPr>
          <a:picLocks noChangeAspect="1"/>
        </xdr:cNvPicPr>
      </xdr:nvPicPr>
      <xdr:blipFill>
        <a:blip xmlns:r="http://schemas.openxmlformats.org/officeDocument/2006/relationships" r:embed="rId4"/>
        <a:stretch>
          <a:fillRect/>
        </a:stretch>
      </xdr:blipFill>
      <xdr:spPr>
        <a:xfrm>
          <a:off x="16043827" y="4366841"/>
          <a:ext cx="3496335" cy="1427780"/>
        </a:xfrm>
        <a:prstGeom prst="rect">
          <a:avLst/>
        </a:prstGeom>
        <a:ln>
          <a:solidFill>
            <a:schemeClr val="accent1"/>
          </a:solidFill>
        </a:ln>
      </xdr:spPr>
    </xdr:pic>
    <xdr:clientData/>
  </xdr:twoCellAnchor>
  <xdr:twoCellAnchor editAs="oneCell">
    <xdr:from>
      <xdr:col>25</xdr:col>
      <xdr:colOff>468351</xdr:colOff>
      <xdr:row>48</xdr:row>
      <xdr:rowOff>65004</xdr:rowOff>
    </xdr:from>
    <xdr:to>
      <xdr:col>27</xdr:col>
      <xdr:colOff>54613</xdr:colOff>
      <xdr:row>49</xdr:row>
      <xdr:rowOff>125022</xdr:rowOff>
    </xdr:to>
    <xdr:pic>
      <xdr:nvPicPr>
        <xdr:cNvPr id="6" name="Image 5">
          <a:extLst>
            <a:ext uri="{FF2B5EF4-FFF2-40B4-BE49-F238E27FC236}">
              <a16:creationId xmlns:a16="http://schemas.microsoft.com/office/drawing/2014/main" id="{1FAA0589-88BB-F229-E199-4C875DA8D47B}"/>
            </a:ext>
          </a:extLst>
        </xdr:cNvPr>
        <xdr:cNvPicPr>
          <a:picLocks noChangeAspect="1"/>
        </xdr:cNvPicPr>
      </xdr:nvPicPr>
      <xdr:blipFill rotWithShape="1">
        <a:blip xmlns:r="http://schemas.openxmlformats.org/officeDocument/2006/relationships" r:embed="rId5"/>
        <a:srcRect l="39966" t="59897" r="37561"/>
        <a:stretch/>
      </xdr:blipFill>
      <xdr:spPr>
        <a:xfrm>
          <a:off x="26557326" y="9628104"/>
          <a:ext cx="1110262" cy="279093"/>
        </a:xfrm>
        <a:prstGeom prst="rect">
          <a:avLst/>
        </a:prstGeom>
        <a:ln>
          <a:solidFill>
            <a:schemeClr val="accent1"/>
          </a:solidFill>
        </a:ln>
      </xdr:spPr>
    </xdr:pic>
    <xdr:clientData/>
  </xdr:twoCellAnchor>
  <xdr:twoCellAnchor editAs="oneCell">
    <xdr:from>
      <xdr:col>7</xdr:col>
      <xdr:colOff>739630</xdr:colOff>
      <xdr:row>72</xdr:row>
      <xdr:rowOff>169338</xdr:rowOff>
    </xdr:from>
    <xdr:to>
      <xdr:col>13</xdr:col>
      <xdr:colOff>387983</xdr:colOff>
      <xdr:row>75</xdr:row>
      <xdr:rowOff>103886</xdr:rowOff>
    </xdr:to>
    <xdr:pic>
      <xdr:nvPicPr>
        <xdr:cNvPr id="7" name="Image 6">
          <a:extLst>
            <a:ext uri="{FF2B5EF4-FFF2-40B4-BE49-F238E27FC236}">
              <a16:creationId xmlns:a16="http://schemas.microsoft.com/office/drawing/2014/main" id="{119DCD66-789D-C2C0-3A43-3681A4D304D8}"/>
            </a:ext>
          </a:extLst>
        </xdr:cNvPr>
        <xdr:cNvPicPr>
          <a:picLocks noChangeAspect="1"/>
        </xdr:cNvPicPr>
      </xdr:nvPicPr>
      <xdr:blipFill>
        <a:blip xmlns:r="http://schemas.openxmlformats.org/officeDocument/2006/relationships" r:embed="rId6"/>
        <a:stretch>
          <a:fillRect/>
        </a:stretch>
      </xdr:blipFill>
      <xdr:spPr>
        <a:xfrm>
          <a:off x="13103080" y="15225188"/>
          <a:ext cx="4217178" cy="598123"/>
        </a:xfrm>
        <a:prstGeom prst="rect">
          <a:avLst/>
        </a:prstGeom>
        <a:ln>
          <a:solidFill>
            <a:schemeClr val="accent1"/>
          </a:solidFill>
        </a:ln>
      </xdr:spPr>
    </xdr:pic>
    <xdr:clientData/>
  </xdr:twoCellAnchor>
  <xdr:twoCellAnchor editAs="oneCell">
    <xdr:from>
      <xdr:col>17</xdr:col>
      <xdr:colOff>318411</xdr:colOff>
      <xdr:row>27</xdr:row>
      <xdr:rowOff>57634</xdr:rowOff>
    </xdr:from>
    <xdr:to>
      <xdr:col>22</xdr:col>
      <xdr:colOff>789719</xdr:colOff>
      <xdr:row>31</xdr:row>
      <xdr:rowOff>103855</xdr:rowOff>
    </xdr:to>
    <xdr:pic>
      <xdr:nvPicPr>
        <xdr:cNvPr id="8" name="Image 7">
          <a:extLst>
            <a:ext uri="{FF2B5EF4-FFF2-40B4-BE49-F238E27FC236}">
              <a16:creationId xmlns:a16="http://schemas.microsoft.com/office/drawing/2014/main" id="{85477B85-6FD5-48BA-F34A-4A4B92D7238E}"/>
            </a:ext>
          </a:extLst>
        </xdr:cNvPr>
        <xdr:cNvPicPr>
          <a:picLocks noChangeAspect="1"/>
        </xdr:cNvPicPr>
      </xdr:nvPicPr>
      <xdr:blipFill>
        <a:blip xmlns:r="http://schemas.openxmlformats.org/officeDocument/2006/relationships" r:embed="rId7"/>
        <a:stretch>
          <a:fillRect/>
        </a:stretch>
      </xdr:blipFill>
      <xdr:spPr>
        <a:xfrm>
          <a:off x="20276609" y="5462518"/>
          <a:ext cx="4278797" cy="784593"/>
        </a:xfrm>
        <a:prstGeom prst="rect">
          <a:avLst/>
        </a:prstGeom>
        <a:ln>
          <a:solidFill>
            <a:schemeClr val="accent3"/>
          </a:solidFill>
        </a:ln>
      </xdr:spPr>
    </xdr:pic>
    <xdr:clientData/>
  </xdr:twoCellAnchor>
  <xdr:twoCellAnchor editAs="oneCell">
    <xdr:from>
      <xdr:col>19</xdr:col>
      <xdr:colOff>169768</xdr:colOff>
      <xdr:row>46</xdr:row>
      <xdr:rowOff>66754</xdr:rowOff>
    </xdr:from>
    <xdr:to>
      <xdr:col>22</xdr:col>
      <xdr:colOff>1317199</xdr:colOff>
      <xdr:row>52</xdr:row>
      <xdr:rowOff>96743</xdr:rowOff>
    </xdr:to>
    <xdr:pic>
      <xdr:nvPicPr>
        <xdr:cNvPr id="9" name="Image 8">
          <a:extLst>
            <a:ext uri="{FF2B5EF4-FFF2-40B4-BE49-F238E27FC236}">
              <a16:creationId xmlns:a16="http://schemas.microsoft.com/office/drawing/2014/main" id="{A1F26A9D-8A5A-CB71-4D2F-B5DBBC0B2C6D}"/>
            </a:ext>
          </a:extLst>
        </xdr:cNvPr>
        <xdr:cNvPicPr>
          <a:picLocks noChangeAspect="1"/>
        </xdr:cNvPicPr>
      </xdr:nvPicPr>
      <xdr:blipFill>
        <a:blip xmlns:r="http://schemas.openxmlformats.org/officeDocument/2006/relationships" r:embed="rId8"/>
        <a:stretch>
          <a:fillRect/>
        </a:stretch>
      </xdr:blipFill>
      <xdr:spPr>
        <a:xfrm>
          <a:off x="19764054" y="4421040"/>
          <a:ext cx="3433431" cy="1390705"/>
        </a:xfrm>
        <a:prstGeom prst="rect">
          <a:avLst/>
        </a:prstGeom>
        <a:ln>
          <a:solidFill>
            <a:schemeClr val="accent3"/>
          </a:solidFill>
        </a:ln>
      </xdr:spPr>
    </xdr:pic>
    <xdr:clientData/>
  </xdr:twoCellAnchor>
  <xdr:twoCellAnchor editAs="oneCell">
    <xdr:from>
      <xdr:col>35</xdr:col>
      <xdr:colOff>293868</xdr:colOff>
      <xdr:row>48</xdr:row>
      <xdr:rowOff>56835</xdr:rowOff>
    </xdr:from>
    <xdr:to>
      <xdr:col>39</xdr:col>
      <xdr:colOff>220522</xdr:colOff>
      <xdr:row>51</xdr:row>
      <xdr:rowOff>59442</xdr:rowOff>
    </xdr:to>
    <xdr:pic>
      <xdr:nvPicPr>
        <xdr:cNvPr id="10" name="Image 9">
          <a:extLst>
            <a:ext uri="{FF2B5EF4-FFF2-40B4-BE49-F238E27FC236}">
              <a16:creationId xmlns:a16="http://schemas.microsoft.com/office/drawing/2014/main" id="{40A0BC80-7F27-4641-D556-65C2F5074CF7}"/>
            </a:ext>
          </a:extLst>
        </xdr:cNvPr>
        <xdr:cNvPicPr>
          <a:picLocks noChangeAspect="1"/>
        </xdr:cNvPicPr>
      </xdr:nvPicPr>
      <xdr:blipFill>
        <a:blip xmlns:r="http://schemas.openxmlformats.org/officeDocument/2006/relationships" r:embed="rId9"/>
        <a:stretch>
          <a:fillRect/>
        </a:stretch>
      </xdr:blipFill>
      <xdr:spPr>
        <a:xfrm>
          <a:off x="34002843" y="9619935"/>
          <a:ext cx="2974654" cy="659832"/>
        </a:xfrm>
        <a:prstGeom prst="rect">
          <a:avLst/>
        </a:prstGeom>
        <a:ln>
          <a:solidFill>
            <a:schemeClr val="accent3"/>
          </a:solidFill>
        </a:ln>
      </xdr:spPr>
    </xdr:pic>
    <xdr:clientData/>
  </xdr:twoCellAnchor>
  <xdr:twoCellAnchor editAs="oneCell">
    <xdr:from>
      <xdr:col>8</xdr:col>
      <xdr:colOff>113869</xdr:colOff>
      <xdr:row>75</xdr:row>
      <xdr:rowOff>185154</xdr:rowOff>
    </xdr:from>
    <xdr:to>
      <xdr:col>13</xdr:col>
      <xdr:colOff>630236</xdr:colOff>
      <xdr:row>79</xdr:row>
      <xdr:rowOff>46122</xdr:rowOff>
    </xdr:to>
    <xdr:pic>
      <xdr:nvPicPr>
        <xdr:cNvPr id="11" name="Image 10">
          <a:extLst>
            <a:ext uri="{FF2B5EF4-FFF2-40B4-BE49-F238E27FC236}">
              <a16:creationId xmlns:a16="http://schemas.microsoft.com/office/drawing/2014/main" id="{42929F0A-74E3-594B-9D27-0C3586E7F345}"/>
            </a:ext>
          </a:extLst>
        </xdr:cNvPr>
        <xdr:cNvPicPr>
          <a:picLocks noChangeAspect="1"/>
        </xdr:cNvPicPr>
      </xdr:nvPicPr>
      <xdr:blipFill>
        <a:blip xmlns:r="http://schemas.openxmlformats.org/officeDocument/2006/relationships" r:embed="rId10"/>
        <a:stretch>
          <a:fillRect/>
        </a:stretch>
      </xdr:blipFill>
      <xdr:spPr>
        <a:xfrm>
          <a:off x="13239319" y="15907754"/>
          <a:ext cx="4326367" cy="670593"/>
        </a:xfrm>
        <a:prstGeom prst="rect">
          <a:avLst/>
        </a:prstGeom>
        <a:ln>
          <a:solidFill>
            <a:schemeClr val="accent3"/>
          </a:solidFill>
        </a:ln>
      </xdr:spPr>
    </xdr:pic>
    <xdr:clientData/>
  </xdr:twoCellAnchor>
  <xdr:twoCellAnchor editAs="oneCell">
    <xdr:from>
      <xdr:col>22</xdr:col>
      <xdr:colOff>698576</xdr:colOff>
      <xdr:row>26</xdr:row>
      <xdr:rowOff>154028</xdr:rowOff>
    </xdr:from>
    <xdr:to>
      <xdr:col>27</xdr:col>
      <xdr:colOff>256799</xdr:colOff>
      <xdr:row>32</xdr:row>
      <xdr:rowOff>123175</xdr:rowOff>
    </xdr:to>
    <xdr:pic>
      <xdr:nvPicPr>
        <xdr:cNvPr id="12" name="Image 11">
          <a:extLst>
            <a:ext uri="{FF2B5EF4-FFF2-40B4-BE49-F238E27FC236}">
              <a16:creationId xmlns:a16="http://schemas.microsoft.com/office/drawing/2014/main" id="{59068EE3-C602-4C23-02E2-A059297D8B0C}"/>
            </a:ext>
          </a:extLst>
        </xdr:cNvPr>
        <xdr:cNvPicPr>
          <a:picLocks noChangeAspect="1"/>
        </xdr:cNvPicPr>
      </xdr:nvPicPr>
      <xdr:blipFill>
        <a:blip xmlns:r="http://schemas.openxmlformats.org/officeDocument/2006/relationships" r:embed="rId11"/>
        <a:stretch>
          <a:fillRect/>
        </a:stretch>
      </xdr:blipFill>
      <xdr:spPr>
        <a:xfrm>
          <a:off x="24459390" y="5374319"/>
          <a:ext cx="4108662" cy="1084089"/>
        </a:xfrm>
        <a:prstGeom prst="rect">
          <a:avLst/>
        </a:prstGeom>
        <a:ln>
          <a:solidFill>
            <a:schemeClr val="accent4"/>
          </a:solidFill>
        </a:ln>
      </xdr:spPr>
    </xdr:pic>
    <xdr:clientData/>
  </xdr:twoCellAnchor>
  <xdr:twoCellAnchor editAs="oneCell">
    <xdr:from>
      <xdr:col>37</xdr:col>
      <xdr:colOff>267871</xdr:colOff>
      <xdr:row>54</xdr:row>
      <xdr:rowOff>66146</xdr:rowOff>
    </xdr:from>
    <xdr:to>
      <xdr:col>41</xdr:col>
      <xdr:colOff>458530</xdr:colOff>
      <xdr:row>60</xdr:row>
      <xdr:rowOff>116162</xdr:rowOff>
    </xdr:to>
    <xdr:pic>
      <xdr:nvPicPr>
        <xdr:cNvPr id="13" name="Image 12">
          <a:extLst>
            <a:ext uri="{FF2B5EF4-FFF2-40B4-BE49-F238E27FC236}">
              <a16:creationId xmlns:a16="http://schemas.microsoft.com/office/drawing/2014/main" id="{ACAE5DD4-471A-89BF-7D1E-44A9EA0AB2A1}"/>
            </a:ext>
          </a:extLst>
        </xdr:cNvPr>
        <xdr:cNvPicPr>
          <a:picLocks noChangeAspect="1"/>
        </xdr:cNvPicPr>
      </xdr:nvPicPr>
      <xdr:blipFill>
        <a:blip xmlns:r="http://schemas.openxmlformats.org/officeDocument/2006/relationships" r:embed="rId12"/>
        <a:stretch>
          <a:fillRect/>
        </a:stretch>
      </xdr:blipFill>
      <xdr:spPr>
        <a:xfrm>
          <a:off x="35491321" y="11083396"/>
          <a:ext cx="3238659" cy="1396216"/>
        </a:xfrm>
        <a:prstGeom prst="rect">
          <a:avLst/>
        </a:prstGeom>
        <a:ln>
          <a:solidFill>
            <a:schemeClr val="accent4"/>
          </a:solidFill>
        </a:ln>
      </xdr:spPr>
    </xdr:pic>
    <xdr:clientData/>
  </xdr:twoCellAnchor>
  <xdr:twoCellAnchor editAs="oneCell">
    <xdr:from>
      <xdr:col>22</xdr:col>
      <xdr:colOff>283935</xdr:colOff>
      <xdr:row>7</xdr:row>
      <xdr:rowOff>121845</xdr:rowOff>
    </xdr:from>
    <xdr:to>
      <xdr:col>26</xdr:col>
      <xdr:colOff>638174</xdr:colOff>
      <xdr:row>12</xdr:row>
      <xdr:rowOff>125047</xdr:rowOff>
    </xdr:to>
    <xdr:pic>
      <xdr:nvPicPr>
        <xdr:cNvPr id="15" name="Image 14">
          <a:extLst>
            <a:ext uri="{FF2B5EF4-FFF2-40B4-BE49-F238E27FC236}">
              <a16:creationId xmlns:a16="http://schemas.microsoft.com/office/drawing/2014/main" id="{15757D9D-2DCA-05C2-499D-560A11148808}"/>
            </a:ext>
          </a:extLst>
        </xdr:cNvPr>
        <xdr:cNvPicPr>
          <a:picLocks noChangeAspect="1"/>
        </xdr:cNvPicPr>
      </xdr:nvPicPr>
      <xdr:blipFill>
        <a:blip xmlns:r="http://schemas.openxmlformats.org/officeDocument/2006/relationships" r:embed="rId13"/>
        <a:stretch>
          <a:fillRect/>
        </a:stretch>
      </xdr:blipFill>
      <xdr:spPr>
        <a:xfrm>
          <a:off x="22164221" y="1464416"/>
          <a:ext cx="4154714" cy="1062220"/>
        </a:xfrm>
        <a:prstGeom prst="rect">
          <a:avLst/>
        </a:prstGeom>
        <a:ln>
          <a:solidFill>
            <a:schemeClr val="accent2"/>
          </a:solidFill>
        </a:ln>
      </xdr:spPr>
    </xdr:pic>
    <xdr:clientData/>
  </xdr:twoCellAnchor>
  <xdr:twoCellAnchor editAs="oneCell">
    <xdr:from>
      <xdr:col>40</xdr:col>
      <xdr:colOff>707359</xdr:colOff>
      <xdr:row>55</xdr:row>
      <xdr:rowOff>135230</xdr:rowOff>
    </xdr:from>
    <xdr:to>
      <xdr:col>46</xdr:col>
      <xdr:colOff>435067</xdr:colOff>
      <xdr:row>60</xdr:row>
      <xdr:rowOff>125990</xdr:rowOff>
    </xdr:to>
    <xdr:pic>
      <xdr:nvPicPr>
        <xdr:cNvPr id="16" name="Image 15">
          <a:extLst>
            <a:ext uri="{FF2B5EF4-FFF2-40B4-BE49-F238E27FC236}">
              <a16:creationId xmlns:a16="http://schemas.microsoft.com/office/drawing/2014/main" id="{803E8807-EBB3-3CBD-31EA-A9701160040B}"/>
            </a:ext>
          </a:extLst>
        </xdr:cNvPr>
        <xdr:cNvPicPr>
          <a:picLocks noChangeAspect="1"/>
        </xdr:cNvPicPr>
      </xdr:nvPicPr>
      <xdr:blipFill>
        <a:blip xmlns:r="http://schemas.openxmlformats.org/officeDocument/2006/relationships" r:embed="rId14"/>
        <a:stretch>
          <a:fillRect/>
        </a:stretch>
      </xdr:blipFill>
      <xdr:spPr>
        <a:xfrm>
          <a:off x="38216809" y="11374730"/>
          <a:ext cx="4299708" cy="1117885"/>
        </a:xfrm>
        <a:prstGeom prst="rect">
          <a:avLst/>
        </a:prstGeom>
        <a:ln>
          <a:solidFill>
            <a:schemeClr val="accent2"/>
          </a:solidFill>
        </a:ln>
      </xdr:spPr>
    </xdr:pic>
    <xdr:clientData/>
  </xdr:twoCellAnchor>
  <xdr:twoCellAnchor editAs="oneCell">
    <xdr:from>
      <xdr:col>37</xdr:col>
      <xdr:colOff>723900</xdr:colOff>
      <xdr:row>51</xdr:row>
      <xdr:rowOff>37856</xdr:rowOff>
    </xdr:from>
    <xdr:to>
      <xdr:col>41</xdr:col>
      <xdr:colOff>181204</xdr:colOff>
      <xdr:row>55</xdr:row>
      <xdr:rowOff>59359</xdr:rowOff>
    </xdr:to>
    <xdr:pic>
      <xdr:nvPicPr>
        <xdr:cNvPr id="17" name="Image 16">
          <a:extLst>
            <a:ext uri="{FF2B5EF4-FFF2-40B4-BE49-F238E27FC236}">
              <a16:creationId xmlns:a16="http://schemas.microsoft.com/office/drawing/2014/main" id="{73F3E650-24EA-6EA0-CA64-EF7DE8307945}"/>
            </a:ext>
          </a:extLst>
        </xdr:cNvPr>
        <xdr:cNvPicPr>
          <a:picLocks noChangeAspect="1"/>
        </xdr:cNvPicPr>
      </xdr:nvPicPr>
      <xdr:blipFill>
        <a:blip xmlns:r="http://schemas.openxmlformats.org/officeDocument/2006/relationships" r:embed="rId15"/>
        <a:stretch>
          <a:fillRect/>
        </a:stretch>
      </xdr:blipFill>
      <xdr:spPr>
        <a:xfrm>
          <a:off x="35956875" y="10258181"/>
          <a:ext cx="2505304" cy="926378"/>
        </a:xfrm>
        <a:prstGeom prst="rect">
          <a:avLst/>
        </a:prstGeom>
      </xdr:spPr>
    </xdr:pic>
    <xdr:clientData/>
  </xdr:twoCellAnchor>
  <xdr:twoCellAnchor editAs="oneCell">
    <xdr:from>
      <xdr:col>41</xdr:col>
      <xdr:colOff>257175</xdr:colOff>
      <xdr:row>51</xdr:row>
      <xdr:rowOff>189082</xdr:rowOff>
    </xdr:from>
    <xdr:to>
      <xdr:col>44</xdr:col>
      <xdr:colOff>429500</xdr:colOff>
      <xdr:row>55</xdr:row>
      <xdr:rowOff>190823</xdr:rowOff>
    </xdr:to>
    <xdr:pic>
      <xdr:nvPicPr>
        <xdr:cNvPr id="18" name="Image 17">
          <a:extLst>
            <a:ext uri="{FF2B5EF4-FFF2-40B4-BE49-F238E27FC236}">
              <a16:creationId xmlns:a16="http://schemas.microsoft.com/office/drawing/2014/main" id="{89C0D772-DF66-1650-C5BB-6E0447BC9CC8}"/>
            </a:ext>
          </a:extLst>
        </xdr:cNvPr>
        <xdr:cNvPicPr>
          <a:picLocks noChangeAspect="1"/>
        </xdr:cNvPicPr>
      </xdr:nvPicPr>
      <xdr:blipFill>
        <a:blip xmlns:r="http://schemas.openxmlformats.org/officeDocument/2006/relationships" r:embed="rId16"/>
        <a:stretch>
          <a:fillRect/>
        </a:stretch>
      </xdr:blipFill>
      <xdr:spPr>
        <a:xfrm>
          <a:off x="38538150" y="10409407"/>
          <a:ext cx="2458325" cy="906616"/>
        </a:xfrm>
        <a:prstGeom prst="rect">
          <a:avLst/>
        </a:prstGeom>
      </xdr:spPr>
    </xdr:pic>
    <xdr:clientData/>
  </xdr:twoCellAnchor>
  <xdr:twoCellAnchor editAs="oneCell">
    <xdr:from>
      <xdr:col>8</xdr:col>
      <xdr:colOff>667733</xdr:colOff>
      <xdr:row>80</xdr:row>
      <xdr:rowOff>25842</xdr:rowOff>
    </xdr:from>
    <xdr:to>
      <xdr:col>12</xdr:col>
      <xdr:colOff>180642</xdr:colOff>
      <xdr:row>83</xdr:row>
      <xdr:rowOff>163659</xdr:rowOff>
    </xdr:to>
    <xdr:pic>
      <xdr:nvPicPr>
        <xdr:cNvPr id="24" name="Image 23">
          <a:extLst>
            <a:ext uri="{FF2B5EF4-FFF2-40B4-BE49-F238E27FC236}">
              <a16:creationId xmlns:a16="http://schemas.microsoft.com/office/drawing/2014/main" id="{65196C97-84DD-9C51-B2AB-6542416B1B1B}"/>
            </a:ext>
          </a:extLst>
        </xdr:cNvPr>
        <xdr:cNvPicPr>
          <a:picLocks noChangeAspect="1"/>
        </xdr:cNvPicPr>
      </xdr:nvPicPr>
      <xdr:blipFill>
        <a:blip xmlns:r="http://schemas.openxmlformats.org/officeDocument/2006/relationships" r:embed="rId17"/>
        <a:stretch>
          <a:fillRect/>
        </a:stretch>
      </xdr:blipFill>
      <xdr:spPr>
        <a:xfrm>
          <a:off x="13801027" y="16931783"/>
          <a:ext cx="2557734" cy="701286"/>
        </a:xfrm>
        <a:prstGeom prst="rect">
          <a:avLst/>
        </a:prstGeom>
      </xdr:spPr>
    </xdr:pic>
    <xdr:clientData/>
  </xdr:twoCellAnchor>
  <xdr:twoCellAnchor editAs="oneCell">
    <xdr:from>
      <xdr:col>10</xdr:col>
      <xdr:colOff>127000</xdr:colOff>
      <xdr:row>95</xdr:row>
      <xdr:rowOff>24552</xdr:rowOff>
    </xdr:from>
    <xdr:to>
      <xdr:col>13</xdr:col>
      <xdr:colOff>697228</xdr:colOff>
      <xdr:row>99</xdr:row>
      <xdr:rowOff>142350</xdr:rowOff>
    </xdr:to>
    <xdr:pic>
      <xdr:nvPicPr>
        <xdr:cNvPr id="20" name="Image 19">
          <a:extLst>
            <a:ext uri="{FF2B5EF4-FFF2-40B4-BE49-F238E27FC236}">
              <a16:creationId xmlns:a16="http://schemas.microsoft.com/office/drawing/2014/main" id="{E6D54C42-7B37-4FC5-9910-59A94A9CD034}"/>
            </a:ext>
          </a:extLst>
        </xdr:cNvPr>
        <xdr:cNvPicPr>
          <a:picLocks noChangeAspect="1"/>
        </xdr:cNvPicPr>
      </xdr:nvPicPr>
      <xdr:blipFill>
        <a:blip xmlns:r="http://schemas.openxmlformats.org/officeDocument/2006/relationships" r:embed="rId18"/>
        <a:stretch>
          <a:fillRect/>
        </a:stretch>
      </xdr:blipFill>
      <xdr:spPr>
        <a:xfrm>
          <a:off x="13055600" y="17233052"/>
          <a:ext cx="2856228" cy="854398"/>
        </a:xfrm>
        <a:prstGeom prst="rect">
          <a:avLst/>
        </a:prstGeom>
        <a:ln>
          <a:solidFill>
            <a:schemeClr val="accent1"/>
          </a:solidFill>
        </a:ln>
      </xdr:spPr>
    </xdr:pic>
    <xdr:clientData/>
  </xdr:twoCellAnchor>
  <xdr:twoCellAnchor editAs="oneCell">
    <xdr:from>
      <xdr:col>14</xdr:col>
      <xdr:colOff>127000</xdr:colOff>
      <xdr:row>95</xdr:row>
      <xdr:rowOff>182216</xdr:rowOff>
    </xdr:from>
    <xdr:to>
      <xdr:col>16</xdr:col>
      <xdr:colOff>761950</xdr:colOff>
      <xdr:row>99</xdr:row>
      <xdr:rowOff>84008</xdr:rowOff>
    </xdr:to>
    <xdr:pic>
      <xdr:nvPicPr>
        <xdr:cNvPr id="21" name="Image 20">
          <a:extLst>
            <a:ext uri="{FF2B5EF4-FFF2-40B4-BE49-F238E27FC236}">
              <a16:creationId xmlns:a16="http://schemas.microsoft.com/office/drawing/2014/main" id="{CF96B85F-1A51-4B70-916F-CDC093E81E47}"/>
            </a:ext>
          </a:extLst>
        </xdr:cNvPr>
        <xdr:cNvPicPr>
          <a:picLocks noChangeAspect="1"/>
        </xdr:cNvPicPr>
      </xdr:nvPicPr>
      <xdr:blipFill>
        <a:blip xmlns:r="http://schemas.openxmlformats.org/officeDocument/2006/relationships" r:embed="rId19"/>
        <a:stretch>
          <a:fillRect/>
        </a:stretch>
      </xdr:blipFill>
      <xdr:spPr>
        <a:xfrm>
          <a:off x="16103600" y="17390716"/>
          <a:ext cx="2158950" cy="638392"/>
        </a:xfrm>
        <a:prstGeom prst="rect">
          <a:avLst/>
        </a:prstGeom>
        <a:ln>
          <a:solidFill>
            <a:schemeClr val="accent3"/>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508000</xdr:colOff>
      <xdr:row>35</xdr:row>
      <xdr:rowOff>160130</xdr:rowOff>
    </xdr:from>
    <xdr:to>
      <xdr:col>8</xdr:col>
      <xdr:colOff>240297</xdr:colOff>
      <xdr:row>37</xdr:row>
      <xdr:rowOff>29110</xdr:rowOff>
    </xdr:to>
    <xdr:pic>
      <xdr:nvPicPr>
        <xdr:cNvPr id="20" name="Image 19">
          <a:extLst>
            <a:ext uri="{FF2B5EF4-FFF2-40B4-BE49-F238E27FC236}">
              <a16:creationId xmlns:a16="http://schemas.microsoft.com/office/drawing/2014/main" id="{DB628CB0-E7B0-2707-1FBB-CB1EC5A22231}"/>
            </a:ext>
          </a:extLst>
        </xdr:cNvPr>
        <xdr:cNvPicPr>
          <a:picLocks noChangeAspect="1"/>
        </xdr:cNvPicPr>
      </xdr:nvPicPr>
      <xdr:blipFill>
        <a:blip xmlns:r="http://schemas.openxmlformats.org/officeDocument/2006/relationships" r:embed="rId1"/>
        <a:stretch>
          <a:fillRect/>
        </a:stretch>
      </xdr:blipFill>
      <xdr:spPr>
        <a:xfrm>
          <a:off x="10187609" y="4312478"/>
          <a:ext cx="1455079" cy="321762"/>
        </a:xfrm>
        <a:prstGeom prst="rect">
          <a:avLst/>
        </a:prstGeom>
        <a:ln>
          <a:solidFill>
            <a:schemeClr val="accent1"/>
          </a:solidFill>
        </a:ln>
      </xdr:spPr>
    </xdr:pic>
    <xdr:clientData/>
  </xdr:twoCellAnchor>
  <xdr:twoCellAnchor editAs="oneCell">
    <xdr:from>
      <xdr:col>26</xdr:col>
      <xdr:colOff>614456</xdr:colOff>
      <xdr:row>38</xdr:row>
      <xdr:rowOff>156884</xdr:rowOff>
    </xdr:from>
    <xdr:to>
      <xdr:col>31</xdr:col>
      <xdr:colOff>240442</xdr:colOff>
      <xdr:row>42</xdr:row>
      <xdr:rowOff>115104</xdr:rowOff>
    </xdr:to>
    <xdr:pic>
      <xdr:nvPicPr>
        <xdr:cNvPr id="21" name="Image 20">
          <a:extLst>
            <a:ext uri="{FF2B5EF4-FFF2-40B4-BE49-F238E27FC236}">
              <a16:creationId xmlns:a16="http://schemas.microsoft.com/office/drawing/2014/main" id="{79A9F5D7-2F60-EB65-C4BA-FA4F0CA00980}"/>
            </a:ext>
          </a:extLst>
        </xdr:cNvPr>
        <xdr:cNvPicPr>
          <a:picLocks noChangeAspect="1"/>
        </xdr:cNvPicPr>
      </xdr:nvPicPr>
      <xdr:blipFill>
        <a:blip xmlns:r="http://schemas.openxmlformats.org/officeDocument/2006/relationships" r:embed="rId2"/>
        <a:stretch>
          <a:fillRect/>
        </a:stretch>
      </xdr:blipFill>
      <xdr:spPr>
        <a:xfrm>
          <a:off x="25735056" y="7967384"/>
          <a:ext cx="3429636" cy="853570"/>
        </a:xfrm>
        <a:prstGeom prst="rect">
          <a:avLst/>
        </a:prstGeom>
        <a:ln>
          <a:solidFill>
            <a:schemeClr val="accent1"/>
          </a:solidFill>
        </a:ln>
      </xdr:spPr>
    </xdr:pic>
    <xdr:clientData/>
  </xdr:twoCellAnchor>
  <xdr:twoCellAnchor editAs="oneCell">
    <xdr:from>
      <xdr:col>31</xdr:col>
      <xdr:colOff>188981</xdr:colOff>
      <xdr:row>49</xdr:row>
      <xdr:rowOff>49082</xdr:rowOff>
    </xdr:from>
    <xdr:to>
      <xdr:col>32</xdr:col>
      <xdr:colOff>635558</xdr:colOff>
      <xdr:row>51</xdr:row>
      <xdr:rowOff>1377</xdr:rowOff>
    </xdr:to>
    <xdr:pic>
      <xdr:nvPicPr>
        <xdr:cNvPr id="22" name="Image 21">
          <a:extLst>
            <a:ext uri="{FF2B5EF4-FFF2-40B4-BE49-F238E27FC236}">
              <a16:creationId xmlns:a16="http://schemas.microsoft.com/office/drawing/2014/main" id="{9B8A0C3F-A9EA-F789-D00F-41839B826B39}"/>
            </a:ext>
          </a:extLst>
        </xdr:cNvPr>
        <xdr:cNvPicPr>
          <a:picLocks noChangeAspect="1"/>
        </xdr:cNvPicPr>
      </xdr:nvPicPr>
      <xdr:blipFill>
        <a:blip xmlns:r="http://schemas.openxmlformats.org/officeDocument/2006/relationships" r:embed="rId3"/>
        <a:stretch>
          <a:fillRect/>
        </a:stretch>
      </xdr:blipFill>
      <xdr:spPr>
        <a:xfrm>
          <a:off x="29119581" y="10107482"/>
          <a:ext cx="1208577" cy="409495"/>
        </a:xfrm>
        <a:prstGeom prst="rect">
          <a:avLst/>
        </a:prstGeom>
        <a:ln>
          <a:solidFill>
            <a:schemeClr val="accent1"/>
          </a:solidFill>
        </a:ln>
      </xdr:spPr>
    </xdr:pic>
    <xdr:clientData/>
  </xdr:twoCellAnchor>
  <xdr:twoCellAnchor editAs="oneCell">
    <xdr:from>
      <xdr:col>10</xdr:col>
      <xdr:colOff>617071</xdr:colOff>
      <xdr:row>25</xdr:row>
      <xdr:rowOff>46578</xdr:rowOff>
    </xdr:from>
    <xdr:to>
      <xdr:col>16</xdr:col>
      <xdr:colOff>275411</xdr:colOff>
      <xdr:row>29</xdr:row>
      <xdr:rowOff>80950</xdr:rowOff>
    </xdr:to>
    <xdr:pic>
      <xdr:nvPicPr>
        <xdr:cNvPr id="23" name="Image 22">
          <a:extLst>
            <a:ext uri="{FF2B5EF4-FFF2-40B4-BE49-F238E27FC236}">
              <a16:creationId xmlns:a16="http://schemas.microsoft.com/office/drawing/2014/main" id="{9C66BFF4-0ACE-54F9-0824-599C5CE59C83}"/>
            </a:ext>
          </a:extLst>
        </xdr:cNvPr>
        <xdr:cNvPicPr>
          <a:picLocks noChangeAspect="1"/>
        </xdr:cNvPicPr>
      </xdr:nvPicPr>
      <xdr:blipFill>
        <a:blip xmlns:r="http://schemas.openxmlformats.org/officeDocument/2006/relationships" r:embed="rId4"/>
        <a:stretch>
          <a:fillRect/>
        </a:stretch>
      </xdr:blipFill>
      <xdr:spPr>
        <a:xfrm>
          <a:off x="13545671" y="5171028"/>
          <a:ext cx="4230340" cy="770972"/>
        </a:xfrm>
        <a:prstGeom prst="rect">
          <a:avLst/>
        </a:prstGeom>
        <a:ln>
          <a:solidFill>
            <a:schemeClr val="accent1"/>
          </a:solidFill>
        </a:ln>
      </xdr:spPr>
    </xdr:pic>
    <xdr:clientData/>
  </xdr:twoCellAnchor>
  <xdr:twoCellAnchor editAs="oneCell">
    <xdr:from>
      <xdr:col>22</xdr:col>
      <xdr:colOff>336706</xdr:colOff>
      <xdr:row>51</xdr:row>
      <xdr:rowOff>193189</xdr:rowOff>
    </xdr:from>
    <xdr:to>
      <xdr:col>27</xdr:col>
      <xdr:colOff>134217</xdr:colOff>
      <xdr:row>55</xdr:row>
      <xdr:rowOff>10647</xdr:rowOff>
    </xdr:to>
    <xdr:pic>
      <xdr:nvPicPr>
        <xdr:cNvPr id="24" name="Image 23">
          <a:extLst>
            <a:ext uri="{FF2B5EF4-FFF2-40B4-BE49-F238E27FC236}">
              <a16:creationId xmlns:a16="http://schemas.microsoft.com/office/drawing/2014/main" id="{BC684321-B28F-2DE0-1529-75B259918912}"/>
            </a:ext>
          </a:extLst>
        </xdr:cNvPr>
        <xdr:cNvPicPr>
          <a:picLocks noChangeAspect="1"/>
        </xdr:cNvPicPr>
      </xdr:nvPicPr>
      <xdr:blipFill>
        <a:blip xmlns:r="http://schemas.openxmlformats.org/officeDocument/2006/relationships" r:embed="rId5"/>
        <a:stretch>
          <a:fillRect/>
        </a:stretch>
      </xdr:blipFill>
      <xdr:spPr>
        <a:xfrm>
          <a:off x="22481071" y="10675729"/>
          <a:ext cx="3627670" cy="714521"/>
        </a:xfrm>
        <a:prstGeom prst="rect">
          <a:avLst/>
        </a:prstGeom>
        <a:ln>
          <a:solidFill>
            <a:schemeClr val="accent1"/>
          </a:solidFill>
        </a:ln>
      </xdr:spPr>
    </xdr:pic>
    <xdr:clientData/>
  </xdr:twoCellAnchor>
  <xdr:twoCellAnchor editAs="oneCell">
    <xdr:from>
      <xdr:col>22</xdr:col>
      <xdr:colOff>407360</xdr:colOff>
      <xdr:row>56</xdr:row>
      <xdr:rowOff>33652</xdr:rowOff>
    </xdr:from>
    <xdr:to>
      <xdr:col>27</xdr:col>
      <xdr:colOff>106868</xdr:colOff>
      <xdr:row>59</xdr:row>
      <xdr:rowOff>111311</xdr:rowOff>
    </xdr:to>
    <xdr:pic>
      <xdr:nvPicPr>
        <xdr:cNvPr id="25" name="Image 24">
          <a:extLst>
            <a:ext uri="{FF2B5EF4-FFF2-40B4-BE49-F238E27FC236}">
              <a16:creationId xmlns:a16="http://schemas.microsoft.com/office/drawing/2014/main" id="{5D8BE9C4-CAC9-60D7-B210-9A7221445CFE}"/>
            </a:ext>
          </a:extLst>
        </xdr:cNvPr>
        <xdr:cNvPicPr>
          <a:picLocks noChangeAspect="1"/>
        </xdr:cNvPicPr>
      </xdr:nvPicPr>
      <xdr:blipFill>
        <a:blip xmlns:r="http://schemas.openxmlformats.org/officeDocument/2006/relationships" r:embed="rId6"/>
        <a:stretch>
          <a:fillRect/>
        </a:stretch>
      </xdr:blipFill>
      <xdr:spPr>
        <a:xfrm>
          <a:off x="22551725" y="11645081"/>
          <a:ext cx="3529667" cy="672341"/>
        </a:xfrm>
        <a:prstGeom prst="rect">
          <a:avLst/>
        </a:prstGeom>
        <a:ln>
          <a:solidFill>
            <a:schemeClr val="accent1"/>
          </a:solidFill>
        </a:ln>
      </xdr:spPr>
    </xdr:pic>
    <xdr:clientData/>
  </xdr:twoCellAnchor>
  <xdr:twoCellAnchor editAs="oneCell">
    <xdr:from>
      <xdr:col>8</xdr:col>
      <xdr:colOff>288365</xdr:colOff>
      <xdr:row>61</xdr:row>
      <xdr:rowOff>153895</xdr:rowOff>
    </xdr:from>
    <xdr:to>
      <xdr:col>12</xdr:col>
      <xdr:colOff>2551</xdr:colOff>
      <xdr:row>65</xdr:row>
      <xdr:rowOff>114209</xdr:rowOff>
    </xdr:to>
    <xdr:pic>
      <xdr:nvPicPr>
        <xdr:cNvPr id="26" name="Image 25">
          <a:extLst>
            <a:ext uri="{FF2B5EF4-FFF2-40B4-BE49-F238E27FC236}">
              <a16:creationId xmlns:a16="http://schemas.microsoft.com/office/drawing/2014/main" id="{CC277399-CA15-8290-A89D-3EBE3ECA8485}"/>
            </a:ext>
          </a:extLst>
        </xdr:cNvPr>
        <xdr:cNvPicPr>
          <a:picLocks noChangeAspect="1"/>
        </xdr:cNvPicPr>
      </xdr:nvPicPr>
      <xdr:blipFill>
        <a:blip xmlns:r="http://schemas.openxmlformats.org/officeDocument/2006/relationships" r:embed="rId7"/>
        <a:stretch>
          <a:fillRect/>
        </a:stretch>
      </xdr:blipFill>
      <xdr:spPr>
        <a:xfrm>
          <a:off x="11699315" y="9364570"/>
          <a:ext cx="2762186" cy="703264"/>
        </a:xfrm>
        <a:prstGeom prst="rect">
          <a:avLst/>
        </a:prstGeom>
        <a:ln>
          <a:solidFill>
            <a:schemeClr val="accent1"/>
          </a:solidFill>
        </a:ln>
      </xdr:spPr>
    </xdr:pic>
    <xdr:clientData/>
  </xdr:twoCellAnchor>
  <xdr:twoCellAnchor>
    <xdr:from>
      <xdr:col>16</xdr:col>
      <xdr:colOff>143347</xdr:colOff>
      <xdr:row>72</xdr:row>
      <xdr:rowOff>120544</xdr:rowOff>
    </xdr:from>
    <xdr:to>
      <xdr:col>20</xdr:col>
      <xdr:colOff>589861</xdr:colOff>
      <xdr:row>80</xdr:row>
      <xdr:rowOff>83645</xdr:rowOff>
    </xdr:to>
    <xdr:grpSp>
      <xdr:nvGrpSpPr>
        <xdr:cNvPr id="29" name="Groupe 28">
          <a:extLst>
            <a:ext uri="{FF2B5EF4-FFF2-40B4-BE49-F238E27FC236}">
              <a16:creationId xmlns:a16="http://schemas.microsoft.com/office/drawing/2014/main" id="{60C1EF81-2CD2-9FF3-833C-9C86130764B8}"/>
            </a:ext>
          </a:extLst>
        </xdr:cNvPr>
        <xdr:cNvGrpSpPr/>
      </xdr:nvGrpSpPr>
      <xdr:grpSpPr>
        <a:xfrm>
          <a:off x="18120757" y="15309837"/>
          <a:ext cx="3580986" cy="1630630"/>
          <a:chOff x="10459282" y="10522858"/>
          <a:chExt cx="3585591" cy="1545277"/>
        </a:xfrm>
      </xdr:grpSpPr>
      <xdr:pic>
        <xdr:nvPicPr>
          <xdr:cNvPr id="27" name="Image 26">
            <a:extLst>
              <a:ext uri="{FF2B5EF4-FFF2-40B4-BE49-F238E27FC236}">
                <a16:creationId xmlns:a16="http://schemas.microsoft.com/office/drawing/2014/main" id="{9E4E687C-F518-6D60-F34F-E33BF39DDB50}"/>
              </a:ext>
            </a:extLst>
          </xdr:cNvPr>
          <xdr:cNvPicPr>
            <a:picLocks noChangeAspect="1"/>
          </xdr:cNvPicPr>
        </xdr:nvPicPr>
        <xdr:blipFill rotWithShape="1">
          <a:blip xmlns:r="http://schemas.openxmlformats.org/officeDocument/2006/relationships" r:embed="rId8"/>
          <a:srcRect b="80024"/>
          <a:stretch/>
        </xdr:blipFill>
        <xdr:spPr>
          <a:xfrm>
            <a:off x="10459282" y="10522858"/>
            <a:ext cx="3585591" cy="517072"/>
          </a:xfrm>
          <a:prstGeom prst="rect">
            <a:avLst/>
          </a:prstGeom>
          <a:ln>
            <a:solidFill>
              <a:schemeClr val="accent1"/>
            </a:solidFill>
          </a:ln>
        </xdr:spPr>
      </xdr:pic>
      <xdr:pic>
        <xdr:nvPicPr>
          <xdr:cNvPr id="28" name="Image 27">
            <a:extLst>
              <a:ext uri="{FF2B5EF4-FFF2-40B4-BE49-F238E27FC236}">
                <a16:creationId xmlns:a16="http://schemas.microsoft.com/office/drawing/2014/main" id="{ABE60AE7-B6B0-2377-13D3-CB47B76F1921}"/>
              </a:ext>
            </a:extLst>
          </xdr:cNvPr>
          <xdr:cNvPicPr>
            <a:picLocks noChangeAspect="1"/>
          </xdr:cNvPicPr>
        </xdr:nvPicPr>
        <xdr:blipFill rotWithShape="1">
          <a:blip xmlns:r="http://schemas.openxmlformats.org/officeDocument/2006/relationships" r:embed="rId8"/>
          <a:srcRect t="60278"/>
          <a:stretch/>
        </xdr:blipFill>
        <xdr:spPr>
          <a:xfrm>
            <a:off x="10459282" y="11039929"/>
            <a:ext cx="3585591" cy="1028206"/>
          </a:xfrm>
          <a:prstGeom prst="rect">
            <a:avLst/>
          </a:prstGeom>
          <a:ln>
            <a:solidFill>
              <a:schemeClr val="accent1"/>
            </a:solidFill>
          </a:ln>
        </xdr:spPr>
      </xdr:pic>
    </xdr:grpSp>
    <xdr:clientData/>
  </xdr:twoCellAnchor>
  <xdr:twoCellAnchor editAs="oneCell">
    <xdr:from>
      <xdr:col>31</xdr:col>
      <xdr:colOff>457475</xdr:colOff>
      <xdr:row>38</xdr:row>
      <xdr:rowOff>52588</xdr:rowOff>
    </xdr:from>
    <xdr:to>
      <xdr:col>35</xdr:col>
      <xdr:colOff>380738</xdr:colOff>
      <xdr:row>42</xdr:row>
      <xdr:rowOff>143195</xdr:rowOff>
    </xdr:to>
    <xdr:pic>
      <xdr:nvPicPr>
        <xdr:cNvPr id="30" name="Image 29">
          <a:extLst>
            <a:ext uri="{FF2B5EF4-FFF2-40B4-BE49-F238E27FC236}">
              <a16:creationId xmlns:a16="http://schemas.microsoft.com/office/drawing/2014/main" id="{C47CF4F5-6106-8945-D522-1D2163BBB592}"/>
            </a:ext>
          </a:extLst>
        </xdr:cNvPr>
        <xdr:cNvPicPr>
          <a:picLocks noChangeAspect="1"/>
        </xdr:cNvPicPr>
      </xdr:nvPicPr>
      <xdr:blipFill>
        <a:blip xmlns:r="http://schemas.openxmlformats.org/officeDocument/2006/relationships" r:embed="rId9"/>
        <a:stretch>
          <a:fillRect/>
        </a:stretch>
      </xdr:blipFill>
      <xdr:spPr>
        <a:xfrm>
          <a:off x="29388075" y="7863088"/>
          <a:ext cx="2971263" cy="979607"/>
        </a:xfrm>
        <a:prstGeom prst="rect">
          <a:avLst/>
        </a:prstGeom>
        <a:ln>
          <a:solidFill>
            <a:schemeClr val="accent3"/>
          </a:solidFill>
        </a:ln>
      </xdr:spPr>
    </xdr:pic>
    <xdr:clientData/>
  </xdr:twoCellAnchor>
  <xdr:twoCellAnchor editAs="oneCell">
    <xdr:from>
      <xdr:col>31</xdr:col>
      <xdr:colOff>72409</xdr:colOff>
      <xdr:row>43</xdr:row>
      <xdr:rowOff>206449</xdr:rowOff>
    </xdr:from>
    <xdr:to>
      <xdr:col>34</xdr:col>
      <xdr:colOff>553066</xdr:colOff>
      <xdr:row>47</xdr:row>
      <xdr:rowOff>125568</xdr:rowOff>
    </xdr:to>
    <xdr:pic>
      <xdr:nvPicPr>
        <xdr:cNvPr id="31" name="Image 30">
          <a:extLst>
            <a:ext uri="{FF2B5EF4-FFF2-40B4-BE49-F238E27FC236}">
              <a16:creationId xmlns:a16="http://schemas.microsoft.com/office/drawing/2014/main" id="{FC808B78-FA7C-31B8-CB7A-7FEFAA815BF3}"/>
            </a:ext>
          </a:extLst>
        </xdr:cNvPr>
        <xdr:cNvPicPr>
          <a:picLocks noChangeAspect="1"/>
        </xdr:cNvPicPr>
      </xdr:nvPicPr>
      <xdr:blipFill>
        <a:blip xmlns:r="http://schemas.openxmlformats.org/officeDocument/2006/relationships" r:embed="rId10"/>
        <a:stretch>
          <a:fillRect/>
        </a:stretch>
      </xdr:blipFill>
      <xdr:spPr>
        <a:xfrm>
          <a:off x="29003009" y="9140899"/>
          <a:ext cx="2766657" cy="820819"/>
        </a:xfrm>
        <a:prstGeom prst="rect">
          <a:avLst/>
        </a:prstGeom>
        <a:ln>
          <a:solidFill>
            <a:schemeClr val="accent3"/>
          </a:solidFill>
        </a:ln>
      </xdr:spPr>
    </xdr:pic>
    <xdr:clientData/>
  </xdr:twoCellAnchor>
  <xdr:twoCellAnchor editAs="oneCell">
    <xdr:from>
      <xdr:col>16</xdr:col>
      <xdr:colOff>245035</xdr:colOff>
      <xdr:row>20</xdr:row>
      <xdr:rowOff>97751</xdr:rowOff>
    </xdr:from>
    <xdr:to>
      <xdr:col>21</xdr:col>
      <xdr:colOff>665375</xdr:colOff>
      <xdr:row>24</xdr:row>
      <xdr:rowOff>121851</xdr:rowOff>
    </xdr:to>
    <xdr:pic>
      <xdr:nvPicPr>
        <xdr:cNvPr id="32" name="Image 31">
          <a:extLst>
            <a:ext uri="{FF2B5EF4-FFF2-40B4-BE49-F238E27FC236}">
              <a16:creationId xmlns:a16="http://schemas.microsoft.com/office/drawing/2014/main" id="{9206924B-1DCD-43C8-6C5B-DDFCFD3E581F}"/>
            </a:ext>
          </a:extLst>
        </xdr:cNvPr>
        <xdr:cNvPicPr>
          <a:picLocks noChangeAspect="1"/>
        </xdr:cNvPicPr>
      </xdr:nvPicPr>
      <xdr:blipFill>
        <a:blip xmlns:r="http://schemas.openxmlformats.org/officeDocument/2006/relationships" r:embed="rId4"/>
        <a:stretch>
          <a:fillRect/>
        </a:stretch>
      </xdr:blipFill>
      <xdr:spPr>
        <a:xfrm>
          <a:off x="17745635" y="4072851"/>
          <a:ext cx="4230340" cy="773400"/>
        </a:xfrm>
        <a:prstGeom prst="rect">
          <a:avLst/>
        </a:prstGeom>
        <a:ln>
          <a:solidFill>
            <a:schemeClr val="accent3"/>
          </a:solidFill>
        </a:ln>
      </xdr:spPr>
    </xdr:pic>
    <xdr:clientData/>
  </xdr:twoCellAnchor>
  <xdr:twoCellAnchor editAs="oneCell">
    <xdr:from>
      <xdr:col>27</xdr:col>
      <xdr:colOff>270089</xdr:colOff>
      <xdr:row>51</xdr:row>
      <xdr:rowOff>202158</xdr:rowOff>
    </xdr:from>
    <xdr:to>
      <xdr:col>32</xdr:col>
      <xdr:colOff>66840</xdr:colOff>
      <xdr:row>55</xdr:row>
      <xdr:rowOff>19616</xdr:rowOff>
    </xdr:to>
    <xdr:pic>
      <xdr:nvPicPr>
        <xdr:cNvPr id="33" name="Image 32">
          <a:extLst>
            <a:ext uri="{FF2B5EF4-FFF2-40B4-BE49-F238E27FC236}">
              <a16:creationId xmlns:a16="http://schemas.microsoft.com/office/drawing/2014/main" id="{B5385FCC-0673-6DC8-1BF4-0FF34CC5FA57}"/>
            </a:ext>
          </a:extLst>
        </xdr:cNvPr>
        <xdr:cNvPicPr>
          <a:picLocks noChangeAspect="1"/>
        </xdr:cNvPicPr>
      </xdr:nvPicPr>
      <xdr:blipFill>
        <a:blip xmlns:r="http://schemas.openxmlformats.org/officeDocument/2006/relationships" r:embed="rId5"/>
        <a:stretch>
          <a:fillRect/>
        </a:stretch>
      </xdr:blipFill>
      <xdr:spPr>
        <a:xfrm>
          <a:off x="26244613" y="10684698"/>
          <a:ext cx="3620560" cy="714521"/>
        </a:xfrm>
        <a:prstGeom prst="rect">
          <a:avLst/>
        </a:prstGeom>
        <a:ln>
          <a:solidFill>
            <a:schemeClr val="accent3"/>
          </a:solidFill>
        </a:ln>
      </xdr:spPr>
    </xdr:pic>
    <xdr:clientData/>
  </xdr:twoCellAnchor>
  <xdr:twoCellAnchor editAs="oneCell">
    <xdr:from>
      <xdr:col>27</xdr:col>
      <xdr:colOff>338918</xdr:colOff>
      <xdr:row>56</xdr:row>
      <xdr:rowOff>22138</xdr:rowOff>
    </xdr:from>
    <xdr:to>
      <xdr:col>31</xdr:col>
      <xdr:colOff>682831</xdr:colOff>
      <xdr:row>59</xdr:row>
      <xdr:rowOff>87832</xdr:rowOff>
    </xdr:to>
    <xdr:pic>
      <xdr:nvPicPr>
        <xdr:cNvPr id="34" name="Image 33">
          <a:extLst>
            <a:ext uri="{FF2B5EF4-FFF2-40B4-BE49-F238E27FC236}">
              <a16:creationId xmlns:a16="http://schemas.microsoft.com/office/drawing/2014/main" id="{6E8AC83F-8967-2A60-393A-B3B49FB1319C}"/>
            </a:ext>
          </a:extLst>
        </xdr:cNvPr>
        <xdr:cNvPicPr>
          <a:picLocks noChangeAspect="1"/>
        </xdr:cNvPicPr>
      </xdr:nvPicPr>
      <xdr:blipFill>
        <a:blip xmlns:r="http://schemas.openxmlformats.org/officeDocument/2006/relationships" r:embed="rId11"/>
        <a:stretch>
          <a:fillRect/>
        </a:stretch>
      </xdr:blipFill>
      <xdr:spPr>
        <a:xfrm>
          <a:off x="26313442" y="11633567"/>
          <a:ext cx="3408040" cy="654026"/>
        </a:xfrm>
        <a:prstGeom prst="rect">
          <a:avLst/>
        </a:prstGeom>
        <a:ln>
          <a:solidFill>
            <a:schemeClr val="accent3"/>
          </a:solidFill>
        </a:ln>
      </xdr:spPr>
    </xdr:pic>
    <xdr:clientData/>
  </xdr:twoCellAnchor>
  <xdr:twoCellAnchor editAs="oneCell">
    <xdr:from>
      <xdr:col>12</xdr:col>
      <xdr:colOff>431240</xdr:colOff>
      <xdr:row>62</xdr:row>
      <xdr:rowOff>1495</xdr:rowOff>
    </xdr:from>
    <xdr:to>
      <xdr:col>16</xdr:col>
      <xdr:colOff>142251</xdr:colOff>
      <xdr:row>65</xdr:row>
      <xdr:rowOff>161833</xdr:rowOff>
    </xdr:to>
    <xdr:pic>
      <xdr:nvPicPr>
        <xdr:cNvPr id="35" name="Image 34">
          <a:extLst>
            <a:ext uri="{FF2B5EF4-FFF2-40B4-BE49-F238E27FC236}">
              <a16:creationId xmlns:a16="http://schemas.microsoft.com/office/drawing/2014/main" id="{BAFF1B5F-3C56-5942-5D95-A0EC4DC5D362}"/>
            </a:ext>
          </a:extLst>
        </xdr:cNvPr>
        <xdr:cNvPicPr>
          <a:picLocks noChangeAspect="1"/>
        </xdr:cNvPicPr>
      </xdr:nvPicPr>
      <xdr:blipFill>
        <a:blip xmlns:r="http://schemas.openxmlformats.org/officeDocument/2006/relationships" r:embed="rId7"/>
        <a:stretch>
          <a:fillRect/>
        </a:stretch>
      </xdr:blipFill>
      <xdr:spPr>
        <a:xfrm>
          <a:off x="14890190" y="9402670"/>
          <a:ext cx="2762186" cy="715964"/>
        </a:xfrm>
        <a:prstGeom prst="rect">
          <a:avLst/>
        </a:prstGeom>
        <a:ln>
          <a:solidFill>
            <a:schemeClr val="accent3"/>
          </a:solidFill>
        </a:ln>
      </xdr:spPr>
    </xdr:pic>
    <xdr:clientData/>
  </xdr:twoCellAnchor>
  <xdr:twoCellAnchor editAs="oneCell">
    <xdr:from>
      <xdr:col>34</xdr:col>
      <xdr:colOff>699015</xdr:colOff>
      <xdr:row>44</xdr:row>
      <xdr:rowOff>12700</xdr:rowOff>
    </xdr:from>
    <xdr:to>
      <xdr:col>38</xdr:col>
      <xdr:colOff>541009</xdr:colOff>
      <xdr:row>48</xdr:row>
      <xdr:rowOff>1257</xdr:rowOff>
    </xdr:to>
    <xdr:pic>
      <xdr:nvPicPr>
        <xdr:cNvPr id="37" name="Image 36">
          <a:extLst>
            <a:ext uri="{FF2B5EF4-FFF2-40B4-BE49-F238E27FC236}">
              <a16:creationId xmlns:a16="http://schemas.microsoft.com/office/drawing/2014/main" id="{A9984096-981C-BDD5-037F-F7A2B900AD3B}"/>
            </a:ext>
          </a:extLst>
        </xdr:cNvPr>
        <xdr:cNvPicPr>
          <a:picLocks noChangeAspect="1"/>
        </xdr:cNvPicPr>
      </xdr:nvPicPr>
      <xdr:blipFill>
        <a:blip xmlns:r="http://schemas.openxmlformats.org/officeDocument/2006/relationships" r:embed="rId12"/>
        <a:stretch>
          <a:fillRect/>
        </a:stretch>
      </xdr:blipFill>
      <xdr:spPr>
        <a:xfrm>
          <a:off x="31915615" y="9175750"/>
          <a:ext cx="2896344" cy="877557"/>
        </a:xfrm>
        <a:prstGeom prst="rect">
          <a:avLst/>
        </a:prstGeom>
        <a:ln>
          <a:solidFill>
            <a:schemeClr val="accent4"/>
          </a:solidFill>
        </a:ln>
      </xdr:spPr>
    </xdr:pic>
    <xdr:clientData/>
  </xdr:twoCellAnchor>
  <xdr:twoCellAnchor editAs="oneCell">
    <xdr:from>
      <xdr:col>22</xdr:col>
      <xdr:colOff>192741</xdr:colOff>
      <xdr:row>21</xdr:row>
      <xdr:rowOff>116577</xdr:rowOff>
    </xdr:from>
    <xdr:to>
      <xdr:col>27</xdr:col>
      <xdr:colOff>581212</xdr:colOff>
      <xdr:row>24</xdr:row>
      <xdr:rowOff>46312</xdr:rowOff>
    </xdr:to>
    <xdr:pic>
      <xdr:nvPicPr>
        <xdr:cNvPr id="38" name="Image 37">
          <a:extLst>
            <a:ext uri="{FF2B5EF4-FFF2-40B4-BE49-F238E27FC236}">
              <a16:creationId xmlns:a16="http://schemas.microsoft.com/office/drawing/2014/main" id="{76E47B50-AF73-0B50-5596-5361814CFE77}"/>
            </a:ext>
          </a:extLst>
        </xdr:cNvPr>
        <xdr:cNvPicPr>
          <a:picLocks noChangeAspect="1"/>
        </xdr:cNvPicPr>
      </xdr:nvPicPr>
      <xdr:blipFill>
        <a:blip xmlns:r="http://schemas.openxmlformats.org/officeDocument/2006/relationships" r:embed="rId13"/>
        <a:stretch>
          <a:fillRect/>
        </a:stretch>
      </xdr:blipFill>
      <xdr:spPr>
        <a:xfrm>
          <a:off x="22265341" y="4275827"/>
          <a:ext cx="4198471" cy="501235"/>
        </a:xfrm>
        <a:prstGeom prst="rect">
          <a:avLst/>
        </a:prstGeom>
        <a:ln>
          <a:solidFill>
            <a:schemeClr val="accent4"/>
          </a:solidFill>
        </a:ln>
      </xdr:spPr>
    </xdr:pic>
    <xdr:clientData/>
  </xdr:twoCellAnchor>
  <xdr:twoCellAnchor editAs="oneCell">
    <xdr:from>
      <xdr:col>32</xdr:col>
      <xdr:colOff>188258</xdr:colOff>
      <xdr:row>51</xdr:row>
      <xdr:rowOff>156981</xdr:rowOff>
    </xdr:from>
    <xdr:to>
      <xdr:col>36</xdr:col>
      <xdr:colOff>751039</xdr:colOff>
      <xdr:row>54</xdr:row>
      <xdr:rowOff>202535</xdr:rowOff>
    </xdr:to>
    <xdr:pic>
      <xdr:nvPicPr>
        <xdr:cNvPr id="39" name="Image 38">
          <a:extLst>
            <a:ext uri="{FF2B5EF4-FFF2-40B4-BE49-F238E27FC236}">
              <a16:creationId xmlns:a16="http://schemas.microsoft.com/office/drawing/2014/main" id="{303BC18A-3403-F909-724D-872E30DCB502}"/>
            </a:ext>
          </a:extLst>
        </xdr:cNvPr>
        <xdr:cNvPicPr>
          <a:picLocks noChangeAspect="1"/>
        </xdr:cNvPicPr>
      </xdr:nvPicPr>
      <xdr:blipFill>
        <a:blip xmlns:r="http://schemas.openxmlformats.org/officeDocument/2006/relationships" r:embed="rId5"/>
        <a:stretch>
          <a:fillRect/>
        </a:stretch>
      </xdr:blipFill>
      <xdr:spPr>
        <a:xfrm>
          <a:off x="29992941" y="10639521"/>
          <a:ext cx="3626908" cy="714521"/>
        </a:xfrm>
        <a:prstGeom prst="rect">
          <a:avLst/>
        </a:prstGeom>
        <a:ln>
          <a:solidFill>
            <a:schemeClr val="accent4"/>
          </a:solidFill>
        </a:ln>
      </xdr:spPr>
    </xdr:pic>
    <xdr:clientData/>
  </xdr:twoCellAnchor>
  <xdr:twoCellAnchor editAs="oneCell">
    <xdr:from>
      <xdr:col>32</xdr:col>
      <xdr:colOff>203905</xdr:colOff>
      <xdr:row>56</xdr:row>
      <xdr:rowOff>25682</xdr:rowOff>
    </xdr:from>
    <xdr:to>
      <xdr:col>36</xdr:col>
      <xdr:colOff>541468</xdr:colOff>
      <xdr:row>59</xdr:row>
      <xdr:rowOff>78676</xdr:rowOff>
    </xdr:to>
    <xdr:pic>
      <xdr:nvPicPr>
        <xdr:cNvPr id="40" name="Image 39">
          <a:extLst>
            <a:ext uri="{FF2B5EF4-FFF2-40B4-BE49-F238E27FC236}">
              <a16:creationId xmlns:a16="http://schemas.microsoft.com/office/drawing/2014/main" id="{589B40A3-5977-ABFC-EEB9-27C26848AAE9}"/>
            </a:ext>
          </a:extLst>
        </xdr:cNvPr>
        <xdr:cNvPicPr>
          <a:picLocks noChangeAspect="1"/>
        </xdr:cNvPicPr>
      </xdr:nvPicPr>
      <xdr:blipFill>
        <a:blip xmlns:r="http://schemas.openxmlformats.org/officeDocument/2006/relationships" r:embed="rId11"/>
        <a:stretch>
          <a:fillRect/>
        </a:stretch>
      </xdr:blipFill>
      <xdr:spPr>
        <a:xfrm>
          <a:off x="30008588" y="11637111"/>
          <a:ext cx="3408040" cy="647676"/>
        </a:xfrm>
        <a:prstGeom prst="rect">
          <a:avLst/>
        </a:prstGeom>
        <a:ln>
          <a:solidFill>
            <a:schemeClr val="accent4"/>
          </a:solidFill>
        </a:ln>
      </xdr:spPr>
    </xdr:pic>
    <xdr:clientData/>
  </xdr:twoCellAnchor>
  <xdr:twoCellAnchor editAs="oneCell">
    <xdr:from>
      <xdr:col>16</xdr:col>
      <xdr:colOff>359149</xdr:colOff>
      <xdr:row>61</xdr:row>
      <xdr:rowOff>180416</xdr:rowOff>
    </xdr:from>
    <xdr:to>
      <xdr:col>20</xdr:col>
      <xdr:colOff>76510</xdr:colOff>
      <xdr:row>65</xdr:row>
      <xdr:rowOff>153430</xdr:rowOff>
    </xdr:to>
    <xdr:pic>
      <xdr:nvPicPr>
        <xdr:cNvPr id="41" name="Image 40">
          <a:extLst>
            <a:ext uri="{FF2B5EF4-FFF2-40B4-BE49-F238E27FC236}">
              <a16:creationId xmlns:a16="http://schemas.microsoft.com/office/drawing/2014/main" id="{2AE40AFF-2547-D2A9-A3C7-01BF5A0C64E1}"/>
            </a:ext>
          </a:extLst>
        </xdr:cNvPr>
        <xdr:cNvPicPr>
          <a:picLocks noChangeAspect="1"/>
        </xdr:cNvPicPr>
      </xdr:nvPicPr>
      <xdr:blipFill>
        <a:blip xmlns:r="http://schemas.openxmlformats.org/officeDocument/2006/relationships" r:embed="rId7"/>
        <a:stretch>
          <a:fillRect/>
        </a:stretch>
      </xdr:blipFill>
      <xdr:spPr>
        <a:xfrm>
          <a:off x="17866099" y="9391091"/>
          <a:ext cx="2765361" cy="715964"/>
        </a:xfrm>
        <a:prstGeom prst="rect">
          <a:avLst/>
        </a:prstGeom>
        <a:ln>
          <a:solidFill>
            <a:schemeClr val="accent4"/>
          </a:solidFill>
        </a:ln>
      </xdr:spPr>
    </xdr:pic>
    <xdr:clientData/>
  </xdr:twoCellAnchor>
  <xdr:twoCellAnchor editAs="oneCell">
    <xdr:from>
      <xdr:col>21</xdr:col>
      <xdr:colOff>134577</xdr:colOff>
      <xdr:row>72</xdr:row>
      <xdr:rowOff>67675</xdr:rowOff>
    </xdr:from>
    <xdr:to>
      <xdr:col>26</xdr:col>
      <xdr:colOff>298346</xdr:colOff>
      <xdr:row>78</xdr:row>
      <xdr:rowOff>16104</xdr:rowOff>
    </xdr:to>
    <xdr:pic>
      <xdr:nvPicPr>
        <xdr:cNvPr id="42" name="Image 41">
          <a:extLst>
            <a:ext uri="{FF2B5EF4-FFF2-40B4-BE49-F238E27FC236}">
              <a16:creationId xmlns:a16="http://schemas.microsoft.com/office/drawing/2014/main" id="{798F9D18-18AF-63E1-C6A7-5A86814002CE}"/>
            </a:ext>
          </a:extLst>
        </xdr:cNvPr>
        <xdr:cNvPicPr>
          <a:picLocks noChangeAspect="1"/>
        </xdr:cNvPicPr>
      </xdr:nvPicPr>
      <xdr:blipFill>
        <a:blip xmlns:r="http://schemas.openxmlformats.org/officeDocument/2006/relationships" r:embed="rId14"/>
        <a:stretch>
          <a:fillRect/>
        </a:stretch>
      </xdr:blipFill>
      <xdr:spPr>
        <a:xfrm>
          <a:off x="21416698" y="14711160"/>
          <a:ext cx="3957798" cy="1240750"/>
        </a:xfrm>
        <a:prstGeom prst="rect">
          <a:avLst/>
        </a:prstGeom>
        <a:ln>
          <a:solidFill>
            <a:schemeClr val="accent4"/>
          </a:solidFill>
        </a:ln>
      </xdr:spPr>
    </xdr:pic>
    <xdr:clientData/>
  </xdr:twoCellAnchor>
  <xdr:twoCellAnchor editAs="oneCell">
    <xdr:from>
      <xdr:col>38</xdr:col>
      <xdr:colOff>589836</xdr:colOff>
      <xdr:row>44</xdr:row>
      <xdr:rowOff>7399</xdr:rowOff>
    </xdr:from>
    <xdr:to>
      <xdr:col>42</xdr:col>
      <xdr:colOff>181942</xdr:colOff>
      <xdr:row>47</xdr:row>
      <xdr:rowOff>125443</xdr:rowOff>
    </xdr:to>
    <xdr:pic>
      <xdr:nvPicPr>
        <xdr:cNvPr id="43" name="Image 42">
          <a:extLst>
            <a:ext uri="{FF2B5EF4-FFF2-40B4-BE49-F238E27FC236}">
              <a16:creationId xmlns:a16="http://schemas.microsoft.com/office/drawing/2014/main" id="{C40095B9-2169-72F4-DBC2-FEDBB115F1F2}"/>
            </a:ext>
          </a:extLst>
        </xdr:cNvPr>
        <xdr:cNvPicPr>
          <a:picLocks noChangeAspect="1"/>
        </xdr:cNvPicPr>
      </xdr:nvPicPr>
      <xdr:blipFill>
        <a:blip xmlns:r="http://schemas.openxmlformats.org/officeDocument/2006/relationships" r:embed="rId15"/>
        <a:stretch>
          <a:fillRect/>
        </a:stretch>
      </xdr:blipFill>
      <xdr:spPr>
        <a:xfrm>
          <a:off x="34854436" y="9170449"/>
          <a:ext cx="2633756" cy="784794"/>
        </a:xfrm>
        <a:prstGeom prst="rect">
          <a:avLst/>
        </a:prstGeom>
        <a:ln>
          <a:solidFill>
            <a:schemeClr val="accent2"/>
          </a:solidFill>
        </a:ln>
      </xdr:spPr>
    </xdr:pic>
    <xdr:clientData/>
  </xdr:twoCellAnchor>
  <xdr:twoCellAnchor editAs="oneCell">
    <xdr:from>
      <xdr:col>37</xdr:col>
      <xdr:colOff>119228</xdr:colOff>
      <xdr:row>51</xdr:row>
      <xdr:rowOff>201602</xdr:rowOff>
    </xdr:from>
    <xdr:to>
      <xdr:col>40</xdr:col>
      <xdr:colOff>525569</xdr:colOff>
      <xdr:row>54</xdr:row>
      <xdr:rowOff>187796</xdr:rowOff>
    </xdr:to>
    <xdr:pic>
      <xdr:nvPicPr>
        <xdr:cNvPr id="44" name="Image 43">
          <a:extLst>
            <a:ext uri="{FF2B5EF4-FFF2-40B4-BE49-F238E27FC236}">
              <a16:creationId xmlns:a16="http://schemas.microsoft.com/office/drawing/2014/main" id="{97D8363C-161E-C760-7E15-8D9B7655A0B4}"/>
            </a:ext>
          </a:extLst>
        </xdr:cNvPr>
        <xdr:cNvPicPr>
          <a:picLocks noChangeAspect="1"/>
        </xdr:cNvPicPr>
      </xdr:nvPicPr>
      <xdr:blipFill>
        <a:blip xmlns:r="http://schemas.openxmlformats.org/officeDocument/2006/relationships" r:embed="rId16"/>
        <a:stretch>
          <a:fillRect/>
        </a:stretch>
      </xdr:blipFill>
      <xdr:spPr>
        <a:xfrm>
          <a:off x="33754069" y="10684142"/>
          <a:ext cx="2698087" cy="661511"/>
        </a:xfrm>
        <a:prstGeom prst="rect">
          <a:avLst/>
        </a:prstGeom>
        <a:ln>
          <a:solidFill>
            <a:schemeClr val="accent2"/>
          </a:solidFill>
        </a:ln>
      </xdr:spPr>
    </xdr:pic>
    <xdr:clientData/>
  </xdr:twoCellAnchor>
  <xdr:twoCellAnchor editAs="oneCell">
    <xdr:from>
      <xdr:col>37</xdr:col>
      <xdr:colOff>41829</xdr:colOff>
      <xdr:row>56</xdr:row>
      <xdr:rowOff>26358</xdr:rowOff>
    </xdr:from>
    <xdr:to>
      <xdr:col>41</xdr:col>
      <xdr:colOff>511401</xdr:colOff>
      <xdr:row>59</xdr:row>
      <xdr:rowOff>104017</xdr:rowOff>
    </xdr:to>
    <xdr:pic>
      <xdr:nvPicPr>
        <xdr:cNvPr id="45" name="Image 44">
          <a:extLst>
            <a:ext uri="{FF2B5EF4-FFF2-40B4-BE49-F238E27FC236}">
              <a16:creationId xmlns:a16="http://schemas.microsoft.com/office/drawing/2014/main" id="{A709E0C3-4A74-4D6C-A0B4-6CF6E5981894}"/>
            </a:ext>
          </a:extLst>
        </xdr:cNvPr>
        <xdr:cNvPicPr>
          <a:picLocks noChangeAspect="1"/>
        </xdr:cNvPicPr>
      </xdr:nvPicPr>
      <xdr:blipFill>
        <a:blip xmlns:r="http://schemas.openxmlformats.org/officeDocument/2006/relationships" r:embed="rId6"/>
        <a:stretch>
          <a:fillRect/>
        </a:stretch>
      </xdr:blipFill>
      <xdr:spPr>
        <a:xfrm>
          <a:off x="33676670" y="11637787"/>
          <a:ext cx="3533699" cy="672341"/>
        </a:xfrm>
        <a:prstGeom prst="rect">
          <a:avLst/>
        </a:prstGeom>
        <a:ln>
          <a:solidFill>
            <a:schemeClr val="accent2"/>
          </a:solidFill>
        </a:ln>
      </xdr:spPr>
    </xdr:pic>
    <xdr:clientData/>
  </xdr:twoCellAnchor>
  <xdr:twoCellAnchor editAs="oneCell">
    <xdr:from>
      <xdr:col>20</xdr:col>
      <xdr:colOff>273424</xdr:colOff>
      <xdr:row>61</xdr:row>
      <xdr:rowOff>155016</xdr:rowOff>
    </xdr:from>
    <xdr:to>
      <xdr:col>23</xdr:col>
      <xdr:colOff>749610</xdr:colOff>
      <xdr:row>65</xdr:row>
      <xdr:rowOff>121680</xdr:rowOff>
    </xdr:to>
    <xdr:pic>
      <xdr:nvPicPr>
        <xdr:cNvPr id="46" name="Image 45">
          <a:extLst>
            <a:ext uri="{FF2B5EF4-FFF2-40B4-BE49-F238E27FC236}">
              <a16:creationId xmlns:a16="http://schemas.microsoft.com/office/drawing/2014/main" id="{2B0D0B36-D667-6F24-F343-E3519F497555}"/>
            </a:ext>
          </a:extLst>
        </xdr:cNvPr>
        <xdr:cNvPicPr>
          <a:picLocks noChangeAspect="1"/>
        </xdr:cNvPicPr>
      </xdr:nvPicPr>
      <xdr:blipFill>
        <a:blip xmlns:r="http://schemas.openxmlformats.org/officeDocument/2006/relationships" r:embed="rId7"/>
        <a:stretch>
          <a:fillRect/>
        </a:stretch>
      </xdr:blipFill>
      <xdr:spPr>
        <a:xfrm>
          <a:off x="20828374" y="9365691"/>
          <a:ext cx="2765361" cy="712789"/>
        </a:xfrm>
        <a:prstGeom prst="rect">
          <a:avLst/>
        </a:prstGeom>
        <a:ln>
          <a:solidFill>
            <a:schemeClr val="accent2"/>
          </a:solidFill>
        </a:ln>
      </xdr:spPr>
    </xdr:pic>
    <xdr:clientData/>
  </xdr:twoCellAnchor>
  <xdr:twoCellAnchor>
    <xdr:from>
      <xdr:col>14</xdr:col>
      <xdr:colOff>502811</xdr:colOff>
      <xdr:row>1</xdr:row>
      <xdr:rowOff>21105</xdr:rowOff>
    </xdr:from>
    <xdr:to>
      <xdr:col>17</xdr:col>
      <xdr:colOff>738841</xdr:colOff>
      <xdr:row>24</xdr:row>
      <xdr:rowOff>151570</xdr:rowOff>
    </xdr:to>
    <xdr:grpSp>
      <xdr:nvGrpSpPr>
        <xdr:cNvPr id="4" name="Groupe 3">
          <a:extLst>
            <a:ext uri="{FF2B5EF4-FFF2-40B4-BE49-F238E27FC236}">
              <a16:creationId xmlns:a16="http://schemas.microsoft.com/office/drawing/2014/main" id="{F6001245-191A-F793-4E1F-01C42EC66FE9}"/>
            </a:ext>
          </a:extLst>
        </xdr:cNvPr>
        <xdr:cNvGrpSpPr/>
      </xdr:nvGrpSpPr>
      <xdr:grpSpPr>
        <a:xfrm>
          <a:off x="16911398" y="207870"/>
          <a:ext cx="2584502" cy="5195524"/>
          <a:chOff x="13666107" y="1524000"/>
          <a:chExt cx="8423543" cy="16566996"/>
        </a:xfrm>
      </xdr:grpSpPr>
      <xdr:pic>
        <xdr:nvPicPr>
          <xdr:cNvPr id="2" name="Image 1">
            <a:extLst>
              <a:ext uri="{FF2B5EF4-FFF2-40B4-BE49-F238E27FC236}">
                <a16:creationId xmlns:a16="http://schemas.microsoft.com/office/drawing/2014/main" id="{4B888B66-5D6B-9026-144B-50F3677FDF01}"/>
              </a:ext>
            </a:extLst>
          </xdr:cNvPr>
          <xdr:cNvPicPr>
            <a:picLocks noChangeAspect="1"/>
          </xdr:cNvPicPr>
        </xdr:nvPicPr>
        <xdr:blipFill>
          <a:blip xmlns:r="http://schemas.openxmlformats.org/officeDocument/2006/relationships" r:embed="rId17"/>
          <a:stretch>
            <a:fillRect/>
          </a:stretch>
        </xdr:blipFill>
        <xdr:spPr>
          <a:xfrm>
            <a:off x="13668375" y="1524000"/>
            <a:ext cx="8421275" cy="8045654"/>
          </a:xfrm>
          <a:prstGeom prst="rect">
            <a:avLst/>
          </a:prstGeom>
        </xdr:spPr>
      </xdr:pic>
      <xdr:pic>
        <xdr:nvPicPr>
          <xdr:cNvPr id="3" name="Image 2">
            <a:extLst>
              <a:ext uri="{FF2B5EF4-FFF2-40B4-BE49-F238E27FC236}">
                <a16:creationId xmlns:a16="http://schemas.microsoft.com/office/drawing/2014/main" id="{944A297A-DC36-C20B-699A-63573736DFA4}"/>
              </a:ext>
            </a:extLst>
          </xdr:cNvPr>
          <xdr:cNvPicPr>
            <a:picLocks noChangeAspect="1"/>
          </xdr:cNvPicPr>
        </xdr:nvPicPr>
        <xdr:blipFill>
          <a:blip xmlns:r="http://schemas.openxmlformats.org/officeDocument/2006/relationships" r:embed="rId18"/>
          <a:stretch>
            <a:fillRect/>
          </a:stretch>
        </xdr:blipFill>
        <xdr:spPr>
          <a:xfrm>
            <a:off x="13666107" y="9441089"/>
            <a:ext cx="8354591" cy="8649907"/>
          </a:xfrm>
          <a:prstGeom prst="rect">
            <a:avLst/>
          </a:prstGeom>
        </xdr:spPr>
      </xdr:pic>
    </xdr:grpSp>
    <xdr:clientData/>
  </xdr:twoCellAnchor>
  <xdr:twoCellAnchor editAs="oneCell">
    <xdr:from>
      <xdr:col>18</xdr:col>
      <xdr:colOff>67580</xdr:colOff>
      <xdr:row>73</xdr:row>
      <xdr:rowOff>67055</xdr:rowOff>
    </xdr:from>
    <xdr:to>
      <xdr:col>22</xdr:col>
      <xdr:colOff>143522</xdr:colOff>
      <xdr:row>78</xdr:row>
      <xdr:rowOff>60779</xdr:rowOff>
    </xdr:to>
    <xdr:pic>
      <xdr:nvPicPr>
        <xdr:cNvPr id="5" name="Image 4">
          <a:extLst>
            <a:ext uri="{FF2B5EF4-FFF2-40B4-BE49-F238E27FC236}">
              <a16:creationId xmlns:a16="http://schemas.microsoft.com/office/drawing/2014/main" id="{465E2BC4-10AF-420E-B2C4-47FEEBF8B043}"/>
            </a:ext>
          </a:extLst>
        </xdr:cNvPr>
        <xdr:cNvPicPr>
          <a:picLocks noChangeAspect="1"/>
        </xdr:cNvPicPr>
      </xdr:nvPicPr>
      <xdr:blipFill>
        <a:blip xmlns:r="http://schemas.openxmlformats.org/officeDocument/2006/relationships" r:embed="rId19"/>
        <a:stretch>
          <a:fillRect/>
        </a:stretch>
      </xdr:blipFill>
      <xdr:spPr>
        <a:xfrm>
          <a:off x="19092180" y="12278105"/>
          <a:ext cx="3123942" cy="1028774"/>
        </a:xfrm>
        <a:prstGeom prst="rect">
          <a:avLst/>
        </a:prstGeom>
        <a:ln>
          <a:solidFill>
            <a:schemeClr val="accent3"/>
          </a:solidFill>
        </a:ln>
      </xdr:spPr>
    </xdr:pic>
    <xdr:clientData/>
  </xdr:twoCellAnchor>
  <xdr:twoCellAnchor editAs="oneCell">
    <xdr:from>
      <xdr:col>9</xdr:col>
      <xdr:colOff>476250</xdr:colOff>
      <xdr:row>74</xdr:row>
      <xdr:rowOff>19050</xdr:rowOff>
    </xdr:from>
    <xdr:to>
      <xdr:col>11</xdr:col>
      <xdr:colOff>638410</xdr:colOff>
      <xdr:row>76</xdr:row>
      <xdr:rowOff>38</xdr:rowOff>
    </xdr:to>
    <xdr:pic>
      <xdr:nvPicPr>
        <xdr:cNvPr id="6" name="Image 5">
          <a:extLst>
            <a:ext uri="{FF2B5EF4-FFF2-40B4-BE49-F238E27FC236}">
              <a16:creationId xmlns:a16="http://schemas.microsoft.com/office/drawing/2014/main" id="{0D72BD98-A8C9-490E-AD63-2858D3375C66}"/>
            </a:ext>
          </a:extLst>
        </xdr:cNvPr>
        <xdr:cNvPicPr>
          <a:picLocks noChangeAspect="1"/>
        </xdr:cNvPicPr>
      </xdr:nvPicPr>
      <xdr:blipFill>
        <a:blip xmlns:r="http://schemas.openxmlformats.org/officeDocument/2006/relationships" r:embed="rId20"/>
        <a:stretch>
          <a:fillRect/>
        </a:stretch>
      </xdr:blipFill>
      <xdr:spPr>
        <a:xfrm>
          <a:off x="12642850" y="12420600"/>
          <a:ext cx="1686160" cy="279438"/>
        </a:xfrm>
        <a:prstGeom prst="rect">
          <a:avLst/>
        </a:prstGeom>
        <a:ln>
          <a:solidFill>
            <a:schemeClr val="accent1"/>
          </a:solidFill>
        </a:ln>
      </xdr:spPr>
    </xdr:pic>
    <xdr:clientData/>
  </xdr:twoCellAnchor>
  <xdr:twoCellAnchor editAs="oneCell">
    <xdr:from>
      <xdr:col>13</xdr:col>
      <xdr:colOff>529318</xdr:colOff>
      <xdr:row>73</xdr:row>
      <xdr:rowOff>182789</xdr:rowOff>
    </xdr:from>
    <xdr:to>
      <xdr:col>15</xdr:col>
      <xdr:colOff>417286</xdr:colOff>
      <xdr:row>75</xdr:row>
      <xdr:rowOff>53308</xdr:rowOff>
    </xdr:to>
    <xdr:pic>
      <xdr:nvPicPr>
        <xdr:cNvPr id="8" name="Image 7">
          <a:extLst>
            <a:ext uri="{FF2B5EF4-FFF2-40B4-BE49-F238E27FC236}">
              <a16:creationId xmlns:a16="http://schemas.microsoft.com/office/drawing/2014/main" id="{08305F07-ECB8-428E-BF96-FD1C54704FAB}"/>
            </a:ext>
          </a:extLst>
        </xdr:cNvPr>
        <xdr:cNvPicPr>
          <a:picLocks noChangeAspect="1"/>
        </xdr:cNvPicPr>
      </xdr:nvPicPr>
      <xdr:blipFill>
        <a:blip xmlns:r="http://schemas.openxmlformats.org/officeDocument/2006/relationships" r:embed="rId21"/>
        <a:stretch>
          <a:fillRect/>
        </a:stretch>
      </xdr:blipFill>
      <xdr:spPr>
        <a:xfrm>
          <a:off x="15743918" y="15524389"/>
          <a:ext cx="1411968" cy="251519"/>
        </a:xfrm>
        <a:prstGeom prst="rect">
          <a:avLst/>
        </a:prstGeom>
        <a:ln>
          <a:solidFill>
            <a:schemeClr val="accent4"/>
          </a:solidFill>
        </a:ln>
      </xdr:spPr>
    </xdr:pic>
    <xdr:clientData/>
  </xdr:twoCellAnchor>
  <xdr:twoCellAnchor editAs="oneCell">
    <xdr:from>
      <xdr:col>13</xdr:col>
      <xdr:colOff>615043</xdr:colOff>
      <xdr:row>75</xdr:row>
      <xdr:rowOff>86179</xdr:rowOff>
    </xdr:from>
    <xdr:to>
      <xdr:col>15</xdr:col>
      <xdr:colOff>496661</xdr:colOff>
      <xdr:row>76</xdr:row>
      <xdr:rowOff>85967</xdr:rowOff>
    </xdr:to>
    <xdr:pic>
      <xdr:nvPicPr>
        <xdr:cNvPr id="9" name="Image 8">
          <a:extLst>
            <a:ext uri="{FF2B5EF4-FFF2-40B4-BE49-F238E27FC236}">
              <a16:creationId xmlns:a16="http://schemas.microsoft.com/office/drawing/2014/main" id="{7591CFAD-701A-4CD6-B595-7C992A4FF6D5}"/>
            </a:ext>
          </a:extLst>
        </xdr:cNvPr>
        <xdr:cNvPicPr>
          <a:picLocks noChangeAspect="1"/>
        </xdr:cNvPicPr>
      </xdr:nvPicPr>
      <xdr:blipFill>
        <a:blip xmlns:r="http://schemas.openxmlformats.org/officeDocument/2006/relationships" r:embed="rId21"/>
        <a:stretch>
          <a:fillRect/>
        </a:stretch>
      </xdr:blipFill>
      <xdr:spPr>
        <a:xfrm>
          <a:off x="15829643" y="15808779"/>
          <a:ext cx="1405618" cy="183938"/>
        </a:xfrm>
        <a:prstGeom prst="rect">
          <a:avLst/>
        </a:prstGeom>
        <a:ln>
          <a:solidFill>
            <a:schemeClr val="accent2"/>
          </a:solidFill>
        </a:ln>
      </xdr:spPr>
    </xdr:pic>
    <xdr:clientData/>
  </xdr:twoCellAnchor>
  <xdr:twoCellAnchor editAs="oneCell">
    <xdr:from>
      <xdr:col>10</xdr:col>
      <xdr:colOff>704851</xdr:colOff>
      <xdr:row>76</xdr:row>
      <xdr:rowOff>194425</xdr:rowOff>
    </xdr:from>
    <xdr:to>
      <xdr:col>15</xdr:col>
      <xdr:colOff>196850</xdr:colOff>
      <xdr:row>79</xdr:row>
      <xdr:rowOff>44777</xdr:rowOff>
    </xdr:to>
    <xdr:pic>
      <xdr:nvPicPr>
        <xdr:cNvPr id="10" name="Image 9">
          <a:extLst>
            <a:ext uri="{FF2B5EF4-FFF2-40B4-BE49-F238E27FC236}">
              <a16:creationId xmlns:a16="http://schemas.microsoft.com/office/drawing/2014/main" id="{69F34403-9840-5989-2F68-260304AC3B0C}"/>
            </a:ext>
          </a:extLst>
        </xdr:cNvPr>
        <xdr:cNvPicPr>
          <a:picLocks noChangeAspect="1"/>
        </xdr:cNvPicPr>
      </xdr:nvPicPr>
      <xdr:blipFill>
        <a:blip xmlns:r="http://schemas.openxmlformats.org/officeDocument/2006/relationships" r:embed="rId22"/>
        <a:stretch>
          <a:fillRect/>
        </a:stretch>
      </xdr:blipFill>
      <xdr:spPr>
        <a:xfrm>
          <a:off x="13633451" y="16101175"/>
          <a:ext cx="3301999" cy="586952"/>
        </a:xfrm>
        <a:prstGeom prst="rect">
          <a:avLst/>
        </a:prstGeom>
        <a:ln>
          <a:solidFill>
            <a:schemeClr val="accent3"/>
          </a:solidFill>
        </a:ln>
      </xdr:spPr>
    </xdr:pic>
    <xdr:clientData/>
  </xdr:twoCellAnchor>
  <xdr:twoCellAnchor editAs="oneCell">
    <xdr:from>
      <xdr:col>9</xdr:col>
      <xdr:colOff>263877</xdr:colOff>
      <xdr:row>81</xdr:row>
      <xdr:rowOff>139668</xdr:rowOff>
    </xdr:from>
    <xdr:to>
      <xdr:col>12</xdr:col>
      <xdr:colOff>629479</xdr:colOff>
      <xdr:row>87</xdr:row>
      <xdr:rowOff>8506</xdr:rowOff>
    </xdr:to>
    <xdr:pic>
      <xdr:nvPicPr>
        <xdr:cNvPr id="16" name="Image 15">
          <a:extLst>
            <a:ext uri="{FF2B5EF4-FFF2-40B4-BE49-F238E27FC236}">
              <a16:creationId xmlns:a16="http://schemas.microsoft.com/office/drawing/2014/main" id="{C057648A-4BA3-AA1E-E6A5-0EF52E44D249}"/>
            </a:ext>
          </a:extLst>
        </xdr:cNvPr>
        <xdr:cNvPicPr>
          <a:picLocks noChangeAspect="1"/>
        </xdr:cNvPicPr>
      </xdr:nvPicPr>
      <xdr:blipFill>
        <a:blip xmlns:r="http://schemas.openxmlformats.org/officeDocument/2006/relationships" r:embed="rId23"/>
        <a:stretch>
          <a:fillRect/>
        </a:stretch>
      </xdr:blipFill>
      <xdr:spPr>
        <a:xfrm>
          <a:off x="12428268" y="17085885"/>
          <a:ext cx="2651602" cy="968493"/>
        </a:xfrm>
        <a:prstGeom prst="rect">
          <a:avLst/>
        </a:prstGeom>
        <a:ln>
          <a:solidFill>
            <a:schemeClr val="accent1"/>
          </a:solidFill>
        </a:ln>
      </xdr:spPr>
    </xdr:pic>
    <xdr:clientData/>
  </xdr:twoCellAnchor>
  <xdr:twoCellAnchor editAs="oneCell">
    <xdr:from>
      <xdr:col>12</xdr:col>
      <xdr:colOff>748129</xdr:colOff>
      <xdr:row>83</xdr:row>
      <xdr:rowOff>21484</xdr:rowOff>
    </xdr:from>
    <xdr:to>
      <xdr:col>16</xdr:col>
      <xdr:colOff>742950</xdr:colOff>
      <xdr:row>86</xdr:row>
      <xdr:rowOff>43849</xdr:rowOff>
    </xdr:to>
    <xdr:pic>
      <xdr:nvPicPr>
        <xdr:cNvPr id="17" name="Image 16">
          <a:extLst>
            <a:ext uri="{FF2B5EF4-FFF2-40B4-BE49-F238E27FC236}">
              <a16:creationId xmlns:a16="http://schemas.microsoft.com/office/drawing/2014/main" id="{C326A54A-299D-D3E0-FF9B-A02EE80936E4}"/>
            </a:ext>
          </a:extLst>
        </xdr:cNvPr>
        <xdr:cNvPicPr>
          <a:picLocks noChangeAspect="1"/>
        </xdr:cNvPicPr>
      </xdr:nvPicPr>
      <xdr:blipFill>
        <a:blip xmlns:r="http://schemas.openxmlformats.org/officeDocument/2006/relationships" r:embed="rId24"/>
        <a:stretch>
          <a:fillRect/>
        </a:stretch>
      </xdr:blipFill>
      <xdr:spPr>
        <a:xfrm>
          <a:off x="15200729" y="17414134"/>
          <a:ext cx="3042821" cy="574815"/>
        </a:xfrm>
        <a:prstGeom prst="rect">
          <a:avLst/>
        </a:prstGeom>
        <a:ln>
          <a:solidFill>
            <a:schemeClr val="accent3"/>
          </a:solidFill>
        </a:ln>
      </xdr:spPr>
    </xdr:pic>
    <xdr:clientData/>
  </xdr:twoCellAnchor>
  <xdr:twoCellAnchor editAs="oneCell">
    <xdr:from>
      <xdr:col>17</xdr:col>
      <xdr:colOff>135759</xdr:colOff>
      <xdr:row>82</xdr:row>
      <xdr:rowOff>180640</xdr:rowOff>
    </xdr:from>
    <xdr:to>
      <xdr:col>18</xdr:col>
      <xdr:colOff>676670</xdr:colOff>
      <xdr:row>85</xdr:row>
      <xdr:rowOff>97651</xdr:rowOff>
    </xdr:to>
    <xdr:pic>
      <xdr:nvPicPr>
        <xdr:cNvPr id="18" name="Image 17">
          <a:extLst>
            <a:ext uri="{FF2B5EF4-FFF2-40B4-BE49-F238E27FC236}">
              <a16:creationId xmlns:a16="http://schemas.microsoft.com/office/drawing/2014/main" id="{3A98E328-8102-9899-7655-E3CB39E2F9D3}"/>
            </a:ext>
          </a:extLst>
        </xdr:cNvPr>
        <xdr:cNvPicPr>
          <a:picLocks noChangeAspect="1"/>
        </xdr:cNvPicPr>
      </xdr:nvPicPr>
      <xdr:blipFill>
        <a:blip xmlns:r="http://schemas.openxmlformats.org/officeDocument/2006/relationships" r:embed="rId25"/>
        <a:stretch>
          <a:fillRect/>
        </a:stretch>
      </xdr:blipFill>
      <xdr:spPr>
        <a:xfrm>
          <a:off x="18398359" y="17389140"/>
          <a:ext cx="1302911" cy="4694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222250</xdr:colOff>
      <xdr:row>0</xdr:row>
      <xdr:rowOff>139700</xdr:rowOff>
    </xdr:from>
    <xdr:to>
      <xdr:col>10</xdr:col>
      <xdr:colOff>706148</xdr:colOff>
      <xdr:row>26</xdr:row>
      <xdr:rowOff>79197</xdr:rowOff>
    </xdr:to>
    <xdr:pic>
      <xdr:nvPicPr>
        <xdr:cNvPr id="5" name="Image 4">
          <a:extLst>
            <a:ext uri="{FF2B5EF4-FFF2-40B4-BE49-F238E27FC236}">
              <a16:creationId xmlns:a16="http://schemas.microsoft.com/office/drawing/2014/main" id="{838708E7-00CE-67AA-E719-77C87AADE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7050" y="139700"/>
          <a:ext cx="5055898" cy="472739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illaume MEUNIER" id="{53442655-9475-48FC-A7C4-559386D1ACAE}" userId="S::guillaume.meunier@ifpeb.fr::4d377e41-a081-4b5e-8528-21c76db29f9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5A5F0-5449-439D-BDA3-43F59F42E446}" name="zone" displayName="zone" ref="A1:D99" totalsRowShown="0" headerRowDxfId="143" dataDxfId="142">
  <autoFilter ref="A1:D99" xr:uid="{8AD5A5F0-5449-439D-BDA3-43F59F42E446}"/>
  <sortState xmlns:xlrd2="http://schemas.microsoft.com/office/spreadsheetml/2017/richdata2" ref="A2:D98">
    <sortCondition ref="C1:C98"/>
  </sortState>
  <tableColumns count="4">
    <tableColumn id="1" xr3:uid="{F4F56E03-7C8A-4D51-9213-D9A269CF6DB4}" name="Régions" dataDxfId="141"/>
    <tableColumn id="2" xr3:uid="{08216DE5-C0F9-44E6-B99C-A48E46DB912C}" name="numéro" dataDxfId="140"/>
    <tableColumn id="3" xr3:uid="{FB875F8B-0E78-4A52-A7F9-C94C736966B0}" name="département" dataDxfId="139"/>
    <tableColumn id="4" xr3:uid="{0485991A-84FA-4E31-926F-6E094B74052E}" name="Valeur" dataDxfId="138"/>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Slidehelper - 025">
      <a:dk1>
        <a:sysClr val="windowText" lastClr="000000"/>
      </a:dk1>
      <a:lt1>
        <a:sysClr val="window" lastClr="FFFFFF"/>
      </a:lt1>
      <a:dk2>
        <a:srgbClr val="323232"/>
      </a:dk2>
      <a:lt2>
        <a:srgbClr val="E3DED1"/>
      </a:lt2>
      <a:accent1>
        <a:srgbClr val="F6511D"/>
      </a:accent1>
      <a:accent2>
        <a:srgbClr val="FFB400"/>
      </a:accent2>
      <a:accent3>
        <a:srgbClr val="00A6ED"/>
      </a:accent3>
      <a:accent4>
        <a:srgbClr val="7FB800"/>
      </a:accent4>
      <a:accent5>
        <a:srgbClr val="0D2C54"/>
      </a:accent5>
      <a:accent6>
        <a:srgbClr val="BFBFBF"/>
      </a:accent6>
      <a:hlink>
        <a:srgbClr val="F6511D"/>
      </a:hlink>
      <a:folHlink>
        <a:srgbClr val="FFB4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 dT="2025-02-08T13:40:26.27" personId="{53442655-9475-48FC-A7C4-559386D1ACAE}" id="{8D1C90AD-CF3D-457C-8189-4BAF5D0B9B94}">
    <text>Scombles représente la surface de plancher des combles aménagés dont la hauteur sous plafond est inférieure à 1,8 mètres.</text>
  </threadedComment>
  <threadedComment ref="C13" dT="2025-02-08T13:41:32.90" personId="{53442655-9475-48FC-A7C4-559386D1ACAE}" id="{8BD0B9C4-0B55-48D0-BD83-25D12CBA3A55}">
    <text>La surface moyenne des logements du bâtiment ou de la partie de bâtiment, notée Smoylgt, est calculée de la manière suivante :
Smoylgt = Sref/ NL
avec NL représentant le nombre de logements du bâtiment ou de la partie de bâtiment et Sref étant la surface de référence.</text>
  </threadedComment>
  <threadedComment ref="C16" dT="2025-02-10T12:46:47.36" personId="{53442655-9475-48FC-A7C4-559386D1ACAE}" id="{913DBE6D-4418-47B0-B0B2-39EA67A6FFC9}">
    <text>𝐼𝑐𝑙𝑜𝑡1 représente l’impact sur le changement climatique du lot 1 du bâtiment ou de la partie de bâtiment. Le lot 1 intitulé « VRD – Voiries et réseaux divers » se composent des réseaux extérieurs jusqu’au domaine public (gaz, électricité, eau, télécommunication…), du stockage (système d’assainissement autonome, éléments pour le pompage d’eau) et des aires de stationnement extérieures.</text>
  </threadedComment>
  <threadedComment ref="C17" dT="2025-02-10T12:34:44.86" personId="{53442655-9475-48FC-A7C4-559386D1ACAE}" id="{0E1499E1-9076-4F23-8256-BB4620EFE136}">
    <text>Où 𝐼𝑐𝑙𝑜𝑡2 représente l’impact sur le changement climatique du lot 2 du bâtiment ou de la partie
de bâtiment. Le lot 2 intitulé « fondations et infrastructure » se compose des fondations, des
murs et structures enterrées et des parcs de stationnement en superstructure à l’exception des
garages des maisons individuelles ou accolées.</text>
  </threadedComment>
  <threadedComment ref="C18" dT="2025-02-10T12:50:26.52" personId="{53442655-9475-48FC-A7C4-559386D1ACAE}" id="{0CF281A2-E3C2-4F12-B35C-51875AE5025B}">
    <text>𝐼𝑐𝑙𝑜𝑡13 représente l’impact sur le changement climatique du lot 13 du bâtiment ou de la partie de bâtiment. Le lot 13 intitulé “Équipement de production locale d'électricité” se compose des installations associées au bâtiment, dédiées à la production d’électricité (panneaux, onduleurs, étanchéité, …).</text>
  </threadedComment>
  <threadedComment ref="C19" dT="2025-02-10T17:31:04.65" personId="{53442655-9475-48FC-A7C4-559386D1ACAE}" id="{C4EA2A1C-4683-49BE-8FE5-C733E7E0581D}">
    <text>Icded représente l’impact sur le changement climatique de l’ensemble des composants associés à des données environnementales par défaut ou à des valeurs forfaitaires dans l’évaluation de l’indicateur Icconstruction du bâtiment ou de la partie de bâtiment, à l’exception des composants des lots 1, 2 et 13 tels que définis précédemment.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r.wikipedia.org/wiki/R%C3%A9glementation_environnementale_2020" TargetMode="External"/><Relationship Id="rId1" Type="http://schemas.openxmlformats.org/officeDocument/2006/relationships/hyperlink" Target="https://rt-re-batiment.developpement-durable.gouv.fr/textes-en-version-consolidee-mise-a-jour-suite-a-a617.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egifrance.gouv.fr/codes/article_lc/LEGIARTI000045292850" TargetMode="External"/><Relationship Id="rId13" Type="http://schemas.openxmlformats.org/officeDocument/2006/relationships/comments" Target="../comments1.xml"/><Relationship Id="rId3" Type="http://schemas.openxmlformats.org/officeDocument/2006/relationships/hyperlink" Target="https://www.ecologie.gouv.fr/sites/default/files/documents/guide_re2020_version_janvier_2024.pdf" TargetMode="External"/><Relationship Id="rId7" Type="http://schemas.openxmlformats.org/officeDocument/2006/relationships/hyperlink" Target="https://www.legifrance.gouv.fr/codes/article_lc/LEGIARTI000045292850" TargetMode="External"/><Relationship Id="rId12" Type="http://schemas.openxmlformats.org/officeDocument/2006/relationships/vmlDrawing" Target="../drawings/vmlDrawing1.vml"/><Relationship Id="rId2" Type="http://schemas.openxmlformats.org/officeDocument/2006/relationships/hyperlink" Target="https://www.geoportail.gouv.fr/carte" TargetMode="External"/><Relationship Id="rId1" Type="http://schemas.openxmlformats.org/officeDocument/2006/relationships/hyperlink" Target="https://www.legifrance.gouv.fr/codes/article_lc/LEGIARTI000045292850" TargetMode="External"/><Relationship Id="rId6" Type="http://schemas.openxmlformats.org/officeDocument/2006/relationships/hyperlink" Target="https://www.legifrance.gouv.fr/codes/article_lc/LEGIARTI000045292850" TargetMode="External"/><Relationship Id="rId11" Type="http://schemas.openxmlformats.org/officeDocument/2006/relationships/printerSettings" Target="../printerSettings/printerSettings1.bin"/><Relationship Id="rId5" Type="http://schemas.openxmlformats.org/officeDocument/2006/relationships/hyperlink" Target="https://www.legifrance.gouv.fr/codes/article_lc/LEGIARTI000045292850" TargetMode="External"/><Relationship Id="rId10" Type="http://schemas.openxmlformats.org/officeDocument/2006/relationships/hyperlink" Target="https://www.legifrance.gouv.fr/codes/article_lc/LEGIARTI000045292850" TargetMode="External"/><Relationship Id="rId4" Type="http://schemas.openxmlformats.org/officeDocument/2006/relationships/hyperlink" Target="https://www.legifrance.gouv.fr/codes/article_lc/LEGIARTI000045292850" TargetMode="External"/><Relationship Id="rId9" Type="http://schemas.openxmlformats.org/officeDocument/2006/relationships/hyperlink" Target="https://www.legifrance.gouv.fr/codes/article_lc/LEGIARTI000045292850" TargetMode="External"/><Relationship Id="rId1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https://rt-re-batiment.developpement-durable.gouv.fr/accompagnement-des-acteurs-quels-outils-quelles-a545.html" TargetMode="External"/><Relationship Id="rId2" Type="http://schemas.openxmlformats.org/officeDocument/2006/relationships/hyperlink" Target="https://www.legifrance.gouv.fr/loda/article_lc/LEGIARTI000050146201/2026-07-02" TargetMode="External"/><Relationship Id="rId1" Type="http://schemas.openxmlformats.org/officeDocument/2006/relationships/hyperlink" Target="https://www.legifrance.gouv.fr/loda/article_lc/LEGIARTI000050146201/2026-07-0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F830-4BA9-4DDD-B3AD-65F56FF211C4}">
  <sheetPr>
    <tabColor theme="5"/>
  </sheetPr>
  <dimension ref="B2:L30"/>
  <sheetViews>
    <sheetView tabSelected="1" zoomScale="115" zoomScaleNormal="115" workbookViewId="0">
      <selection activeCell="C4" sqref="C4"/>
    </sheetView>
  </sheetViews>
  <sheetFormatPr baseColWidth="10" defaultColWidth="10.9296875" defaultRowHeight="14.25"/>
  <cols>
    <col min="1" max="1" width="10.796875" style="144" customWidth="1"/>
    <col min="2" max="2" width="6.53125" style="144" customWidth="1"/>
    <col min="3" max="9" width="10.9296875" style="144"/>
    <col min="10" max="10" width="5.53125" style="144" customWidth="1"/>
    <col min="11" max="16384" width="10.9296875" style="144"/>
  </cols>
  <sheetData>
    <row r="2" spans="2:12" ht="14.65" thickBot="1"/>
    <row r="3" spans="2:12" ht="25.5" customHeight="1">
      <c r="B3" s="422" t="inlineStr">
        <is>
          <t>2.2</t>
        </is>
      </c>
      <c r="C3" s="132"/>
      <c r="D3" s="132"/>
      <c r="E3" s="513"/>
      <c r="F3" s="513"/>
      <c r="G3" s="513"/>
      <c r="H3" s="132"/>
      <c r="I3" s="132"/>
      <c r="J3" s="133"/>
      <c r="K3" s="511" t="s">
        <v>462</v>
      </c>
      <c r="L3" s="512"/>
    </row>
    <row r="4" spans="2:12" ht="25.5" customHeight="1">
      <c r="B4" s="134"/>
      <c r="C4" s="406" t="s">
        <v>401</v>
      </c>
      <c r="D4" s="3"/>
      <c r="E4" s="3"/>
      <c r="F4" s="3"/>
      <c r="G4" s="3"/>
      <c r="H4" s="3"/>
      <c r="I4" s="3"/>
      <c r="J4" s="136"/>
    </row>
    <row r="5" spans="2:12" ht="25.5" customHeight="1">
      <c r="B5" s="134"/>
      <c r="C5" s="3"/>
      <c r="D5" s="3"/>
      <c r="E5" s="3"/>
      <c r="F5" s="3"/>
      <c r="G5" s="3"/>
      <c r="H5" s="3"/>
      <c r="I5" s="3"/>
      <c r="J5" s="136"/>
    </row>
    <row r="6" spans="2:12">
      <c r="B6" s="134"/>
      <c r="C6" s="519" t="s">
        <v>279</v>
      </c>
      <c r="D6" s="519"/>
      <c r="E6" s="519"/>
      <c r="F6" s="519"/>
      <c r="G6" s="519"/>
      <c r="H6" s="3"/>
      <c r="I6" s="3"/>
      <c r="J6" s="136"/>
    </row>
    <row r="7" spans="2:12" ht="81.5" customHeight="1">
      <c r="B7" s="134"/>
      <c r="C7" s="520" t="s">
        <v>283</v>
      </c>
      <c r="D7" s="520"/>
      <c r="E7" s="520"/>
      <c r="F7" s="520"/>
      <c r="G7" s="520"/>
      <c r="H7" s="3"/>
      <c r="I7" s="3"/>
      <c r="J7" s="136"/>
    </row>
    <row r="8" spans="2:12">
      <c r="B8" s="134"/>
      <c r="C8" s="517" t="s">
        <v>320</v>
      </c>
      <c r="D8" s="517"/>
      <c r="E8" s="517"/>
      <c r="F8" s="517"/>
      <c r="G8" s="517"/>
      <c r="H8" s="3"/>
      <c r="I8" s="3"/>
      <c r="J8" s="136"/>
    </row>
    <row r="9" spans="2:12">
      <c r="B9" s="134"/>
      <c r="C9" s="521" t="s">
        <v>278</v>
      </c>
      <c r="D9" s="521"/>
      <c r="E9" s="521"/>
      <c r="F9" s="521"/>
      <c r="G9" s="521"/>
      <c r="H9" s="3"/>
      <c r="I9" s="3"/>
      <c r="J9" s="136"/>
    </row>
    <row r="10" spans="2:12">
      <c r="B10" s="134"/>
      <c r="C10" s="521" t="s">
        <v>402</v>
      </c>
      <c r="D10" s="521"/>
      <c r="E10" s="521"/>
      <c r="F10" s="521"/>
      <c r="G10" s="521"/>
      <c r="H10" s="3"/>
      <c r="I10" s="3"/>
      <c r="J10" s="136"/>
    </row>
    <row r="11" spans="2:12">
      <c r="B11" s="134"/>
      <c r="C11" s="3"/>
      <c r="D11" s="3"/>
      <c r="E11" s="3"/>
      <c r="F11" s="3"/>
      <c r="G11" s="3"/>
      <c r="H11" s="3"/>
      <c r="I11" s="3"/>
      <c r="J11" s="136"/>
    </row>
    <row r="12" spans="2:12">
      <c r="B12" s="134"/>
      <c r="C12" s="517" t="s">
        <v>280</v>
      </c>
      <c r="D12" s="517"/>
      <c r="E12" s="517"/>
      <c r="F12" s="517"/>
      <c r="G12" s="517"/>
      <c r="H12" s="3"/>
      <c r="I12" s="3"/>
      <c r="J12" s="136"/>
    </row>
    <row r="13" spans="2:12">
      <c r="B13" s="134"/>
      <c r="C13" s="518" t="s">
        <v>285</v>
      </c>
      <c r="D13" s="518"/>
      <c r="E13" s="518"/>
      <c r="F13" s="518"/>
      <c r="G13" s="518"/>
      <c r="H13" s="3"/>
      <c r="I13" s="3"/>
      <c r="J13" s="136"/>
    </row>
    <row r="14" spans="2:12">
      <c r="B14" s="134"/>
      <c r="C14" s="518" t="s">
        <v>286</v>
      </c>
      <c r="D14" s="518"/>
      <c r="E14" s="518"/>
      <c r="F14" s="518"/>
      <c r="G14" s="518"/>
      <c r="H14" s="3"/>
      <c r="I14" s="3"/>
      <c r="J14" s="136"/>
    </row>
    <row r="15" spans="2:12">
      <c r="B15" s="134"/>
      <c r="C15" s="517" t="s">
        <v>287</v>
      </c>
      <c r="D15" s="517"/>
      <c r="E15" s="517"/>
      <c r="F15" s="517"/>
      <c r="G15" s="517"/>
      <c r="H15" s="3"/>
      <c r="I15" s="3"/>
      <c r="J15" s="136"/>
    </row>
    <row r="16" spans="2:12" ht="14.65" thickBot="1">
      <c r="B16" s="134"/>
      <c r="C16" s="218" t="s">
        <v>319</v>
      </c>
      <c r="D16" s="218"/>
      <c r="E16" s="218"/>
      <c r="F16" s="218"/>
      <c r="G16" s="218"/>
      <c r="H16" s="3"/>
      <c r="I16" s="3"/>
      <c r="J16" s="136"/>
    </row>
    <row r="17" spans="2:10" ht="14.65" thickBot="1">
      <c r="B17" s="134"/>
      <c r="C17" s="418" t="s">
        <v>404</v>
      </c>
      <c r="D17" s="419"/>
      <c r="E17" s="419"/>
      <c r="F17" s="419"/>
      <c r="G17" s="419"/>
      <c r="H17" s="420"/>
      <c r="I17" s="421"/>
      <c r="J17" s="136"/>
    </row>
    <row r="18" spans="2:10" ht="64.05" customHeight="1">
      <c r="B18" s="134"/>
      <c r="C18" s="522" t="s">
        <v>463</v>
      </c>
      <c r="D18" s="522"/>
      <c r="E18" s="522"/>
      <c r="F18" s="522"/>
      <c r="G18" s="522"/>
      <c r="H18" s="522"/>
      <c r="I18" s="522"/>
      <c r="J18" s="136"/>
    </row>
    <row r="19" spans="2:10" ht="19.05" customHeight="1">
      <c r="B19" s="423"/>
      <c r="C19" s="510" t="s">
        <v>407</v>
      </c>
      <c r="D19" s="510"/>
      <c r="E19" s="510"/>
      <c r="F19" s="510"/>
      <c r="G19" s="510"/>
      <c r="H19" s="411"/>
      <c r="I19" s="411"/>
      <c r="J19" s="136"/>
    </row>
    <row r="20" spans="2:10" ht="19.05" customHeight="1">
      <c r="B20" s="423"/>
      <c r="C20" s="510" t="s">
        <v>473</v>
      </c>
      <c r="D20" s="510"/>
      <c r="E20" s="510"/>
      <c r="F20" s="510"/>
      <c r="G20" s="510"/>
      <c r="H20" s="510"/>
      <c r="I20" s="510"/>
      <c r="J20" s="136"/>
    </row>
    <row r="21" spans="2:10" ht="19.05" customHeight="1">
      <c r="B21" s="423"/>
      <c r="C21" s="510" t="s">
        <v>458</v>
      </c>
      <c r="D21" s="510"/>
      <c r="E21" s="510"/>
      <c r="F21" s="510"/>
      <c r="G21" s="510"/>
      <c r="H21" s="510"/>
      <c r="I21" s="510"/>
      <c r="J21" s="136"/>
    </row>
    <row r="22" spans="2:10" ht="19.05" customHeight="1">
      <c r="B22" s="423"/>
      <c r="C22" s="510" t="s">
        <v>492</v>
      </c>
      <c r="D22" s="510"/>
      <c r="E22" s="510"/>
      <c r="F22" s="510"/>
      <c r="G22" s="510"/>
      <c r="H22" s="510"/>
      <c r="I22" s="510"/>
      <c r="J22" s="136"/>
    </row>
    <row r="23" spans="2:10" ht="19.05" customHeight="1">
      <c r="B23" s="423"/>
      <c r="C23" s="510" t="s">
        <v>493</v>
      </c>
      <c r="D23" s="510"/>
      <c r="E23" s="510"/>
      <c r="F23" s="510"/>
      <c r="G23" s="510"/>
      <c r="H23" s="510"/>
      <c r="I23" s="510"/>
      <c r="J23" s="136"/>
    </row>
    <row r="24" spans="2:10" ht="19.05" customHeight="1">
      <c r="B24" s="423"/>
      <c r="C24" s="510" t="s">
        <v>495</v>
      </c>
      <c r="D24" s="510"/>
      <c r="E24" s="510"/>
      <c r="F24" s="510"/>
      <c r="G24" s="510"/>
      <c r="H24" s="510"/>
      <c r="I24" s="510"/>
      <c r="J24" s="136"/>
    </row>
    <row r="25" spans="2:10" ht="19.05" customHeight="1">
      <c r="B25" s="423"/>
      <c r="C25" s="510" t="s">
        <v>497</v>
      </c>
      <c r="D25" s="510"/>
      <c r="E25" s="510"/>
      <c r="F25" s="510"/>
      <c r="G25" s="510"/>
      <c r="H25" s="510"/>
      <c r="I25" s="510"/>
      <c r="J25" s="136"/>
    </row>
    <row r="26" spans="2:10">
      <c r="B26" s="423" t="inlineStr">
        <is>
          <t>→</t>
        </is>
      </c>
      <c r="C26" s="510" t="inlineStr">
        <is>
          <t>2.2 - décret 2026-200 appliqué selon la date du PC (nouvelle question ligne 28) ; bornes Mbsurf_moy LC 80/120 m² ; DH_max LC : condition climatisé en H2d/H3 ; dérogation RCU classé pour Icénergie_maxmoyen ; aérogares en catégorie 3 ; messages au lieu des erreurs ; nettoyage des noms cassés</t>
        </is>
      </c>
      <c r="D26" s="3"/>
      <c r="E26" s="3"/>
      <c r="F26" s="3"/>
      <c r="G26" s="3"/>
      <c r="H26" s="1"/>
      <c r="I26" s="3"/>
      <c r="J26" s="136"/>
    </row>
    <row r="27" spans="2:10">
      <c r="B27" s="134"/>
      <c r="C27" s="417" t="s">
        <v>403</v>
      </c>
      <c r="D27" s="3"/>
      <c r="E27" s="3"/>
      <c r="F27" s="3"/>
      <c r="G27" s="3"/>
      <c r="H27" s="1"/>
      <c r="I27" s="3"/>
      <c r="J27" s="136"/>
    </row>
    <row r="28" spans="2:10" ht="14.65" thickBot="1">
      <c r="B28" s="134"/>
      <c r="C28" s="3"/>
      <c r="D28" s="3"/>
      <c r="E28" s="3"/>
      <c r="F28" s="3"/>
      <c r="G28" s="3"/>
      <c r="H28" s="1"/>
      <c r="I28" s="3"/>
      <c r="J28" s="136"/>
    </row>
    <row r="29" spans="2:10" ht="62.65" thickBot="1">
      <c r="B29" s="134"/>
      <c r="C29" s="514" t="s">
        <v>266</v>
      </c>
      <c r="D29" s="515"/>
      <c r="E29" s="515"/>
      <c r="F29" s="515"/>
      <c r="G29" s="515"/>
      <c r="H29" s="515"/>
      <c r="I29" s="516"/>
      <c r="J29" s="136"/>
    </row>
    <row r="30" spans="2:10" ht="30.5" customHeight="1" thickBot="1">
      <c r="B30" s="215" t="s">
        <v>490</v>
      </c>
      <c r="C30" s="139"/>
      <c r="D30" s="139"/>
      <c r="E30" s="139"/>
      <c r="F30" s="139"/>
      <c r="G30" s="139"/>
      <c r="H30" s="139"/>
      <c r="I30" s="139"/>
      <c r="J30" s="216" t="s">
        <v>284</v>
      </c>
    </row>
  </sheetData>
  <mergeCells count="20">
    <mergeCell ref="C24:I24"/>
    <mergeCell ref="C29:I29"/>
    <mergeCell ref="C12:G12"/>
    <mergeCell ref="C15:G15"/>
    <mergeCell ref="C14:G14"/>
    <mergeCell ref="C13:G13"/>
    <mergeCell ref="C18:I18"/>
    <mergeCell ref="C19:G19"/>
    <mergeCell ref="C23:I23"/>
    <mergeCell ref="C25:I25"/>
    <mergeCell ref="C21:I21"/>
    <mergeCell ref="C22:I22"/>
    <mergeCell ref="C20:I20"/>
    <mergeCell ref="K3:L3"/>
    <mergeCell ref="E3:G3"/>
    <mergeCell ref="C6:G6"/>
    <mergeCell ref="C7:G7"/>
    <mergeCell ref="C8:G8"/>
    <mergeCell ref="C9:G9"/>
    <mergeCell ref="C10:G10"/>
  </mergeCells>
  <hyperlinks>
    <hyperlink ref="C29:G29" location="Input_resultats!C2" display="C'est parti" xr:uid="{5A72521D-FADF-4DD9-9922-59B4F0B01929}"/>
    <hyperlink ref="C9" r:id="rId1" xr:uid="{5C72D1C9-7984-4179-ABCD-0243BA8E6768}"/>
    <hyperlink ref="C10:G10" r:id="rId2" location="Quels_seuils_pour_la_RE2020_?" display="Sinon la page wikipédia donne une partie ds informations" xr:uid="{FC7701F9-9AC5-4C58-8C7B-976573B89CB7}"/>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F737-E54F-4D4D-AE48-17A3231EB4E4}">
  <sheetPr>
    <tabColor theme="4"/>
  </sheetPr>
  <dimension ref="B1:AI55"/>
  <sheetViews>
    <sheetView zoomScaleNormal="100" workbookViewId="0">
      <selection activeCell="F9" sqref="F9"/>
    </sheetView>
  </sheetViews>
  <sheetFormatPr baseColWidth="10" defaultColWidth="10.9296875" defaultRowHeight="14.25"/>
  <cols>
    <col min="1" max="1" width="9" style="3" customWidth="1"/>
    <col min="2" max="2" width="4.9296875" style="3" customWidth="1"/>
    <col min="3" max="3" width="36.796875" style="3" customWidth="1"/>
    <col min="4" max="4" width="10.33203125" style="3" customWidth="1"/>
    <col min="5" max="5" width="22.59765625" style="6" customWidth="1"/>
    <col min="6" max="6" width="17.59765625" style="4" customWidth="1"/>
    <col min="7" max="7" width="6.06640625" style="3" customWidth="1"/>
    <col min="8" max="8" width="7.33203125" style="6" customWidth="1"/>
    <col min="9" max="9" width="3.06640625" style="3" customWidth="1"/>
    <col min="10" max="10" width="6.9296875" style="6" customWidth="1"/>
    <col min="11" max="11" width="2.53125" style="3" customWidth="1"/>
    <col min="12" max="12" width="7.73046875" style="6" customWidth="1"/>
    <col min="13" max="13" width="3.796875" style="3" customWidth="1"/>
    <col min="14" max="14" width="6.53125" style="6" customWidth="1"/>
    <col min="15" max="15" width="3.19921875" style="3" customWidth="1"/>
    <col min="16" max="16" width="6.19921875" style="6" customWidth="1"/>
    <col min="17" max="17" width="2.265625" style="3" customWidth="1"/>
    <col min="18" max="18" width="8" style="3" customWidth="1"/>
    <col min="19" max="19" width="2.53125" style="3" customWidth="1"/>
    <col min="20" max="20" width="6.53125" style="3" customWidth="1"/>
    <col min="21" max="21" width="3.19921875" style="3" customWidth="1"/>
    <col min="22" max="22" width="4.9296875" style="3" customWidth="1"/>
    <col min="23" max="23" width="3.19921875" style="3" customWidth="1"/>
    <col min="24" max="24" width="4.9296875" style="3" customWidth="1"/>
    <col min="25" max="25" width="3.19921875" style="3" customWidth="1"/>
    <col min="26" max="26" width="7.19921875" style="3" customWidth="1"/>
    <col min="27" max="27" width="3.19921875" style="3" customWidth="1"/>
    <col min="28" max="28" width="7.19921875" style="3" customWidth="1"/>
    <col min="29" max="29" width="7.06640625" style="3" customWidth="1"/>
    <col min="30" max="30" width="1.796875" style="3" bestFit="1" customWidth="1"/>
    <col min="31" max="31" width="7.265625" style="3" customWidth="1"/>
    <col min="32" max="16384" width="10.9296875" style="3"/>
  </cols>
  <sheetData>
    <row r="1" spans="2:29" ht="14.65" thickBot="1">
      <c r="F1" s="156" t="s">
        <v>161</v>
      </c>
      <c r="G1" s="5" t="s">
        <v>162</v>
      </c>
    </row>
    <row r="2" spans="2:29" ht="16.149999999999999" thickBot="1">
      <c r="C2" s="203" t="s">
        <v>262</v>
      </c>
      <c r="D2" s="4"/>
      <c r="E2" s="4"/>
    </row>
    <row r="3" spans="2:29" ht="16.05" customHeight="1">
      <c r="B3" s="183"/>
      <c r="C3" s="204"/>
      <c r="D3" s="140"/>
      <c r="E3" s="149"/>
      <c r="F3" s="189"/>
      <c r="G3" s="150"/>
    </row>
    <row r="4" spans="2:29" ht="32" customHeight="1">
      <c r="B4" s="141"/>
      <c r="C4" s="154" t="s">
        <v>197</v>
      </c>
      <c r="D4" s="143"/>
      <c r="E4" s="135" t="s">
        <v>332</v>
      </c>
      <c r="F4" s="299" t="b">
        <f>OR(usage=Enumération!C5,usage=Enumération!C4)</f>
        <v>1</v>
      </c>
      <c r="G4" s="151"/>
    </row>
    <row r="5" spans="2:29" ht="18" customHeight="1">
      <c r="B5" s="141"/>
      <c r="C5" s="298" t="str">
        <f>IF(COUNTIF(Enumération!F3:K3,E4)&gt;0,"typologie précise →","")</f>
        <v/>
      </c>
      <c r="D5" s="143"/>
      <c r="E5" s="299" t="s">
        <v>335</v>
      </c>
      <c r="F5" s="362" t="str">
        <f ca="1">IF(ISNUMBER(MATCH(usage,Enumération!F3:K3,0)),IF(ISNUMBER(MATCH(usage_secondaire,INDIRECT(usage),0)),"","Pensez à changer"),"")</f>
        <v/>
      </c>
      <c r="G5" s="151"/>
      <c r="I5" s="37" t="str">
        <f>IF(E4=Calcul_bbio!D7,"","ligne uniquement en d'enseignement")</f>
        <v>ligne uniquement en d'enseignement</v>
      </c>
    </row>
    <row r="6" spans="2:29" ht="18" customHeight="1">
      <c r="B6" s="141"/>
      <c r="C6" s="154" t="s">
        <v>177</v>
      </c>
      <c r="D6" s="142" t="s">
        <v>157</v>
      </c>
      <c r="E6" s="137" t="s">
        <v>150</v>
      </c>
      <c r="F6" s="190"/>
      <c r="G6" s="151"/>
    </row>
    <row r="7" spans="2:29" ht="18" customHeight="1">
      <c r="B7" s="141"/>
      <c r="C7" s="200" t="s">
        <v>269</v>
      </c>
      <c r="D7" s="142" t="s">
        <v>158</v>
      </c>
      <c r="E7" s="137" t="s">
        <v>159</v>
      </c>
      <c r="F7" s="190" t="str">
        <f>"-&gt; "&amp;VLOOKUP(E7,zone[[numéro]:[département]],2,FALSE)</f>
        <v>-&gt; -</v>
      </c>
      <c r="G7" s="151"/>
      <c r="I7" s="37" t="s">
        <v>282</v>
      </c>
    </row>
    <row r="8" spans="2:29" ht="18" customHeight="1">
      <c r="B8" s="141"/>
      <c r="C8" s="142" t="s">
        <v>160</v>
      </c>
      <c r="D8" s="144"/>
      <c r="E8" s="191" t="str">
        <f>IF(E7="-",VLOOKUP(E6,zone[[département]:[Valeur]],2,FALSE),VLOOKUP(E7,zone[[numéro]:[Valeur]],3,FALSE))</f>
        <v>H1a</v>
      </c>
      <c r="F8" s="190"/>
      <c r="G8" s="151"/>
    </row>
    <row r="9" spans="2:29" ht="18" customHeight="1">
      <c r="B9" s="141"/>
      <c r="C9" s="154" t="s">
        <v>256</v>
      </c>
      <c r="D9" s="145" t="s">
        <v>394</v>
      </c>
      <c r="E9" s="138" t="s">
        <v>271</v>
      </c>
      <c r="F9" s="190"/>
      <c r="G9" s="151"/>
      <c r="I9" s="523" t="s">
        <v>270</v>
      </c>
      <c r="J9" s="523"/>
      <c r="K9" s="523"/>
      <c r="L9" s="523"/>
      <c r="M9" s="523"/>
      <c r="N9" s="523"/>
      <c r="O9" s="523"/>
      <c r="P9" s="523"/>
      <c r="Q9" s="523"/>
      <c r="R9" s="523"/>
      <c r="S9" s="523"/>
      <c r="T9" s="523"/>
      <c r="U9" s="523"/>
      <c r="V9" s="523"/>
      <c r="W9" s="424"/>
      <c r="X9" s="424"/>
      <c r="Y9" s="424"/>
      <c r="Z9" s="424"/>
      <c r="AA9" s="424"/>
      <c r="AB9" s="424"/>
      <c r="AC9" s="424"/>
    </row>
    <row r="10" spans="2:29" ht="18" customHeight="1">
      <c r="B10" s="141"/>
      <c r="C10" s="154" t="s">
        <v>178</v>
      </c>
      <c r="D10" s="145" t="s">
        <v>166</v>
      </c>
      <c r="E10" s="138">
        <v>3800</v>
      </c>
      <c r="F10" s="190" t="str">
        <f>IF(F4,"m² SHAB","m² SU")</f>
        <v>m² SHAB</v>
      </c>
      <c r="G10" s="151"/>
      <c r="I10" s="523" t="s">
        <v>281</v>
      </c>
      <c r="J10" s="523"/>
      <c r="K10" s="523"/>
      <c r="L10" s="523"/>
      <c r="M10" s="523"/>
      <c r="N10" s="523"/>
      <c r="O10" s="523"/>
      <c r="P10" s="523"/>
      <c r="Q10" s="523"/>
      <c r="R10" s="523"/>
      <c r="S10" s="523"/>
      <c r="T10" s="523"/>
      <c r="U10" s="523"/>
      <c r="V10" s="523"/>
      <c r="W10" s="424"/>
      <c r="X10" s="424"/>
      <c r="Y10" s="424"/>
      <c r="Z10" s="424"/>
      <c r="AA10" s="424"/>
      <c r="AB10" s="424"/>
      <c r="AC10" s="424"/>
    </row>
    <row r="11" spans="2:29" ht="18" customHeight="1">
      <c r="B11" s="141"/>
      <c r="C11" s="142" t="str">
        <f>IF(usage=Enumération!C4,"Scombles →","")</f>
        <v/>
      </c>
      <c r="D11" s="145" t="str">
        <f>IF(usage=Enumération!C4,"[m²]","")</f>
        <v/>
      </c>
      <c r="E11" s="352">
        <v>5</v>
      </c>
      <c r="F11" s="190" t="str">
        <f>IF(usage=Enumération!C4,"m²","")</f>
        <v/>
      </c>
      <c r="G11" s="151"/>
      <c r="I11" s="37" t="str">
        <f>IF(usage=Enumération!C4,"Surface de plancher des combles aménagés dont la hauteur sous plafond est inférieure à 1,8 mètres","ligne uniquement en cas de maison")</f>
        <v>ligne uniquement en cas de maison</v>
      </c>
    </row>
    <row r="12" spans="2:29" ht="18" customHeight="1">
      <c r="B12" s="141"/>
      <c r="C12" s="142" t="str">
        <f>IF(F4,"Nombre de logements →","")</f>
        <v>Nombre de logements →</v>
      </c>
      <c r="D12" s="145" t="str">
        <f>IF(F4,"[NL]","")</f>
        <v>[NL]</v>
      </c>
      <c r="E12" s="352">
        <v>60</v>
      </c>
      <c r="F12" s="499" t="str">
        <f>IF(F4,"logements","")</f>
        <v>logements</v>
      </c>
      <c r="G12" s="151"/>
      <c r="I12" s="37" t="str">
        <f>IF(F4,"Nombre de logements du bâtiment","ligne uniquement en cas de logement")</f>
        <v>Nombre de logements du bâtiment</v>
      </c>
    </row>
    <row r="13" spans="2:29" ht="18" customHeight="1">
      <c r="B13" s="141"/>
      <c r="C13" s="500" t="str">
        <f>IF(F4,"Surface moyenne des logements →","")</f>
        <v>Surface moyenne des logements →</v>
      </c>
      <c r="D13" s="145" t="str">
        <f>IF(F4,"[Smoylgt]","")</f>
        <v>[Smoylgt]</v>
      </c>
      <c r="E13" s="507">
        <f>sref/NL</f>
        <v>63.333333333333336</v>
      </c>
      <c r="F13" s="501" t="str">
        <f>IF(F4,"m² SHAB","")</f>
        <v>m² SHAB</v>
      </c>
      <c r="G13" s="151"/>
      <c r="I13" s="37" t="str">
        <f>IF(F4,"surface moyenne des logements du bâtiment ou de la partie de bâtiment, notée Smoylgt, est calculée de la manière suivante : Smoylgt = Sref/ NL","ligne uniquement en cas de logement")</f>
        <v>surface moyenne des logements du bâtiment ou de la partie de bâtiment, notée Smoylgt, est calculée de la manière suivante : Smoylgt = Sref/ NL</v>
      </c>
    </row>
    <row r="14" spans="2:29" ht="18" customHeight="1">
      <c r="B14" s="141"/>
      <c r="C14" s="154" t="s">
        <v>214</v>
      </c>
      <c r="D14" s="145"/>
      <c r="E14" s="138" t="s">
        <v>172</v>
      </c>
      <c r="F14" s="190"/>
      <c r="G14" s="151"/>
      <c r="I14" s="523" t="s">
        <v>255</v>
      </c>
      <c r="J14" s="523"/>
      <c r="K14" s="523"/>
      <c r="L14" s="523"/>
      <c r="M14" s="523"/>
      <c r="N14" s="523"/>
      <c r="O14" s="523"/>
      <c r="P14" s="523"/>
      <c r="Q14" s="523"/>
      <c r="R14" s="523"/>
      <c r="S14" s="523"/>
      <c r="T14" s="523"/>
      <c r="U14" s="523"/>
      <c r="V14" s="523"/>
      <c r="W14" s="424"/>
      <c r="X14" s="424"/>
      <c r="Y14" s="424"/>
      <c r="Z14" s="424"/>
      <c r="AA14" s="424"/>
      <c r="AB14" s="424"/>
      <c r="AC14" s="424"/>
    </row>
    <row r="15" spans="2:29" ht="18" customHeight="1">
      <c r="B15" s="141"/>
      <c r="C15" s="154" t="s">
        <v>215</v>
      </c>
      <c r="D15" s="144"/>
      <c r="E15" s="138" t="s">
        <v>192</v>
      </c>
      <c r="F15" s="190" t="str">
        <f>IF(AND(ID_usage&gt;4,depotPC_année&lt;2024),"PAS LA BONNE DATE","")</f>
        <v/>
      </c>
      <c r="G15" s="151"/>
    </row>
    <row r="16" spans="2:29" ht="18" customHeight="1">
      <c r="B16" s="141"/>
      <c r="C16" s="154" t="s">
        <v>223</v>
      </c>
      <c r="D16" s="146" t="s">
        <v>217</v>
      </c>
      <c r="E16" s="192">
        <v>10</v>
      </c>
      <c r="F16" s="190" t="s">
        <v>216</v>
      </c>
      <c r="G16" s="151"/>
    </row>
    <row r="17" spans="2:35" ht="18">
      <c r="B17" s="141"/>
      <c r="C17" s="154" t="s">
        <v>222</v>
      </c>
      <c r="D17" s="146" t="s">
        <v>218</v>
      </c>
      <c r="E17" s="192">
        <v>30</v>
      </c>
      <c r="F17" s="190" t="s">
        <v>216</v>
      </c>
      <c r="G17" s="151"/>
    </row>
    <row r="18" spans="2:35" ht="18">
      <c r="B18" s="141"/>
      <c r="C18" s="154" t="s">
        <v>221</v>
      </c>
      <c r="D18" s="146" t="s">
        <v>219</v>
      </c>
      <c r="E18" s="192">
        <v>0</v>
      </c>
      <c r="F18" s="190" t="s">
        <v>216</v>
      </c>
      <c r="G18" s="151"/>
    </row>
    <row r="19" spans="2:35" ht="18.5" customHeight="1">
      <c r="B19" s="141"/>
      <c r="C19" s="154" t="s">
        <v>224</v>
      </c>
      <c r="D19" s="146" t="s">
        <v>220</v>
      </c>
      <c r="E19" s="192">
        <v>350</v>
      </c>
      <c r="F19" s="190" t="s">
        <v>216</v>
      </c>
      <c r="G19" s="151"/>
      <c r="I19" s="528" t="s">
        <v>248</v>
      </c>
      <c r="J19" s="528"/>
      <c r="K19" s="528"/>
      <c r="L19" s="528"/>
      <c r="M19" s="528"/>
      <c r="N19" s="528"/>
      <c r="O19" s="528"/>
      <c r="P19" s="528"/>
      <c r="Q19" s="528"/>
      <c r="R19" s="528"/>
      <c r="S19" s="528"/>
      <c r="T19" s="528"/>
      <c r="U19" s="528"/>
      <c r="V19" s="528"/>
      <c r="W19" s="426"/>
      <c r="X19" s="426"/>
      <c r="Y19" s="426"/>
      <c r="Z19" s="426"/>
      <c r="AA19" s="426"/>
      <c r="AB19" s="426"/>
      <c r="AC19" s="426"/>
    </row>
    <row r="20" spans="2:35" ht="18.5" customHeight="1">
      <c r="B20" s="141"/>
      <c r="C20" s="155" t="s">
        <v>264</v>
      </c>
      <c r="D20" s="146"/>
      <c r="E20" s="138" t="s">
        <v>491</v>
      </c>
      <c r="F20" s="217" t="str">
        <f>IF(rcu="OUI","Classé ou pas ?","")</f>
        <v/>
      </c>
      <c r="G20" s="151"/>
      <c r="I20" s="528"/>
      <c r="J20" s="528"/>
      <c r="K20" s="528"/>
      <c r="L20" s="528"/>
      <c r="M20" s="528"/>
      <c r="N20" s="528"/>
      <c r="O20" s="528"/>
      <c r="P20" s="528"/>
      <c r="Q20" s="528"/>
      <c r="R20" s="528"/>
      <c r="S20" s="528"/>
      <c r="T20" s="528"/>
      <c r="U20" s="528"/>
      <c r="V20" s="528"/>
      <c r="W20" s="426"/>
      <c r="X20" s="426"/>
      <c r="Y20" s="426"/>
      <c r="Z20" s="426"/>
      <c r="AA20" s="426"/>
      <c r="AB20" s="426"/>
      <c r="AC20" s="426"/>
    </row>
    <row r="21" spans="2:35" ht="18.5" customHeight="1">
      <c r="B21" s="141"/>
      <c r="C21" s="416" t="s">
        <v>406</v>
      </c>
      <c r="D21" s="146"/>
      <c r="E21" s="352" t="s">
        <v>464</v>
      </c>
      <c r="F21" s="217" t="str">
        <f>IF(rcu="OUI","Réseau classé voir à droite","")</f>
        <v/>
      </c>
      <c r="G21" s="502" t="b">
        <f>IF(AND(rcu="OUI",rcu_classe="OUI"),TRUE,FALSE)</f>
        <v>0</v>
      </c>
      <c r="I21" s="528"/>
      <c r="J21" s="528"/>
      <c r="K21" s="528"/>
      <c r="L21" s="528"/>
      <c r="M21" s="528"/>
      <c r="N21" s="528"/>
      <c r="O21" s="528"/>
      <c r="P21" s="528"/>
      <c r="Q21" s="528"/>
      <c r="R21" s="528"/>
      <c r="S21" s="528"/>
      <c r="T21" s="528"/>
      <c r="U21" s="528"/>
      <c r="V21" s="528"/>
      <c r="W21" s="426"/>
      <c r="X21" s="426"/>
      <c r="Y21" s="426"/>
      <c r="Z21" s="426"/>
      <c r="AA21" s="426"/>
      <c r="AB21" s="426"/>
      <c r="AC21" s="426"/>
    </row>
    <row r="22" spans="2:35" ht="18.5" customHeight="1">
      <c r="B22" s="141"/>
      <c r="C22" s="155" t="s">
        <v>265</v>
      </c>
      <c r="D22" s="146"/>
      <c r="E22" s="138" t="s">
        <v>267</v>
      </c>
      <c r="F22" s="359" t="str">
        <f>IF(categorie="Catégorie 3",IF(OR(ISNUMBER(MATCH(usage,Enumération!Q3:Q11,0)),ISNUMBER(MATCH(usage_detaillé,Enumération!Q3:Q11,0))),"","! pas possible pour cet usage !"),"")</f>
      </c>
      <c r="G22" s="151"/>
      <c r="I22" s="523" t="s">
        <v>318</v>
      </c>
      <c r="J22" s="523"/>
      <c r="K22" s="523"/>
      <c r="L22" s="523"/>
      <c r="M22" s="523"/>
      <c r="N22" s="523"/>
      <c r="O22" s="523"/>
      <c r="P22" s="523"/>
      <c r="Q22" s="523"/>
      <c r="R22" s="523"/>
      <c r="S22" s="523"/>
      <c r="T22" s="523"/>
      <c r="U22" s="523"/>
      <c r="V22" s="523"/>
      <c r="W22" s="424"/>
      <c r="X22" s="424"/>
      <c r="Y22" s="424"/>
      <c r="Z22" s="424"/>
      <c r="AA22" s="424"/>
      <c r="AB22" s="424"/>
      <c r="AC22" s="424"/>
    </row>
    <row r="23" spans="2:35" ht="18.5" customHeight="1">
      <c r="B23" s="141"/>
      <c r="C23" s="155" t="str">
        <f>IF(G21,"climatisé (droit carbone avec RCU) →","climatisé →")</f>
        <v>climatisé →</v>
      </c>
      <c r="D23" s="146"/>
      <c r="E23" s="138" t="s">
        <v>491</v>
      </c>
      <c r="F23" s="362" t="str">
        <f>IF(AND(categorie="Catégorie 2",climatisé="NON"),"forcément climatisé","")</f>
        <v/>
      </c>
      <c r="G23" s="151"/>
      <c r="I23" s="527" t="s">
        <v>476</v>
      </c>
      <c r="J23" s="527"/>
      <c r="K23" s="527"/>
      <c r="L23" s="527"/>
      <c r="M23" s="527"/>
      <c r="N23" s="527"/>
      <c r="O23" s="527"/>
      <c r="P23" s="527"/>
      <c r="Q23" s="527"/>
      <c r="R23" s="527"/>
      <c r="S23" s="527"/>
      <c r="T23" s="527"/>
      <c r="U23" s="527"/>
      <c r="V23" s="527"/>
      <c r="W23" s="425"/>
      <c r="X23" s="425"/>
      <c r="Y23" s="425"/>
      <c r="Z23" s="425"/>
      <c r="AA23" s="425"/>
      <c r="AB23" s="425"/>
      <c r="AC23" s="425"/>
    </row>
    <row r="24" spans="2:35" ht="18.5" customHeight="1">
      <c r="B24" s="141"/>
      <c r="C24" s="468"/>
      <c r="D24" s="146"/>
      <c r="E24" s="191"/>
      <c r="F24" s="362"/>
      <c r="G24" s="151"/>
      <c r="I24" s="425"/>
      <c r="J24" s="425"/>
      <c r="K24" s="425"/>
      <c r="L24" s="425"/>
      <c r="M24" s="425"/>
      <c r="N24" s="425"/>
      <c r="O24" s="425"/>
      <c r="P24" s="425"/>
      <c r="Q24" s="425"/>
      <c r="R24" s="425"/>
      <c r="S24" s="425"/>
      <c r="T24" s="425"/>
      <c r="U24" s="425"/>
      <c r="V24" s="425"/>
      <c r="W24" s="425"/>
      <c r="X24" s="425"/>
      <c r="Y24" s="425"/>
      <c r="Z24" s="425"/>
      <c r="AA24" s="425"/>
      <c r="AB24" s="425"/>
      <c r="AC24" s="425"/>
    </row>
    <row r="25" spans="2:35" ht="18.5" customHeight="1">
      <c r="B25" s="141"/>
      <c r="C25" s="155" t="s">
        <v>441</v>
      </c>
      <c r="D25" s="146"/>
      <c r="E25" s="138" t="s">
        <v>491</v>
      </c>
      <c r="F25" s="493"/>
      <c r="G25" s="151"/>
      <c r="I25" s="425"/>
      <c r="J25" s="425"/>
      <c r="K25" s="425"/>
      <c r="L25" s="425"/>
      <c r="M25" s="425"/>
      <c r="N25" s="425"/>
      <c r="O25" s="425"/>
      <c r="P25" s="425"/>
      <c r="Q25" s="425"/>
      <c r="R25" s="425"/>
      <c r="S25" s="425"/>
      <c r="T25" s="425"/>
      <c r="U25" s="425"/>
      <c r="V25" s="425"/>
      <c r="W25" s="425"/>
      <c r="X25" s="425"/>
      <c r="Y25" s="425"/>
      <c r="Z25" s="425"/>
      <c r="AA25" s="425"/>
      <c r="AB25" s="425"/>
      <c r="AC25" s="425"/>
    </row>
    <row r="26" spans="2:35" ht="42" customHeight="1">
      <c r="B26" s="141"/>
      <c r="C26" s="487" t="s">
        <v>457</v>
      </c>
      <c r="D26" s="488" t="s">
        <v>445</v>
      </c>
      <c r="E26" s="352">
        <v>500</v>
      </c>
      <c r="F26" s="494" t="str">
        <f>IF(Sagrément/sref&gt;0.1,"taux Sref = "&amp;ROUND(Sagrément/sref*100,0)&amp;"%","")</f>
        <v>taux Sref = 13%</v>
      </c>
      <c r="G26" s="151"/>
      <c r="I26" s="529" t="s">
        <v>446</v>
      </c>
      <c r="J26" s="529"/>
      <c r="K26" s="529"/>
      <c r="L26" s="529"/>
      <c r="M26" s="529"/>
      <c r="N26" s="529"/>
      <c r="O26" s="529"/>
      <c r="P26" s="529"/>
      <c r="Q26" s="529"/>
      <c r="R26" s="529"/>
      <c r="S26" s="529"/>
      <c r="T26" s="529"/>
      <c r="U26" s="529"/>
      <c r="V26" s="529"/>
      <c r="W26" s="529"/>
      <c r="X26" s="529"/>
      <c r="Y26" s="529"/>
      <c r="Z26" s="529"/>
      <c r="AA26" s="529"/>
      <c r="AB26" s="529"/>
      <c r="AC26" s="529"/>
      <c r="AD26" s="529"/>
      <c r="AE26" s="529"/>
      <c r="AF26" s="481"/>
      <c r="AG26" s="481"/>
      <c r="AH26" s="481"/>
      <c r="AI26" s="481"/>
    </row>
    <row r="27" spans="2:35" ht="39.5" customHeight="1">
      <c r="B27" s="141"/>
      <c r="C27" s="487" t="s">
        <v>475</v>
      </c>
      <c r="D27" s="488" t="s">
        <v>394</v>
      </c>
      <c r="E27" s="352">
        <v>2.6</v>
      </c>
      <c r="F27" s="499" t="s">
        <v>474</v>
      </c>
      <c r="G27" s="151"/>
      <c r="I27" s="529" t="s">
        <v>456</v>
      </c>
      <c r="J27" s="529"/>
      <c r="K27" s="529"/>
      <c r="L27" s="529"/>
      <c r="M27" s="529"/>
      <c r="N27" s="529"/>
      <c r="O27" s="529"/>
      <c r="P27" s="529"/>
      <c r="Q27" s="529"/>
      <c r="R27" s="529"/>
      <c r="S27" s="529"/>
      <c r="T27" s="529"/>
      <c r="U27" s="529"/>
      <c r="V27" s="529"/>
      <c r="W27" s="529"/>
      <c r="X27" s="529"/>
      <c r="Y27" s="529"/>
      <c r="Z27" s="529"/>
      <c r="AA27" s="529"/>
      <c r="AB27" s="529"/>
      <c r="AC27" s="529"/>
      <c r="AD27" s="529"/>
      <c r="AE27" s="529"/>
    </row>
    <row r="28" spans="2:35" ht="18.5" customHeight="1">
      <c r="B28" s="141"/>
      <c r="C28" s="487" t="str">
        <f>IF(depotpc="2025 à 2027","PC déposé à partir du 01/07/2026 ? →","")</f>
      </c>
      <c r="D28" s="146"/>
      <c r="E28" s="352" t="inlineStr">
        <is>
          <t>OUI</t>
        </is>
      </c>
      <c r="F28" s="499" t="str">
        <f>IF(decret2026,"décret 2026-200 appliqué","décret 2026-200 non appliqué")</f>
      </c>
      <c r="G28" s="502" t="b">
        <f>OR(depotpc="2028 à 2030",depotpc="à partir de 2031",AND(depotpc="2025 à 2027",E28="OUI"))</f>
      </c>
      <c r="I28" s="529" t="inlineStr">
        <is>
          <t>Décret n° 2026-200 du 18 mars 2026 (HSP, agrément, Miclim_RCU, IGH) : PC déposés à partir du 1er juillet 2026</t>
        </is>
      </c>
      <c r="J28" s="425"/>
      <c r="K28" s="425"/>
      <c r="L28" s="425"/>
      <c r="M28" s="425"/>
      <c r="N28" s="425"/>
      <c r="O28" s="425"/>
      <c r="P28" s="425"/>
      <c r="Q28" s="425"/>
      <c r="R28" s="425"/>
      <c r="S28" s="425"/>
      <c r="T28" s="425"/>
      <c r="U28" s="425"/>
      <c r="V28" s="425"/>
      <c r="W28" s="425"/>
      <c r="X28" s="425"/>
      <c r="Y28" s="425"/>
      <c r="Z28" s="425"/>
      <c r="AA28" s="425"/>
      <c r="AB28" s="425"/>
      <c r="AC28" s="425"/>
    </row>
    <row r="29" spans="2:35" ht="18.5" customHeight="1">
      <c r="B29" s="141"/>
      <c r="C29" s="257" t="s">
        <v>314</v>
      </c>
      <c r="D29" s="146"/>
      <c r="E29" s="256" t="s">
        <v>313</v>
      </c>
      <c r="F29" s="190"/>
      <c r="G29" s="151"/>
      <c r="I29" s="527" t="s">
        <v>317</v>
      </c>
      <c r="J29" s="527"/>
      <c r="K29" s="527"/>
      <c r="L29" s="527"/>
      <c r="M29" s="527"/>
      <c r="N29" s="527"/>
      <c r="O29" s="527"/>
      <c r="P29" s="527"/>
      <c r="Q29" s="527"/>
      <c r="R29" s="527"/>
      <c r="S29" s="527"/>
      <c r="T29" s="527"/>
      <c r="U29" s="527"/>
      <c r="V29" s="527"/>
      <c r="W29" s="425"/>
      <c r="X29" s="425"/>
      <c r="Y29" s="425"/>
      <c r="Z29" s="425"/>
      <c r="AA29" s="425"/>
      <c r="AB29" s="425"/>
      <c r="AC29" s="425"/>
    </row>
    <row r="30" spans="2:35" ht="14.65" thickBot="1">
      <c r="B30" s="147"/>
      <c r="C30" s="148"/>
      <c r="D30" s="148"/>
      <c r="E30" s="153"/>
      <c r="F30" s="184"/>
      <c r="G30" s="152"/>
    </row>
    <row r="31" spans="2:35" ht="7.05" customHeight="1" thickBot="1">
      <c r="B31" s="524"/>
      <c r="C31" s="525"/>
      <c r="D31" s="525"/>
      <c r="E31" s="525"/>
      <c r="F31" s="525"/>
      <c r="G31" s="526"/>
      <c r="H31" s="3"/>
    </row>
    <row r="32" spans="2:35" ht="14.65" thickBot="1">
      <c r="H32" s="3"/>
    </row>
    <row r="33" spans="2:31" ht="16.149999999999999" thickBot="1">
      <c r="C33" s="261" t="s">
        <v>263</v>
      </c>
      <c r="H33" s="3"/>
    </row>
    <row r="34" spans="2:31">
      <c r="B34" s="157"/>
      <c r="C34" s="202"/>
      <c r="D34" s="158"/>
      <c r="E34" s="159"/>
      <c r="F34" s="185"/>
      <c r="G34" s="158"/>
      <c r="H34" s="158"/>
      <c r="I34" s="158"/>
      <c r="J34" s="159"/>
      <c r="K34" s="158"/>
      <c r="L34" s="159"/>
      <c r="M34" s="158"/>
      <c r="N34" s="159"/>
      <c r="O34" s="158"/>
      <c r="P34" s="159"/>
      <c r="Q34" s="158"/>
      <c r="R34" s="158"/>
      <c r="S34" s="158"/>
      <c r="T34" s="158"/>
      <c r="U34" s="158"/>
      <c r="V34" s="158"/>
      <c r="W34" s="158"/>
      <c r="X34" s="158"/>
      <c r="Y34" s="158"/>
      <c r="Z34" s="158"/>
      <c r="AA34" s="158"/>
      <c r="AB34" s="158"/>
      <c r="AC34" s="160"/>
    </row>
    <row r="35" spans="2:31" ht="18">
      <c r="B35" s="161"/>
      <c r="C35" s="162"/>
      <c r="D35" s="201" t="str">
        <f>IF(LEFT(depotpc,1)="à","RE2031","RE"&amp;LEFT(depotpc,4))</f>
        <v>RE2025</v>
      </c>
      <c r="E35" s="163"/>
      <c r="F35" s="187"/>
      <c r="G35" s="162"/>
      <c r="H35" s="162"/>
      <c r="I35" s="162"/>
      <c r="J35" s="163"/>
      <c r="K35" s="162"/>
      <c r="L35" s="163"/>
      <c r="M35" s="162"/>
      <c r="N35" s="163"/>
      <c r="O35" s="162"/>
      <c r="P35" s="163"/>
      <c r="Q35" s="162"/>
      <c r="R35" s="162"/>
      <c r="S35" s="162"/>
      <c r="T35" s="162"/>
      <c r="U35" s="162"/>
      <c r="V35" s="162"/>
      <c r="W35" s="162"/>
      <c r="X35" s="162"/>
      <c r="Y35" s="162"/>
      <c r="Z35" s="162"/>
      <c r="AA35" s="162"/>
      <c r="AB35" s="162"/>
      <c r="AC35" s="165"/>
    </row>
    <row r="36" spans="2:31">
      <c r="B36" s="161"/>
      <c r="C36" s="182" t="s">
        <v>257</v>
      </c>
      <c r="D36" s="162"/>
      <c r="E36" s="163"/>
      <c r="F36" s="186" t="str">
        <f>Calcul_bbio!E3</f>
        <v>Bbiomaxmoyen</v>
      </c>
      <c r="G36" s="164"/>
      <c r="H36" s="164" t="s">
        <v>164</v>
      </c>
      <c r="I36" s="164"/>
      <c r="J36" s="164" t="s">
        <v>163</v>
      </c>
      <c r="K36" s="164"/>
      <c r="L36" s="164" t="s">
        <v>165</v>
      </c>
      <c r="M36" s="164"/>
      <c r="N36" s="164" t="s">
        <v>170</v>
      </c>
      <c r="O36" s="164"/>
      <c r="P36" s="164" t="s">
        <v>171</v>
      </c>
      <c r="Q36" s="164"/>
      <c r="R36" s="504" t="s">
        <v>482</v>
      </c>
      <c r="S36" s="163"/>
      <c r="T36" s="162"/>
      <c r="U36" s="162"/>
      <c r="V36" s="162"/>
      <c r="W36" s="162"/>
      <c r="X36" s="162"/>
      <c r="Y36" s="162"/>
      <c r="Z36" s="162"/>
      <c r="AA36" s="162"/>
      <c r="AB36" s="162"/>
      <c r="AC36" s="165"/>
    </row>
    <row r="37" spans="2:31">
      <c r="B37" s="161"/>
      <c r="C37" s="180"/>
      <c r="D37" s="178" t="s">
        <v>27</v>
      </c>
      <c r="E37" s="179">
        <f>IFERROR(bbiomaxmoyen*(1+mbgeo+mbcombles+mbsurfmoy+mbsurtot+mbbruit+mbhsp),"non applicable")</f>
      </c>
      <c r="F37" s="187">
        <f>bbiomaxmoyen</f>
        <v>65</v>
      </c>
      <c r="G37" s="163" t="s">
        <v>198</v>
      </c>
      <c r="H37" s="163">
        <f>mbgeo</f>
        <v>0.1</v>
      </c>
      <c r="I37" s="163" t="s">
        <v>175</v>
      </c>
      <c r="J37" s="163">
        <f>mbcombles</f>
        <v>0</v>
      </c>
      <c r="K37" s="163" t="s">
        <v>175</v>
      </c>
      <c r="L37" s="168">
        <f>mbsurfmoy</f>
        <v>5.1282051282051377E-3</v>
      </c>
      <c r="M37" s="163" t="s">
        <v>175</v>
      </c>
      <c r="N37" s="169">
        <f>mbsurtot</f>
        <v>0</v>
      </c>
      <c r="O37" s="163" t="s">
        <v>175</v>
      </c>
      <c r="P37" s="163">
        <f>mbbruit</f>
        <v>0</v>
      </c>
      <c r="Q37" s="163" t="s">
        <v>175</v>
      </c>
      <c r="R37" s="169">
        <f>mbhsp</f>
        <v>2.6666666666666689E-2</v>
      </c>
      <c r="S37" s="170" t="s">
        <v>176</v>
      </c>
      <c r="T37" s="162"/>
      <c r="U37" s="162"/>
      <c r="V37" s="162"/>
      <c r="W37" s="162"/>
      <c r="X37" s="162"/>
      <c r="Y37" s="162"/>
      <c r="Z37" s="162"/>
      <c r="AA37" s="162"/>
      <c r="AB37" s="162"/>
      <c r="AC37" s="165"/>
    </row>
    <row r="38" spans="2:31">
      <c r="B38" s="161"/>
      <c r="C38" s="182" t="s">
        <v>258</v>
      </c>
      <c r="D38" s="166"/>
      <c r="E38" s="167"/>
      <c r="F38" s="186" t="s">
        <v>254</v>
      </c>
      <c r="G38" s="171"/>
      <c r="H38" s="164" t="s">
        <v>249</v>
      </c>
      <c r="I38" s="164"/>
      <c r="J38" s="164" t="s">
        <v>239</v>
      </c>
      <c r="K38" s="164"/>
      <c r="L38" s="164" t="s">
        <v>250</v>
      </c>
      <c r="M38" s="164"/>
      <c r="N38" s="164" t="s">
        <v>251</v>
      </c>
      <c r="O38" s="164"/>
      <c r="P38" s="164" t="s">
        <v>242</v>
      </c>
      <c r="Q38" s="164"/>
      <c r="R38" s="504" t="s">
        <v>488</v>
      </c>
      <c r="S38" s="163"/>
      <c r="T38" s="162"/>
      <c r="U38" s="162"/>
      <c r="V38" s="162"/>
      <c r="W38" s="162"/>
      <c r="X38" s="162"/>
      <c r="Y38" s="162"/>
      <c r="Z38" s="162"/>
      <c r="AA38" s="162"/>
      <c r="AB38" s="162"/>
      <c r="AC38" s="165"/>
    </row>
    <row r="39" spans="2:31">
      <c r="B39" s="161"/>
      <c r="C39" s="180"/>
      <c r="D39" s="178" t="s">
        <v>28</v>
      </c>
      <c r="E39" s="208">
        <f>IFERROR(cepnrmaxmoyen*(1+mcgeo+mccombles+mcsurfmoy+mcsurftot+mccat+mchsp),"non applicable")</f>
      </c>
      <c r="F39" s="187">
        <f>cepnrmaxmoyen</f>
        <v>70</v>
      </c>
      <c r="G39" s="163" t="s">
        <v>198</v>
      </c>
      <c r="H39" s="163">
        <f>mcgeo</f>
        <v>0.05</v>
      </c>
      <c r="I39" s="163" t="s">
        <v>175</v>
      </c>
      <c r="J39" s="168">
        <f>mccombles</f>
        <v>0</v>
      </c>
      <c r="K39" s="163" t="s">
        <v>175</v>
      </c>
      <c r="L39" s="168">
        <f>mcsurfmoy</f>
        <v>-1.1904761904761913E-2</v>
      </c>
      <c r="M39" s="163" t="s">
        <v>175</v>
      </c>
      <c r="N39" s="169">
        <f>mcsurftot</f>
        <v>0</v>
      </c>
      <c r="O39" s="163" t="s">
        <v>175</v>
      </c>
      <c r="P39" s="163">
        <f>mccat</f>
        <v>0</v>
      </c>
      <c r="Q39" s="163" t="s">
        <v>175</v>
      </c>
      <c r="R39" s="169">
        <f>mchsp</f>
        <v>1.0000000000000009E-2</v>
      </c>
      <c r="S39" s="170" t="s">
        <v>176</v>
      </c>
      <c r="T39" s="162"/>
      <c r="U39" s="162"/>
      <c r="V39" s="162"/>
      <c r="W39" s="162"/>
      <c r="X39" s="162"/>
      <c r="Y39" s="162"/>
      <c r="Z39" s="162"/>
      <c r="AA39" s="162"/>
      <c r="AB39" s="162"/>
      <c r="AC39" s="165"/>
    </row>
    <row r="40" spans="2:31">
      <c r="B40" s="161"/>
      <c r="C40" s="182" t="s">
        <v>259</v>
      </c>
      <c r="D40" s="166"/>
      <c r="E40" s="172"/>
      <c r="F40" s="186" t="s">
        <v>253</v>
      </c>
      <c r="G40" s="171"/>
      <c r="H40" s="164" t="s">
        <v>249</v>
      </c>
      <c r="I40" s="164"/>
      <c r="J40" s="164" t="s">
        <v>239</v>
      </c>
      <c r="K40" s="164"/>
      <c r="L40" s="164" t="s">
        <v>250</v>
      </c>
      <c r="M40" s="164"/>
      <c r="N40" s="164" t="s">
        <v>251</v>
      </c>
      <c r="O40" s="164"/>
      <c r="P40" s="164" t="s">
        <v>242</v>
      </c>
      <c r="Q40" s="164"/>
      <c r="R40" s="504" t="s">
        <v>488</v>
      </c>
      <c r="S40" s="163"/>
      <c r="T40" s="162"/>
      <c r="U40" s="162"/>
      <c r="V40" s="162"/>
      <c r="W40" s="162"/>
      <c r="X40" s="162"/>
      <c r="Y40" s="162"/>
      <c r="Z40" s="162"/>
      <c r="AA40" s="162"/>
      <c r="AB40" s="162"/>
      <c r="AC40" s="165"/>
    </row>
    <row r="41" spans="2:31">
      <c r="B41" s="161"/>
      <c r="C41" s="180"/>
      <c r="D41" s="178" t="s">
        <v>29</v>
      </c>
      <c r="E41" s="208">
        <f>IFERROR(cepmaxmoyen*(1+mcgeo+mccombles+mcsurfmoy+mcsurftot+mccat+mchsp),"non applicable")</f>
      </c>
      <c r="F41" s="187">
        <f>cepmaxmoyen</f>
        <v>85</v>
      </c>
      <c r="G41" s="163" t="s">
        <v>198</v>
      </c>
      <c r="H41" s="163">
        <f>mcgeo</f>
        <v>0.05</v>
      </c>
      <c r="I41" s="163" t="s">
        <v>175</v>
      </c>
      <c r="J41" s="168">
        <f>mccombles</f>
        <v>0</v>
      </c>
      <c r="K41" s="163" t="s">
        <v>175</v>
      </c>
      <c r="L41" s="168">
        <f>mcsurfmoy</f>
        <v>-1.1904761904761913E-2</v>
      </c>
      <c r="M41" s="163" t="s">
        <v>175</v>
      </c>
      <c r="N41" s="169">
        <f>mcsurftot</f>
        <v>0</v>
      </c>
      <c r="O41" s="163" t="s">
        <v>175</v>
      </c>
      <c r="P41" s="163">
        <f>mccat</f>
        <v>0</v>
      </c>
      <c r="Q41" s="163" t="s">
        <v>175</v>
      </c>
      <c r="R41" s="169">
        <f>mchsp</f>
        <v>1.0000000000000009E-2</v>
      </c>
      <c r="S41" s="170" t="s">
        <v>176</v>
      </c>
      <c r="T41" s="162"/>
      <c r="U41" s="162"/>
      <c r="V41" s="162"/>
      <c r="W41" s="162"/>
      <c r="X41" s="162"/>
      <c r="Y41" s="162"/>
      <c r="Z41" s="162"/>
      <c r="AA41" s="162"/>
      <c r="AB41" s="162"/>
      <c r="AC41" s="165"/>
    </row>
    <row r="42" spans="2:31">
      <c r="B42" s="161"/>
      <c r="C42" s="182" t="s">
        <v>260</v>
      </c>
      <c r="D42" s="166"/>
      <c r="E42" s="172"/>
      <c r="F42" s="186" t="s">
        <v>252</v>
      </c>
      <c r="G42" s="171"/>
      <c r="H42" s="164" t="s">
        <v>249</v>
      </c>
      <c r="I42" s="164"/>
      <c r="J42" s="164" t="s">
        <v>239</v>
      </c>
      <c r="K42" s="164"/>
      <c r="L42" s="164" t="s">
        <v>250</v>
      </c>
      <c r="M42" s="164"/>
      <c r="N42" s="164" t="s">
        <v>251</v>
      </c>
      <c r="O42" s="164"/>
      <c r="P42" s="164" t="s">
        <v>242</v>
      </c>
      <c r="Q42" s="164"/>
      <c r="R42" s="504" t="s">
        <v>488</v>
      </c>
      <c r="S42" s="163"/>
      <c r="T42" s="162"/>
      <c r="U42" s="162"/>
      <c r="V42" s="162"/>
      <c r="W42" s="162"/>
      <c r="X42" s="162"/>
      <c r="Y42" s="162"/>
      <c r="Z42" s="162"/>
      <c r="AA42" s="162"/>
      <c r="AB42" s="162"/>
      <c r="AC42" s="165"/>
    </row>
    <row r="43" spans="2:31">
      <c r="B43" s="161"/>
      <c r="C43" s="180"/>
      <c r="D43" s="178" t="s">
        <v>30</v>
      </c>
      <c r="E43" s="181">
        <f ca="1">IFERROR(icenergie*(1+mcgeo+mccombles+mcsurfmoy+mcsurftot+mccat+mchsp),"non applicable")</f>
      </c>
      <c r="F43" s="187">
        <f ca="1">icenergie</f>
        <v>260</v>
      </c>
      <c r="G43" s="163" t="s">
        <v>198</v>
      </c>
      <c r="H43" s="163">
        <f>mcgeo</f>
        <v>0.05</v>
      </c>
      <c r="I43" s="163" t="s">
        <v>175</v>
      </c>
      <c r="J43" s="168">
        <f>mccombles</f>
        <v>0</v>
      </c>
      <c r="K43" s="163" t="s">
        <v>175</v>
      </c>
      <c r="L43" s="168">
        <f>mcsurfmoy</f>
        <v>-1.1904761904761913E-2</v>
      </c>
      <c r="M43" s="163" t="s">
        <v>175</v>
      </c>
      <c r="N43" s="169">
        <f>mcsurftot</f>
        <v>0</v>
      </c>
      <c r="O43" s="163" t="s">
        <v>175</v>
      </c>
      <c r="P43" s="163">
        <f>mccat</f>
        <v>0</v>
      </c>
      <c r="Q43" s="163" t="s">
        <v>175</v>
      </c>
      <c r="R43" s="169">
        <f>mchsp</f>
        <v>1.0000000000000009E-2</v>
      </c>
      <c r="S43" s="170" t="s">
        <v>176</v>
      </c>
      <c r="T43" s="162"/>
      <c r="U43" s="162"/>
      <c r="V43" s="162"/>
      <c r="W43" s="162"/>
      <c r="X43" s="162"/>
      <c r="Y43" s="162"/>
      <c r="Z43" s="162"/>
      <c r="AA43" s="162"/>
      <c r="AB43" s="162"/>
      <c r="AC43" s="165"/>
    </row>
    <row r="44" spans="2:31">
      <c r="B44" s="161"/>
      <c r="C44" s="182" t="s">
        <v>261</v>
      </c>
      <c r="D44" s="173" t="s">
        <v>229</v>
      </c>
      <c r="E44" s="172"/>
      <c r="F44" s="186" t="s">
        <v>199</v>
      </c>
      <c r="G44" s="164"/>
      <c r="H44" s="164" t="s">
        <v>200</v>
      </c>
      <c r="I44" s="164"/>
      <c r="J44" s="164" t="s">
        <v>201</v>
      </c>
      <c r="K44" s="164"/>
      <c r="L44" s="164" t="s">
        <v>202</v>
      </c>
      <c r="M44" s="164"/>
      <c r="N44" s="164" t="s">
        <v>203</v>
      </c>
      <c r="O44" s="164"/>
      <c r="P44" s="164" t="s">
        <v>204</v>
      </c>
      <c r="Q44" s="164"/>
      <c r="R44" s="164" t="s">
        <v>205</v>
      </c>
      <c r="S44" s="164"/>
      <c r="T44" s="164" t="s">
        <v>206</v>
      </c>
      <c r="U44" s="164"/>
      <c r="V44" s="164" t="s">
        <v>207</v>
      </c>
      <c r="W44" s="164"/>
      <c r="X44" s="504" t="s">
        <v>455</v>
      </c>
      <c r="Y44" s="504"/>
      <c r="Z44" s="504" t="s">
        <v>471</v>
      </c>
      <c r="AA44" s="504"/>
      <c r="AB44" s="504" t="s">
        <v>479</v>
      </c>
      <c r="AC44" s="165"/>
      <c r="AD44" s="6"/>
      <c r="AE44" s="6"/>
    </row>
    <row r="45" spans="2:31">
      <c r="B45" s="161"/>
      <c r="C45" s="180"/>
      <c r="D45" s="178" t="s">
        <v>31</v>
      </c>
      <c r="E45" s="181">
        <f>IFERROR(icconstructionmaxmoyen*(1+micombles+misurfmoy+misurftot)+migeo+miinfra+mivrd+mipv+mided+miagrément+mihsp+miclimrcu,"non applicable")</f>
      </c>
      <c r="F45" s="187">
        <f>icconstructionmaxmoyen</f>
        <v>650</v>
      </c>
      <c r="G45" s="163" t="s">
        <v>198</v>
      </c>
      <c r="H45" s="169">
        <f>micombles</f>
        <v>0</v>
      </c>
      <c r="I45" s="163" t="s">
        <v>175</v>
      </c>
      <c r="J45" s="163">
        <f>misurfmoy</f>
        <v>0</v>
      </c>
      <c r="K45" s="163" t="s">
        <v>175</v>
      </c>
      <c r="L45" s="163">
        <f>misurftot</f>
        <v>-8.7500000000000008E-2</v>
      </c>
      <c r="M45" s="163" t="s">
        <v>489</v>
      </c>
      <c r="N45" s="163">
        <f>migeo</f>
        <v>0</v>
      </c>
      <c r="O45" s="163" t="s">
        <v>175</v>
      </c>
      <c r="P45" s="163">
        <f>miinfra</f>
        <v>0</v>
      </c>
      <c r="Q45" s="163" t="s">
        <v>175</v>
      </c>
      <c r="R45" s="163">
        <f>mivrd</f>
        <v>0</v>
      </c>
      <c r="S45" s="163" t="s">
        <v>175</v>
      </c>
      <c r="T45" s="163">
        <f>mipv</f>
        <v>0</v>
      </c>
      <c r="U45" s="163" t="s">
        <v>175</v>
      </c>
      <c r="V45" s="163">
        <f>mided</f>
        <v>0</v>
      </c>
      <c r="W45" s="163" t="s">
        <v>175</v>
      </c>
      <c r="X45" s="163">
        <f>miagrément</f>
        <v>3.4736842105263142</v>
      </c>
      <c r="Y45" s="163" t="s">
        <v>175</v>
      </c>
      <c r="Z45" s="163">
        <f>mihsp</f>
        <v>3.8000000000000034</v>
      </c>
      <c r="AA45" s="163" t="s">
        <v>175</v>
      </c>
      <c r="AB45" s="163">
        <f>miclimrcu</f>
        <v>0</v>
      </c>
      <c r="AC45" s="165"/>
      <c r="AD45" s="6"/>
      <c r="AE45" s="6"/>
    </row>
    <row r="46" spans="2:31">
      <c r="B46" s="161"/>
      <c r="C46" s="162"/>
      <c r="D46" s="173" t="s">
        <v>229</v>
      </c>
      <c r="E46" s="163"/>
      <c r="F46" s="187"/>
      <c r="G46" s="162"/>
      <c r="H46" s="163"/>
      <c r="I46" s="162"/>
      <c r="J46" s="163"/>
      <c r="K46" s="162"/>
      <c r="L46" s="163"/>
      <c r="M46" s="162"/>
      <c r="N46" s="163"/>
      <c r="O46" s="162"/>
      <c r="P46" s="163"/>
      <c r="Q46" s="162"/>
      <c r="R46" s="162"/>
      <c r="S46" s="162"/>
      <c r="T46" s="162"/>
      <c r="U46" s="162"/>
      <c r="V46" s="164" t="str">
        <f>"seuil à "&amp;seuilded</f>
        <v>seuil à 250</v>
      </c>
      <c r="W46" s="162"/>
      <c r="X46" s="164"/>
      <c r="Y46" s="162"/>
      <c r="Z46" s="164"/>
      <c r="AA46" s="162"/>
      <c r="AB46" s="164"/>
      <c r="AC46" s="165"/>
    </row>
    <row r="47" spans="2:31">
      <c r="B47" s="161"/>
      <c r="C47" s="182" t="s">
        <v>316</v>
      </c>
      <c r="D47" s="173"/>
      <c r="E47" s="172"/>
      <c r="F47" s="258" t="s">
        <v>315</v>
      </c>
      <c r="G47" s="162"/>
      <c r="H47" s="163"/>
      <c r="I47" s="163"/>
      <c r="J47" s="163"/>
      <c r="K47" s="162"/>
      <c r="L47" s="163"/>
      <c r="M47" s="162"/>
      <c r="N47" s="163"/>
      <c r="O47" s="162"/>
      <c r="P47" s="163"/>
      <c r="Q47" s="162"/>
      <c r="R47" s="162"/>
      <c r="S47" s="162"/>
      <c r="T47" s="162"/>
      <c r="U47" s="162"/>
      <c r="V47" s="164"/>
      <c r="W47" s="162"/>
      <c r="X47" s="164"/>
      <c r="Y47" s="162"/>
      <c r="Z47" s="164"/>
      <c r="AA47" s="162"/>
      <c r="AB47" s="164"/>
      <c r="AC47" s="165"/>
    </row>
    <row r="48" spans="2:31">
      <c r="B48" s="161"/>
      <c r="C48" s="180"/>
      <c r="D48" s="178" t="s">
        <v>288</v>
      </c>
      <c r="E48" s="219">
        <f>IFERROR(Calcul_dh!C2,"non applicable")</f>
      </c>
      <c r="F48" s="259">
        <f>Calcul_dh!F2</f>
        <v>600</v>
      </c>
      <c r="G48" s="162"/>
      <c r="H48" s="163"/>
      <c r="I48" s="163"/>
      <c r="J48" s="163"/>
      <c r="K48" s="162"/>
      <c r="L48" s="163"/>
      <c r="M48" s="162"/>
      <c r="N48" s="163"/>
      <c r="O48" s="162"/>
      <c r="P48" s="163"/>
      <c r="Q48" s="162"/>
      <c r="R48" s="162"/>
      <c r="S48" s="162"/>
      <c r="T48" s="162"/>
      <c r="U48" s="162"/>
      <c r="V48" s="164"/>
      <c r="W48" s="162"/>
      <c r="X48" s="164"/>
      <c r="Y48" s="162"/>
      <c r="Z48" s="164"/>
      <c r="AA48" s="162"/>
      <c r="AB48" s="164"/>
      <c r="AC48" s="165"/>
    </row>
    <row r="49" spans="2:29" ht="14.65" thickBot="1">
      <c r="B49" s="174"/>
      <c r="C49" s="175"/>
      <c r="D49" s="175"/>
      <c r="E49" s="176"/>
      <c r="F49" s="188"/>
      <c r="G49" s="175"/>
      <c r="H49" s="176"/>
      <c r="I49" s="175"/>
      <c r="J49" s="176"/>
      <c r="K49" s="175"/>
      <c r="L49" s="176"/>
      <c r="M49" s="175"/>
      <c r="N49" s="176"/>
      <c r="O49" s="175"/>
      <c r="P49" s="176"/>
      <c r="Q49" s="175"/>
      <c r="R49" s="175"/>
      <c r="S49" s="175"/>
      <c r="T49" s="175"/>
      <c r="U49" s="175"/>
      <c r="V49" s="175"/>
      <c r="W49" s="175"/>
      <c r="X49" s="175"/>
      <c r="Y49" s="175"/>
      <c r="Z49" s="175"/>
      <c r="AA49" s="175"/>
      <c r="AB49" s="175"/>
      <c r="AC49" s="177"/>
    </row>
    <row r="50" spans="2:29" ht="7.5" customHeight="1" thickBot="1">
      <c r="B50" s="524"/>
      <c r="C50" s="525"/>
      <c r="D50" s="525"/>
      <c r="E50" s="525"/>
      <c r="F50" s="525"/>
      <c r="G50" s="525"/>
      <c r="H50" s="525"/>
      <c r="I50" s="525"/>
      <c r="J50" s="525"/>
      <c r="K50" s="525"/>
      <c r="L50" s="525"/>
      <c r="M50" s="525"/>
      <c r="N50" s="525"/>
      <c r="O50" s="525"/>
      <c r="P50" s="525"/>
      <c r="Q50" s="525"/>
      <c r="R50" s="525"/>
      <c r="S50" s="525"/>
      <c r="T50" s="525"/>
      <c r="U50" s="525"/>
      <c r="V50" s="525"/>
      <c r="W50" s="486"/>
      <c r="X50" s="486"/>
      <c r="Y50" s="486"/>
      <c r="Z50" s="486"/>
      <c r="AA50" s="486"/>
      <c r="AB50" s="486"/>
      <c r="AC50" s="486"/>
    </row>
    <row r="51" spans="2:29">
      <c r="E51" s="124"/>
    </row>
    <row r="52" spans="2:29">
      <c r="E52" s="125"/>
    </row>
    <row r="53" spans="2:29">
      <c r="E53" s="124"/>
    </row>
    <row r="54" spans="2:29">
      <c r="E54" s="125"/>
    </row>
    <row r="55" spans="2:29">
      <c r="E55" s="124"/>
    </row>
  </sheetData>
  <mergeCells count="11">
    <mergeCell ref="I9:V9"/>
    <mergeCell ref="B31:G31"/>
    <mergeCell ref="B50:V50"/>
    <mergeCell ref="I10:V10"/>
    <mergeCell ref="I23:V23"/>
    <mergeCell ref="I14:V14"/>
    <mergeCell ref="I22:V22"/>
    <mergeCell ref="I29:V29"/>
    <mergeCell ref="I19:V21"/>
    <mergeCell ref="I26:AE26"/>
    <mergeCell ref="I27:AE27"/>
  </mergeCells>
  <phoneticPr fontId="5" type="noConversion"/>
  <conditionalFormatting sqref="C21">
    <cfRule type="expression" dxfId="137" priority="14">
      <formula>$E$20="OUI"</formula>
    </cfRule>
  </conditionalFormatting>
  <conditionalFormatting sqref="C27">
    <cfRule type="expression" dxfId="135" priority="3">
      <formula>F4</formula>
    </cfRule>
  </conditionalFormatting>
  <conditionalFormatting sqref="D27">
    <cfRule type="expression" dxfId="133" priority="4">
      <formula>F4</formula>
    </cfRule>
  </conditionalFormatting>
  <conditionalFormatting sqref="E11">
    <cfRule type="expression" dxfId="131" priority="20">
      <formula>$D$11="[m²]"</formula>
    </cfRule>
  </conditionalFormatting>
  <conditionalFormatting sqref="E12">
    <cfRule type="expression" dxfId="130" priority="18">
      <formula>F4</formula>
    </cfRule>
  </conditionalFormatting>
  <conditionalFormatting sqref="E13">
    <cfRule type="expression" dxfId="129" priority="17">
      <formula>F4</formula>
    </cfRule>
  </conditionalFormatting>
  <conditionalFormatting sqref="E21">
    <cfRule type="expression" dxfId="128" priority="15">
      <formula>$E$20="OUI"</formula>
    </cfRule>
  </conditionalFormatting>
  <conditionalFormatting sqref="E25">
    <cfRule type="cellIs" dxfId="127" priority="1" operator="equal">
      <formula>"OUI"</formula>
    </cfRule>
  </conditionalFormatting>
  <conditionalFormatting sqref="E27">
    <cfRule type="expression" dxfId="125" priority="6">
      <formula>F4</formula>
    </cfRule>
  </conditionalFormatting>
  <conditionalFormatting sqref="F12:F13">
    <cfRule type="expression" dxfId="124" priority="9">
      <formula>F4</formula>
    </cfRule>
  </conditionalFormatting>
  <conditionalFormatting sqref="F13">
    <cfRule type="expression" dxfId="123" priority="8" stopIfTrue="1">
      <formula>"F4"</formula>
    </cfRule>
  </conditionalFormatting>
  <conditionalFormatting sqref="F15">
    <cfRule type="cellIs" dxfId="122" priority="16" operator="equal">
      <formula>"PAS LA BONNE DATE"</formula>
    </cfRule>
  </conditionalFormatting>
  <conditionalFormatting sqref="F27">
    <cfRule type="expression" dxfId="120" priority="5">
      <formula>F4</formula>
    </cfRule>
  </conditionalFormatting>
  <dataValidations count="4">
    <dataValidation showInputMessage="1" showErrorMessage="1" sqref="E16" xr:uid="{0E432FFB-61C2-476D-B6C9-C954661F3D20}"/>
    <dataValidation type="list" allowBlank="1" showInputMessage="1" showErrorMessage="1" sqref="E20:E21 E28 E23 E25" xr:uid="{664B43F7-B451-4EFB-8C7E-3E05E3BA3A44}">
      <formula1>"OUI,NON"</formula1>
    </dataValidation>
    <dataValidation type="list" allowBlank="1" showInputMessage="1" showErrorMessage="1" sqref="E22" xr:uid="{54C643B6-5D91-4EA3-BE23-566572CBC11A}">
      <formula1>"Catégorie 1,Catégorie 2,Catégorie 3"</formula1>
    </dataValidation>
    <dataValidation type="list" allowBlank="1" showInputMessage="1" showErrorMessage="1" sqref="E5" xr:uid="{073AE950-A596-4AE8-AD6D-6CF07808574D}">
      <formula1>INDIRECT(E4)</formula1>
    </dataValidation>
  </dataValidations>
  <hyperlinks>
    <hyperlink ref="I14:V14" r:id="rId1" display="dans le chapitre V de https://www.legifrance.gouv.fr/codes/article_lc/LEGIARTI000045292850" xr:uid="{1A1A4B3F-35AB-41C7-A298-55BA1F178E50}"/>
    <hyperlink ref="I9" r:id="rId2" xr:uid="{E8782FD6-EEEC-44F1-ABBD-A9B65B62D161}"/>
    <hyperlink ref="I10" r:id="rId3" xr:uid="{F389E54F-C9DD-4D20-AA84-408D33229F03}"/>
    <hyperlink ref="I22:V22" r:id="rId4" display="dans le chapitre V de https://www.legifrance.gouv.fr/codes/article_lc/LEGIARTI000045292850" xr:uid="{9962CA08-8BDB-44ED-B829-40AE1BE11B80}"/>
    <hyperlink ref="W14:AC14" r:id="rId5" display="dans le chapitre V de https://www.legifrance.gouv.fr/codes/article_lc/LEGIARTI000045292850" xr:uid="{9A04D289-A64A-4C26-84E8-642F1BC18A7C}"/>
    <hyperlink ref="W22:AC22" r:id="rId6" display="dans le chapitre V de https://www.legifrance.gouv.fr/codes/article_lc/LEGIARTI000045292850" xr:uid="{5E6C63CE-BB3B-4A97-B083-3A5C55339823}"/>
    <hyperlink ref="Y14:Z14" r:id="rId7" display="dans le chapitre V de https://www.legifrance.gouv.fr/codes/article_lc/LEGIARTI000045292850" xr:uid="{2ACAEBE9-7E9B-4805-B90C-C7439F30088B}"/>
    <hyperlink ref="Y22:Z22" r:id="rId8" display="dans le chapitre V de https://www.legifrance.gouv.fr/codes/article_lc/LEGIARTI000045292850" xr:uid="{DDAAEEFA-52F1-45B4-A076-57AD7B11636D}"/>
    <hyperlink ref="AA14:AB14" r:id="rId9" display="dans le chapitre V de https://www.legifrance.gouv.fr/codes/article_lc/LEGIARTI000045292850" xr:uid="{AA17182A-3B24-43AB-BE18-40649B7401CD}"/>
    <hyperlink ref="AA22:AB22" r:id="rId10" display="dans le chapitre V de https://www.legifrance.gouv.fr/codes/article_lc/LEGIARTI000045292850" xr:uid="{17B23FE5-226D-41A4-8FC4-05C9212A3344}"/>
  </hyperlinks>
  <pageMargins left="0.7" right="0.7" top="0.75" bottom="0.75" header="0.3" footer="0.3"/>
  <pageSetup paperSize="9" orientation="portrait" horizontalDpi="1200" verticalDpi="1200" r:id="rId11"/>
  <legacyDrawing r:id="rId12"/>
  <extLst>
    <ext xmlns:x14="http://schemas.microsoft.com/office/spreadsheetml/2009/9/main" uri="{78C0D931-6437-407d-A8EE-F0AAD7539E65}">
      <x14:conditionalFormattings>
        <x14:conditionalFormatting xmlns:xm="http://schemas.microsoft.com/office/excel/2006/main">
          <x14:cfRule type="expression" priority="13" id="{016BA146-206A-4EC0-9F27-41015DD44F71}">
            <xm:f>$E$4=Enumération!$C$5</xm:f>
            <x14:dxf>
              <font>
                <color theme="1"/>
              </font>
              <fill>
                <patternFill>
                  <bgColor theme="5" tint="0.39994506668294322"/>
                </patternFill>
              </fill>
            </x14:dxf>
          </x14:cfRule>
          <xm:sqref>C26</xm:sqref>
        </x14:conditionalFormatting>
        <x14:conditionalFormatting xmlns:xm="http://schemas.microsoft.com/office/excel/2006/main">
          <x14:cfRule type="expression" priority="12" id="{66E58B17-F8BB-4D1D-A360-300802DF1327}">
            <xm:f>$E$4=Enumération!$C$5</xm:f>
            <x14:dxf>
              <font>
                <color theme="0" tint="-0.499984740745262"/>
              </font>
            </x14:dxf>
          </x14:cfRule>
          <xm:sqref>D26</xm:sqref>
        </x14:conditionalFormatting>
        <x14:conditionalFormatting xmlns:xm="http://schemas.microsoft.com/office/excel/2006/main">
          <x14:cfRule type="expression" priority="19" id="{00000000-000E-0000-0100-000003000000}">
            <xm:f>IF(COUNTIF(Enumération!F3:K3,E4)&gt;0,TRUE,FALSE)</xm:f>
            <x14:dxf>
              <font>
                <color theme="1"/>
              </font>
              <fill>
                <patternFill>
                  <bgColor theme="6"/>
                </patternFill>
              </fill>
            </x14:dxf>
          </x14:cfRule>
          <xm:sqref>E5</xm:sqref>
        </x14:conditionalFormatting>
        <x14:conditionalFormatting xmlns:xm="http://schemas.microsoft.com/office/excel/2006/main">
          <x14:cfRule type="expression" priority="11" id="{D69B3CA9-B7A6-44FD-ADF8-6024F5E37A10}">
            <xm:f>$E$4=Enumération!$C$5</xm:f>
            <x14:dxf>
              <font>
                <color theme="1"/>
              </font>
              <fill>
                <patternFill>
                  <bgColor theme="6"/>
                </patternFill>
              </fill>
            </x14:dxf>
          </x14:cfRule>
          <xm:sqref>E26</xm:sqref>
        </x14:conditionalFormatting>
        <x14:conditionalFormatting xmlns:xm="http://schemas.microsoft.com/office/excel/2006/main">
          <x14:cfRule type="expression" priority="10" id="{AFC0DC45-1104-4224-8021-6AA31C323E40}">
            <xm:f>$E$4=Enumération!$C$5</xm:f>
            <x14:dxf>
              <font>
                <color theme="1"/>
              </font>
            </x14:dxf>
          </x14:cfRule>
          <xm:sqref>F26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6FD75EC0-B142-4BF8-AC10-6A2BE741362E}">
          <x14:formula1>
            <xm:f>Enumération!$C$4:$C$21</xm:f>
          </x14:formula1>
          <xm:sqref>E4</xm:sqref>
        </x14:dataValidation>
        <x14:dataValidation type="list" allowBlank="1" showInputMessage="1" showErrorMessage="1" xr:uid="{DB0265A2-49EA-4C6F-85FE-75EBD36BFFF4}">
          <x14:formula1>
            <xm:f>Calcul_bbio!$E$36:$G$36</xm:f>
          </x14:formula1>
          <xm:sqref>E9</xm:sqref>
        </x14:dataValidation>
        <x14:dataValidation type="list" allowBlank="1" showInputMessage="1" showErrorMessage="1" xr:uid="{1C858AE4-9485-4E62-92D5-EADD3BB942F5}">
          <x14:formula1>
            <xm:f>'zone climatique'!$C$2:$C$99</xm:f>
          </x14:formula1>
          <xm:sqref>E6</xm:sqref>
        </x14:dataValidation>
        <x14:dataValidation type="list" allowBlank="1" showInputMessage="1" showErrorMessage="1" xr:uid="{EAEA928F-46D8-4AF8-A933-53EC95EC06D9}">
          <x14:formula1>
            <xm:f>'zone climatique'!$B$2:$B$99</xm:f>
          </x14:formula1>
          <xm:sqref>E7</xm:sqref>
        </x14:dataValidation>
        <x14:dataValidation type="list" showInputMessage="1" showErrorMessage="1" xr:uid="{106E086E-C4FA-471A-8698-BD4D406EE645}">
          <x14:formula1>
            <xm:f>Enumération!$O$3:$O$6</xm:f>
          </x14:formula1>
          <xm:sqref>E15</xm:sqref>
        </x14:dataValidation>
        <x14:dataValidation type="list" showInputMessage="1" showErrorMessage="1" xr:uid="{9BA64EEC-8AB0-4601-A14D-3C8982253A0C}">
          <x14:formula1>
            <xm:f>Calcul_bbio!$E$63:$F$63</xm:f>
          </x14:formula1>
          <xm:sqref>E14</xm:sqref>
        </x14:dataValidation>
        <x14:dataValidation type="list" allowBlank="1" showInputMessage="1" showErrorMessage="1" xr:uid="{A229D703-81E4-4257-82C6-EB5CD6C41155}">
          <x14:formula1>
            <xm:f>Calcul_dh!$Q$13:$Q$14</xm:f>
          </x14:formula1>
          <xm:sqref>E29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C27B-834D-4C33-B6F5-73DBCB2396FA}">
  <sheetPr>
    <tabColor theme="4"/>
  </sheetPr>
  <dimension ref="A1:J38"/>
  <sheetViews>
    <sheetView topLeftCell="A8" workbookViewId="0">
      <selection activeCell="D35" sqref="D35"/>
    </sheetView>
  </sheetViews>
  <sheetFormatPr baseColWidth="10" defaultColWidth="10.9296875" defaultRowHeight="14.25" outlineLevelRow="1"/>
  <cols>
    <col min="1" max="1" width="10.9296875" style="1"/>
    <col min="2" max="2" width="3.59765625" style="1" customWidth="1"/>
    <col min="3" max="3" width="48.59765625" style="1" customWidth="1"/>
    <col min="4" max="4" width="10.9296875" style="1"/>
    <col min="5" max="5" width="19.59765625" style="1" customWidth="1"/>
    <col min="6" max="6" width="11.33203125" style="1" customWidth="1"/>
    <col min="7" max="7" width="9.9296875" style="1" customWidth="1"/>
    <col min="8" max="16384" width="10.9296875" style="1"/>
  </cols>
  <sheetData>
    <row r="1" spans="1:10" ht="14.65" thickBot="1">
      <c r="A1" s="3"/>
      <c r="B1" s="3"/>
      <c r="C1" s="3"/>
      <c r="D1" s="3"/>
      <c r="E1" s="6"/>
      <c r="F1" s="156" t="s">
        <v>161</v>
      </c>
      <c r="G1" s="5" t="s">
        <v>162</v>
      </c>
      <c r="H1" s="6"/>
      <c r="I1" s="3"/>
      <c r="J1" s="6"/>
    </row>
    <row r="2" spans="1:10" ht="16.149999999999999" thickBot="1">
      <c r="A2" s="3"/>
      <c r="B2" s="3"/>
      <c r="C2" s="427" t="s">
        <v>409</v>
      </c>
      <c r="D2" s="4"/>
      <c r="E2" s="4"/>
      <c r="F2" s="4"/>
      <c r="G2" s="3"/>
      <c r="H2" s="6"/>
      <c r="I2" s="3"/>
      <c r="J2" s="6"/>
    </row>
    <row r="3" spans="1:10">
      <c r="A3" s="3"/>
      <c r="B3" s="428"/>
      <c r="C3" s="429"/>
      <c r="D3" s="430"/>
      <c r="E3" s="431"/>
      <c r="F3" s="432"/>
      <c r="G3" s="433"/>
      <c r="H3" s="6"/>
      <c r="I3" s="3"/>
      <c r="J3" s="6"/>
    </row>
    <row r="4" spans="1:10" ht="18">
      <c r="A4" s="3"/>
      <c r="B4" s="434"/>
      <c r="C4" s="435" t="s">
        <v>197</v>
      </c>
      <c r="D4" s="436"/>
      <c r="E4" s="489" t="s">
        <v>332</v>
      </c>
      <c r="F4" s="437"/>
      <c r="G4" s="438"/>
      <c r="H4" s="6"/>
      <c r="I4" s="3"/>
      <c r="J4" s="6"/>
    </row>
    <row r="5" spans="1:10" ht="18">
      <c r="A5" s="3"/>
      <c r="B5" s="434"/>
      <c r="C5" s="435" t="s">
        <v>424</v>
      </c>
      <c r="D5" s="436"/>
      <c r="E5" s="490" t="s">
        <v>426</v>
      </c>
      <c r="F5" s="437"/>
      <c r="G5" s="438"/>
      <c r="H5" s="6"/>
      <c r="I5" s="3"/>
      <c r="J5" s="6"/>
    </row>
    <row r="6" spans="1:10">
      <c r="A6" s="3"/>
      <c r="B6" s="434"/>
      <c r="C6" s="439"/>
      <c r="D6" s="440"/>
      <c r="E6" s="440"/>
      <c r="F6" s="437"/>
      <c r="G6" s="438"/>
      <c r="H6" s="6"/>
      <c r="I6" s="37"/>
      <c r="J6" s="6"/>
    </row>
    <row r="7" spans="1:10" ht="18">
      <c r="A7" s="3"/>
      <c r="B7" s="434"/>
      <c r="C7" s="435" t="s">
        <v>410</v>
      </c>
      <c r="D7" s="441" t="s">
        <v>166</v>
      </c>
      <c r="E7" s="491">
        <v>160</v>
      </c>
      <c r="F7" s="437" t="str">
        <f>IF(OR(E4=Calcul_bbio!D5,E4=Calcul_bbio!D6),"m² SHAB","m² SU")</f>
        <v>m² SHAB</v>
      </c>
      <c r="G7" s="438"/>
      <c r="H7" s="6"/>
      <c r="I7" s="3"/>
      <c r="J7" s="6"/>
    </row>
    <row r="8" spans="1:10" ht="18">
      <c r="A8" s="3"/>
      <c r="B8" s="434"/>
      <c r="C8" s="435" t="s">
        <v>411</v>
      </c>
      <c r="D8" s="441" t="s">
        <v>412</v>
      </c>
      <c r="E8" s="492">
        <v>1000</v>
      </c>
      <c r="F8" s="437" t="str">
        <f>F7</f>
        <v>m² SHAB</v>
      </c>
      <c r="G8" s="438"/>
      <c r="H8" s="6"/>
      <c r="I8" s="37"/>
      <c r="J8" s="6"/>
    </row>
    <row r="9" spans="1:10">
      <c r="B9" s="434"/>
      <c r="C9" s="442" t="s">
        <v>413</v>
      </c>
      <c r="D9" s="440"/>
      <c r="E9" s="443">
        <f>sref_ext/E8</f>
        <v>0.16</v>
      </c>
      <c r="F9" s="437"/>
      <c r="G9" s="438"/>
    </row>
    <row r="10" spans="1:10">
      <c r="B10" s="434"/>
      <c r="C10" s="439"/>
      <c r="D10" s="440"/>
      <c r="E10" s="440"/>
      <c r="F10" s="437"/>
      <c r="G10" s="438"/>
    </row>
    <row r="11" spans="1:10" ht="14.65" thickBot="1">
      <c r="B11" s="444"/>
      <c r="C11" s="445"/>
      <c r="D11" s="446"/>
      <c r="E11" s="446"/>
      <c r="F11" s="447"/>
      <c r="G11" s="448"/>
    </row>
    <row r="12" spans="1:10" ht="14.65" thickBot="1"/>
    <row r="13" spans="1:10" ht="16.149999999999999" thickBot="1">
      <c r="B13" s="3"/>
      <c r="C13" s="261" t="s">
        <v>438</v>
      </c>
      <c r="D13" s="3"/>
    </row>
    <row r="14" spans="1:10">
      <c r="B14" s="157"/>
      <c r="C14" s="202"/>
      <c r="D14" s="158"/>
      <c r="E14" s="158"/>
      <c r="F14" s="158"/>
      <c r="G14" s="160"/>
    </row>
    <row r="15" spans="1:10" ht="18.399999999999999" thickBot="1">
      <c r="B15" s="161"/>
      <c r="C15" s="187"/>
      <c r="D15" s="449"/>
      <c r="E15" s="201"/>
      <c r="F15" s="201"/>
      <c r="G15" s="450"/>
    </row>
    <row r="16" spans="1:10" ht="18.399999999999999" thickBot="1">
      <c r="B16" s="161"/>
      <c r="C16" s="530" t="str">
        <f>HLOOKUP(TRUE,C35:H36,2,FALSE)</f>
        <v>RE2020 light : Bbio, Icconstruction et DH</v>
      </c>
      <c r="D16" s="531"/>
      <c r="E16" s="531"/>
      <c r="F16" s="532"/>
      <c r="G16" s="450"/>
    </row>
    <row r="17" spans="1:8" ht="18.399999999999999" thickBot="1">
      <c r="B17" s="174"/>
      <c r="C17" s="188"/>
      <c r="D17" s="451"/>
      <c r="E17" s="452"/>
      <c r="F17" s="452"/>
      <c r="G17" s="453"/>
    </row>
    <row r="19" spans="1:8">
      <c r="C19" s="467" t="str">
        <f>C36&amp;", voir le : "</f>
        <v xml:space="preserve">RE2020 light : Bbio, Icconstruction et DH, voir le : </v>
      </c>
      <c r="D19" s="1" t="s">
        <v>460</v>
      </c>
      <c r="G19" s="466" t="s">
        <v>439</v>
      </c>
    </row>
    <row r="20" spans="1:8">
      <c r="C20" s="467" t="str">
        <f>F36&amp;", voir le : "</f>
        <v xml:space="preserve">Des exigences de moyens, voir le : </v>
      </c>
      <c r="D20" s="1" t="s">
        <v>461</v>
      </c>
      <c r="G20" s="466" t="s">
        <v>439</v>
      </c>
    </row>
    <row r="21" spans="1:8">
      <c r="C21" s="536" t="s">
        <v>459</v>
      </c>
      <c r="D21" s="536"/>
      <c r="E21" s="536"/>
      <c r="F21" s="536"/>
    </row>
    <row r="24" spans="1:8" ht="18">
      <c r="A24" s="535" t="s">
        <v>440</v>
      </c>
      <c r="B24" s="535"/>
      <c r="C24" s="535"/>
      <c r="D24" s="535"/>
      <c r="E24" s="535"/>
      <c r="F24" s="535"/>
      <c r="G24" s="535"/>
      <c r="H24" s="535"/>
    </row>
    <row r="25" spans="1:8" hidden="1" outlineLevel="1"/>
    <row r="26" spans="1:8" hidden="1" outlineLevel="1"/>
    <row r="27" spans="1:8" hidden="1" outlineLevel="1">
      <c r="B27" s="4" t="s">
        <v>429</v>
      </c>
      <c r="C27" s="455" t="s">
        <v>425</v>
      </c>
      <c r="D27" s="455" t="s">
        <v>426</v>
      </c>
      <c r="E27" s="455" t="s">
        <v>426</v>
      </c>
      <c r="F27" s="455" t="s">
        <v>422</v>
      </c>
      <c r="G27" s="455" t="s">
        <v>422</v>
      </c>
      <c r="H27" s="533" t="s">
        <v>437</v>
      </c>
    </row>
    <row r="28" spans="1:8" hidden="1" outlineLevel="1">
      <c r="B28" s="4" t="s">
        <v>321</v>
      </c>
      <c r="C28" s="278" t="s">
        <v>183</v>
      </c>
      <c r="D28" s="278" t="s">
        <v>415</v>
      </c>
      <c r="E28" s="278" t="s">
        <v>415</v>
      </c>
      <c r="F28" s="278" t="s">
        <v>422</v>
      </c>
      <c r="G28" s="278" t="s">
        <v>423</v>
      </c>
      <c r="H28" s="534"/>
    </row>
    <row r="29" spans="1:8" hidden="1" outlineLevel="1">
      <c r="B29" s="4" t="s">
        <v>418</v>
      </c>
      <c r="C29" s="463" t="s">
        <v>414</v>
      </c>
      <c r="D29" s="463" t="s">
        <v>416</v>
      </c>
      <c r="E29" s="463" t="s">
        <v>169</v>
      </c>
      <c r="F29" s="463" t="s">
        <v>421</v>
      </c>
      <c r="G29" s="463" t="s">
        <v>416</v>
      </c>
      <c r="H29" s="534"/>
    </row>
    <row r="30" spans="1:8" hidden="1" outlineLevel="1">
      <c r="B30" s="4" t="s">
        <v>419</v>
      </c>
      <c r="C30" s="464"/>
      <c r="D30" s="464" t="s">
        <v>417</v>
      </c>
      <c r="E30" s="464" t="s">
        <v>427</v>
      </c>
      <c r="F30" s="464"/>
      <c r="G30" s="464" t="s">
        <v>427</v>
      </c>
      <c r="H30" s="534"/>
    </row>
    <row r="31" spans="1:8" hidden="1" outlineLevel="1">
      <c r="B31" s="4" t="s">
        <v>433</v>
      </c>
      <c r="C31" s="455" t="b">
        <f>typo_travaux="extension"</f>
        <v>0</v>
      </c>
      <c r="D31" s="455" t="b">
        <f>typo_travaux="surélévation"</f>
        <v>1</v>
      </c>
      <c r="E31" s="455" t="b">
        <f>typo_travaux="surélévation"</f>
        <v>1</v>
      </c>
      <c r="F31" s="455" t="b">
        <f>TRUE</f>
        <v>1</v>
      </c>
      <c r="G31" s="455" t="b">
        <f>TRUE</f>
        <v>1</v>
      </c>
      <c r="H31" s="534"/>
    </row>
    <row r="32" spans="1:8" hidden="1" outlineLevel="1">
      <c r="B32" s="4" t="s">
        <v>434</v>
      </c>
      <c r="C32" s="278" t="b">
        <f>usage_surelev=Enumération!C4</f>
        <v>0</v>
      </c>
      <c r="D32" s="278" t="b">
        <f>usage_surelev&lt;&gt;Enumération!C4</f>
        <v>1</v>
      </c>
      <c r="E32" s="278" t="b">
        <f>usage_surelev&lt;&gt;Enumération!C4</f>
        <v>1</v>
      </c>
      <c r="F32" s="278" t="b">
        <f>TRUE</f>
        <v>1</v>
      </c>
      <c r="G32" s="278" t="b">
        <f>usage_surelev&lt;&gt;Enumération!C4</f>
        <v>1</v>
      </c>
      <c r="H32" s="534"/>
    </row>
    <row r="33" spans="2:8" hidden="1" outlineLevel="1">
      <c r="B33" s="4" t="s">
        <v>435</v>
      </c>
      <c r="C33" s="463" t="b">
        <f>AND(sref_ext&gt;=50,sref_ext&lt;=80)</f>
        <v>0</v>
      </c>
      <c r="D33" s="463" t="b">
        <f>AND(sref_ext&gt;=50,sref_ext&lt;=150)</f>
        <v>0</v>
      </c>
      <c r="E33" s="463" t="b">
        <f>sref_ext&gt;150</f>
        <v>1</v>
      </c>
      <c r="F33" s="463" t="b">
        <f>sref_ext&lt;50</f>
        <v>0</v>
      </c>
      <c r="G33" s="463" t="b">
        <f>AND(sref_ext&gt;=50,sref_ext&lt;=150)</f>
        <v>0</v>
      </c>
      <c r="H33" s="534"/>
    </row>
    <row r="34" spans="2:8" ht="14.65" hidden="1" outlineLevel="1" thickBot="1">
      <c r="B34" s="4" t="s">
        <v>436</v>
      </c>
      <c r="C34" s="465" t="b">
        <f>TRUE</f>
        <v>1</v>
      </c>
      <c r="D34" s="465" t="b">
        <f>E9&gt;=30%</f>
        <v>0</v>
      </c>
      <c r="E34" s="465" t="b">
        <f>E9&lt;30%</f>
        <v>1</v>
      </c>
      <c r="F34" s="465" t="b">
        <f>TRUE</f>
        <v>1</v>
      </c>
      <c r="G34" s="465" t="b">
        <f>E9&lt;30%</f>
        <v>1</v>
      </c>
      <c r="H34" s="534"/>
    </row>
    <row r="35" spans="2:8" hidden="1" outlineLevel="1">
      <c r="B35" s="454" t="s">
        <v>428</v>
      </c>
      <c r="C35" s="456" t="b">
        <f>AND(C31:C34)</f>
        <v>0</v>
      </c>
      <c r="D35" s="457" t="b">
        <f t="shared" ref="D35:E35" si="0">AND(D31:D34)</f>
        <v>0</v>
      </c>
      <c r="E35" s="457" t="b">
        <f t="shared" si="0"/>
        <v>1</v>
      </c>
      <c r="F35" s="457" t="b">
        <f>AND(F31:F34)</f>
        <v>0</v>
      </c>
      <c r="G35" s="457" t="b">
        <f>AND(G31:G34)</f>
        <v>0</v>
      </c>
      <c r="H35" s="458" t="b">
        <f>NOT(OR(C35:G35))</f>
        <v>0</v>
      </c>
    </row>
    <row r="36" spans="2:8" ht="14.65" hidden="1" outlineLevel="1" thickBot="1">
      <c r="C36" s="459" t="s">
        <v>431</v>
      </c>
      <c r="D36" s="460" t="str">
        <f>C36</f>
        <v>RE2020 light : Bbio, Icconstruction et DH</v>
      </c>
      <c r="E36" s="460" t="str">
        <f>D36</f>
        <v>RE2020 light : Bbio, Icconstruction et DH</v>
      </c>
      <c r="F36" s="461" t="s">
        <v>432</v>
      </c>
      <c r="G36" s="461" t="str">
        <f>F36</f>
        <v>Des exigences de moyens</v>
      </c>
      <c r="H36" s="462" t="s">
        <v>430</v>
      </c>
    </row>
    <row r="37" spans="2:8" hidden="1" outlineLevel="1">
      <c r="C37" s="1" t="s">
        <v>420</v>
      </c>
    </row>
    <row r="38" spans="2:8" collapsed="1"/>
  </sheetData>
  <mergeCells count="4">
    <mergeCell ref="C16:F16"/>
    <mergeCell ref="H27:H34"/>
    <mergeCell ref="A24:H24"/>
    <mergeCell ref="C21:F21"/>
  </mergeCells>
  <conditionalFormatting sqref="C35:H35">
    <cfRule type="cellIs" dxfId="119" priority="1" operator="equal">
      <formula>TRUE</formula>
    </cfRule>
  </conditionalFormatting>
  <dataValidations count="1">
    <dataValidation type="list" allowBlank="1" showInputMessage="1" showErrorMessage="1" sqref="E5" xr:uid="{F3AFD51F-FC09-4358-86B9-FA4012930EE5}">
      <formula1>"extension,surélévation"</formula1>
    </dataValidation>
  </dataValidations>
  <hyperlinks>
    <hyperlink ref="G20" r:id="rId1" xr:uid="{93290FDB-F4E4-4CA3-B4B7-D21EE318178E}"/>
    <hyperlink ref="G19" r:id="rId2" xr:uid="{0A95F513-D78E-4517-9DEE-86CA13D4B731}"/>
    <hyperlink ref="C21:F21" r:id="rId3" display="Sinon parcourir le Guide DHUP / CEREMA du 9 mai 2025" xr:uid="{BDBE323E-AB48-4CD9-8186-9FF460C66DC6}"/>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DC63D172-A456-4725-AB9E-EB0A259B4475}">
            <xm:f>IF(COUNTIF(Enumération!F3:K3,E4)&gt;0,TRUE,FALSE)</xm:f>
            <x14:dxf>
              <font>
                <color theme="1"/>
              </font>
              <fill>
                <patternFill>
                  <bgColor theme="6"/>
                </patternFill>
              </fill>
            </x14:dxf>
          </x14:cfRule>
          <xm:sqref>E6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5C3F4E7-76A7-4BAA-9CF9-04E677C9382E}">
          <x14:formula1>
            <xm:f>Enumération!$C$4:$C$21</xm:f>
          </x14:formula1>
          <xm:sqref>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3F1B-5F46-4D60-8AA3-258A6A9FF831}">
  <dimension ref="B1:T215"/>
  <sheetViews>
    <sheetView zoomScale="85" zoomScaleNormal="85" workbookViewId="0">
      <selection activeCell="B39" sqref="B39"/>
    </sheetView>
  </sheetViews>
  <sheetFormatPr baseColWidth="10" defaultColWidth="10.9296875" defaultRowHeight="14.25"/>
  <cols>
    <col min="1" max="1" width="10.9296875" style="1"/>
    <col min="2" max="2" width="37.06640625" style="1" customWidth="1"/>
    <col min="3" max="3" width="10.9296875" style="1"/>
    <col min="4" max="4" width="4" style="1" customWidth="1"/>
    <col min="5" max="5" width="15.9296875" style="1" bestFit="1" customWidth="1"/>
    <col min="6" max="6" width="10.33203125" style="1" bestFit="1" customWidth="1"/>
    <col min="7" max="7" width="15.9296875" style="1" bestFit="1" customWidth="1"/>
    <col min="8" max="8" width="15.796875" style="1" bestFit="1" customWidth="1"/>
    <col min="9" max="9" width="8.53125" style="1" customWidth="1"/>
    <col min="10" max="16384" width="10.9296875" style="1"/>
  </cols>
  <sheetData>
    <row r="1" spans="2:20" ht="14.65" thickBot="1"/>
    <row r="2" spans="2:20" ht="14.65" thickBot="1">
      <c r="B2" s="224" t="s">
        <v>299</v>
      </c>
      <c r="C2" s="401">
        <f>IF(ISNA(VLOOKUP(usage,B3:C29,2,FALSE)),VLOOKUP(usage_detaillé,B3:C29,2,FALSE),VLOOKUP(usage,B3:C29,2,FALSE))</f>
        <v>1250</v>
      </c>
      <c r="E2" s="224" t="s">
        <v>306</v>
      </c>
      <c r="F2" s="246">
        <f>IF(ISNA(VLOOKUP(usage,E3:F6,2,FALSE)),"Ne s'applique pas",VLOOKUP(usage,E3:F6,2,FALSE))</f>
        <v>600</v>
      </c>
      <c r="S2" s="254" t="s">
        <v>307</v>
      </c>
    </row>
    <row r="3" spans="2:20">
      <c r="B3" s="225" t="str">
        <f>Enumération!C4</f>
        <v>Maisons_individuelles_ou_accolées</v>
      </c>
      <c r="C3" s="402">
        <f>C32</f>
        <v>1250</v>
      </c>
      <c r="E3" s="225" t="str">
        <f>Enumération!C4</f>
        <v>Maisons_individuelles_ou_accolées</v>
      </c>
      <c r="F3" s="247">
        <f>IF(OR(zoneclim="H2d",zoneclim="H3"),C32,Q8)</f>
        <v>600</v>
      </c>
    </row>
    <row r="4" spans="2:20">
      <c r="B4" s="226" t="str">
        <f>Enumération!C5</f>
        <v>Logement_collectif</v>
      </c>
      <c r="C4" s="403">
        <f>C35</f>
        <v>1250</v>
      </c>
      <c r="E4" s="226" t="str">
        <f>Enumération!C5</f>
        <v>Logement_collectif</v>
      </c>
      <c r="F4" s="248">
        <f>IF(OR(zoneclim="H2d",zoneclim="H3"),C35,Q8)</f>
        <v>600</v>
      </c>
    </row>
    <row r="5" spans="2:20">
      <c r="B5" s="226" t="str">
        <f>Enumération!C6</f>
        <v>Bureaux</v>
      </c>
      <c r="C5" s="403">
        <f>C43</f>
        <v>1150</v>
      </c>
      <c r="E5" s="226" t="str">
        <f>Enumération!C6</f>
        <v>Bureaux</v>
      </c>
      <c r="F5" s="248">
        <f>IF(OR(zoneclim="H2d",zoneclim="H3",categorie="Catégorie 3"),C43,600)</f>
        <v>600</v>
      </c>
    </row>
    <row r="6" spans="2:20" ht="14.65" thickBot="1">
      <c r="B6" s="226" t="str">
        <f>Enumération!C7</f>
        <v>Enseignement_primaire_ou_secondaire</v>
      </c>
      <c r="C6" s="403">
        <f>C50</f>
        <v>900</v>
      </c>
      <c r="E6" s="227" t="str">
        <f>Enumération!C7</f>
        <v>Enseignement_primaire_ou_secondaire</v>
      </c>
      <c r="F6" s="253">
        <f>IF(OR(zoneclim="H2d",zoneclim="H3",categorie="Catégorie 3"),C50,600)</f>
        <v>600</v>
      </c>
    </row>
    <row r="7" spans="2:20" ht="14.65" thickBot="1">
      <c r="B7" s="226" t="str">
        <f>Enumération!C8</f>
        <v>Médiathèques_et_bibliothèques</v>
      </c>
      <c r="C7" s="403">
        <f>C57</f>
        <v>900</v>
      </c>
      <c r="E7" s="14"/>
      <c r="F7" s="393"/>
      <c r="Q7" s="26" t="s">
        <v>311</v>
      </c>
      <c r="R7" s="103" t="s">
        <v>308</v>
      </c>
      <c r="S7" s="103" t="s">
        <v>309</v>
      </c>
      <c r="T7" s="60" t="s">
        <v>310</v>
      </c>
    </row>
    <row r="8" spans="2:20" ht="14.65" thickBot="1">
      <c r="B8" s="226" t="str">
        <f>Enumération!C9</f>
        <v>Bâtiments_universitaires_d'enseignement_et_de_recherche_et_bâtiments_d’enseignements_atypiques</v>
      </c>
      <c r="C8" s="403">
        <f>C64</f>
        <v>900</v>
      </c>
      <c r="E8" s="14"/>
      <c r="F8" s="393"/>
      <c r="Q8" s="255">
        <f>600+R8+S8+T8</f>
        <v>600</v>
      </c>
      <c r="R8" s="115">
        <f>IF(classe_inertie=Q13,110,0)</f>
        <v>0</v>
      </c>
      <c r="S8" s="115">
        <f>IF(expobruit=Calcul_bbio!J63,130,0)</f>
        <v>0</v>
      </c>
      <c r="T8" s="116">
        <f>IF(smoylgt&lt;30,140,0)</f>
        <v>0</v>
      </c>
    </row>
    <row r="9" spans="2:20">
      <c r="B9" s="226" t="str">
        <f>Enumération!E11</f>
        <v>Hôtels - 0, 1 et 2 étoiles (partie nuit)</v>
      </c>
      <c r="C9" s="403">
        <f>C71</f>
        <v>300</v>
      </c>
      <c r="E9" s="14"/>
      <c r="F9" s="393"/>
    </row>
    <row r="10" spans="2:20">
      <c r="B10" s="226" t="str">
        <f>Enumération!E12</f>
        <v>Hôtels - 3, 4 et 5 étoiles (partie nuit)</v>
      </c>
      <c r="C10" s="403">
        <f>C78</f>
        <v>300</v>
      </c>
      <c r="E10" s="14"/>
      <c r="F10" s="393"/>
    </row>
    <row r="11" spans="2:20">
      <c r="B11" s="226" t="str">
        <f>Enumération!E13</f>
        <v>Hôtels - 0, 1 et 2 étoiles (partie jour)</v>
      </c>
      <c r="C11" s="403">
        <f>C85</f>
        <v>1300</v>
      </c>
      <c r="E11" s="14"/>
      <c r="F11" s="393"/>
    </row>
    <row r="12" spans="2:20">
      <c r="B12" s="226" t="str">
        <f>Enumération!E14</f>
        <v>Hôtels - 3, 4 et 5 étoiles (partie jour)</v>
      </c>
      <c r="C12" s="403">
        <f>C92</f>
        <v>1300</v>
      </c>
      <c r="E12" s="14"/>
      <c r="F12" s="393"/>
    </row>
    <row r="13" spans="2:20">
      <c r="B13" s="226" t="str">
        <f>Enumération!C11</f>
        <v>Etablissements_d'accueil_de_la_petite_enfance </v>
      </c>
      <c r="C13" s="403">
        <f>C99</f>
        <v>550</v>
      </c>
      <c r="E13" s="14"/>
      <c r="F13" s="393"/>
      <c r="Q13" s="1" t="s">
        <v>312</v>
      </c>
    </row>
    <row r="14" spans="2:20">
      <c r="B14" s="226" t="str">
        <f>Enumération!E16</f>
        <v>Restaurants - en continu, 18 heures par jour, 7 jours sur 7</v>
      </c>
      <c r="C14" s="403">
        <f>C106</f>
        <v>2500</v>
      </c>
      <c r="E14" s="14"/>
      <c r="F14" s="393"/>
      <c r="Q14" s="1" t="s">
        <v>313</v>
      </c>
    </row>
    <row r="15" spans="2:20">
      <c r="B15" s="226" t="str">
        <f>Enumération!E17</f>
        <v>Restaurants - 1 repas par jour, 5 jours sur 7</v>
      </c>
      <c r="C15" s="403">
        <f>C113</f>
        <v>250</v>
      </c>
      <c r="E15" s="14"/>
      <c r="F15" s="393"/>
    </row>
    <row r="16" spans="2:20">
      <c r="B16" s="226" t="str">
        <f>Enumération!E18</f>
        <v>Restaurants - 2 repas par jour, 7 jours sur 7</v>
      </c>
      <c r="C16" s="403">
        <f>C120</f>
        <v>1600</v>
      </c>
      <c r="E16" s="14"/>
      <c r="F16" s="393"/>
    </row>
    <row r="17" spans="2:11">
      <c r="B17" s="226" t="str">
        <f>Enumération!E19</f>
        <v>Restaurants - 2 repas par jour, 6 jours sur 7</v>
      </c>
      <c r="C17" s="403">
        <f>C127</f>
        <v>1250</v>
      </c>
      <c r="E17" s="14"/>
      <c r="F17" s="393"/>
    </row>
    <row r="18" spans="2:11">
      <c r="B18" s="226" t="str">
        <f>Enumération!C13</f>
        <v>Commerces</v>
      </c>
      <c r="C18" s="403">
        <f>C134</f>
        <v>3300</v>
      </c>
      <c r="E18" s="14"/>
      <c r="F18" s="2"/>
      <c r="H18" s="396"/>
      <c r="K18" s="395"/>
    </row>
    <row r="19" spans="2:11">
      <c r="B19" s="226" t="str">
        <f>Enumération!C14</f>
        <v>Vestiaires seuls</v>
      </c>
      <c r="C19" s="403">
        <f>C141</f>
        <v>1000</v>
      </c>
      <c r="E19" s="14"/>
      <c r="F19" s="393"/>
    </row>
    <row r="20" spans="2:11">
      <c r="B20" s="226" t="str">
        <f>Enumération!C15</f>
        <v>Etablissements_sanitaires_avec_hébergement</v>
      </c>
      <c r="C20" s="403">
        <f>C148</f>
        <v>900</v>
      </c>
      <c r="E20" s="14"/>
      <c r="F20" s="393"/>
    </row>
    <row r="21" spans="2:11">
      <c r="B21" s="226" t="str">
        <f>Enumération!E23</f>
        <v xml:space="preserve">Etablissements_de_santé - partie nuit </v>
      </c>
      <c r="C21" s="403">
        <f>C155</f>
        <v>900</v>
      </c>
      <c r="E21" s="14"/>
      <c r="F21" s="393"/>
    </row>
    <row r="22" spans="2:11">
      <c r="B22" s="226" t="str">
        <f>Enumération!E24</f>
        <v xml:space="preserve">Etablissements_de_santé - partie jour </v>
      </c>
      <c r="C22" s="403">
        <f>C162</f>
        <v>1250</v>
      </c>
      <c r="E22" s="14"/>
      <c r="F22" s="393"/>
    </row>
    <row r="23" spans="2:11">
      <c r="B23" s="226" t="str">
        <f>Enumération!C17</f>
        <v>Aérogares</v>
      </c>
      <c r="C23" s="403">
        <f>C169</f>
        <v>12100</v>
      </c>
      <c r="E23" s="14"/>
      <c r="F23" s="393"/>
    </row>
    <row r="24" spans="2:11">
      <c r="B24" s="226" t="str">
        <f>Enumération!E26</f>
        <v>Industries_ou_artisanats - 3x8h</v>
      </c>
      <c r="C24" s="403">
        <f>C176</f>
        <v>3200</v>
      </c>
      <c r="E24" s="14"/>
      <c r="F24" s="393"/>
    </row>
    <row r="25" spans="2:11">
      <c r="B25" s="226" t="str">
        <f>Enumération!E27</f>
        <v>Industries_ou_artisanats - 8h à 18h</v>
      </c>
      <c r="C25" s="403">
        <f>C183</f>
        <v>900</v>
      </c>
      <c r="E25" s="14"/>
      <c r="F25" s="393"/>
    </row>
    <row r="26" spans="2:11">
      <c r="B26" s="226" t="str">
        <f>Enumération!C19</f>
        <v>Etablissements_sportifs_municipaux_ou_scolaires</v>
      </c>
      <c r="C26" s="403">
        <f>C190</f>
        <v>2000</v>
      </c>
      <c r="E26" s="14"/>
      <c r="F26" s="393"/>
    </row>
    <row r="27" spans="2:11">
      <c r="B27" s="226" t="str">
        <f>Enumération!E29</f>
        <v>Restaurants_scolaires - 1 repas par jour, 5 jours sur 7</v>
      </c>
      <c r="C27" s="403">
        <f>C197</f>
        <v>40</v>
      </c>
      <c r="E27" s="14"/>
      <c r="F27" s="393"/>
    </row>
    <row r="28" spans="2:11">
      <c r="B28" s="226" t="str">
        <f>Enumération!E30</f>
        <v>Restaurants_scolaires - 3 repas par jour, 5 jours sur 7</v>
      </c>
      <c r="C28" s="405">
        <f>C204</f>
        <v>260</v>
      </c>
      <c r="E28" s="14"/>
      <c r="F28" s="393"/>
    </row>
    <row r="29" spans="2:11" ht="14.65" thickBot="1">
      <c r="B29" s="227" t="str">
        <f>Enumération!C21</f>
        <v>Etablissements_sportifs_privés</v>
      </c>
      <c r="C29" s="404">
        <f>C211</f>
        <v>2000</v>
      </c>
      <c r="E29" s="14"/>
      <c r="F29" s="393"/>
    </row>
    <row r="30" spans="2:11" ht="14.65" thickBot="1"/>
    <row r="31" spans="2:11" ht="14.65" thickBot="1">
      <c r="B31" s="394" t="str">
        <f>IF(usage=B32,"↓↓↓","")</f>
        <v/>
      </c>
      <c r="C31" s="394" t="str">
        <f>IF(usage=B32,"↓↓↓","")</f>
        <v/>
      </c>
      <c r="G31" s="117" t="s">
        <v>267</v>
      </c>
      <c r="H31" s="119" t="s">
        <v>268</v>
      </c>
    </row>
    <row r="32" spans="2:11" ht="14.65" thickBot="1">
      <c r="B32" s="26" t="str">
        <f>B3</f>
        <v>Maisons_individuelles_ou_accolées</v>
      </c>
      <c r="C32" s="228">
        <f>HLOOKUP(categorie,G31:H32,2,FALSE)</f>
        <v>1250</v>
      </c>
      <c r="G32" s="114">
        <v>1250</v>
      </c>
      <c r="H32" s="116">
        <v>1850</v>
      </c>
    </row>
    <row r="33" spans="2:10" ht="14.65" thickBot="1"/>
    <row r="34" spans="2:10" ht="14.65" thickBot="1">
      <c r="B34" s="394" t="str">
        <f>IF(usage=B35,"↓↓↓","")</f>
        <v>↓↓↓</v>
      </c>
      <c r="C34" s="394" t="str">
        <f>IF(usage=B35,"↓↓↓","")</f>
        <v>↓↓↓</v>
      </c>
      <c r="G34" s="61" t="s">
        <v>293</v>
      </c>
      <c r="H34" s="62" t="s">
        <v>295</v>
      </c>
      <c r="I34" s="63" t="s">
        <v>294</v>
      </c>
    </row>
    <row r="35" spans="2:10" ht="14.65" thickBot="1">
      <c r="B35" s="26" t="str">
        <f>B4</f>
        <v>Logement_collectif</v>
      </c>
      <c r="C35" s="228">
        <f>VLOOKUP("ICI",F38:I40,MATCH("ICI",F37:I37,0),FALSE)</f>
      </c>
      <c r="D35" s="3"/>
      <c r="F35" s="38" t="s">
        <v>296</v>
      </c>
      <c r="G35" s="240">
        <f>IF(categorie=G31,1,0)</f>
        <v>1</v>
      </c>
      <c r="H35" s="241">
        <f>IF(categorie=G31,1,0)</f>
        <v>1</v>
      </c>
      <c r="I35" s="242">
        <f>IF(categorie=H31,1,0)</f>
        <v>0</v>
      </c>
    </row>
    <row r="36" spans="2:10" ht="14.65" thickBot="1">
      <c r="B36" s="220" t="s">
        <v>291</v>
      </c>
      <c r="C36" s="231">
        <f>smoylgt</f>
        <v>63.333333333333336</v>
      </c>
      <c r="F36" s="38" t="s">
        <v>297</v>
      </c>
      <c r="G36" s="243">
        <f>IF(AND(OR(zoneclim="H2d",zoneclim="H3"),climatisé="OUI"),0,1)</f>
      </c>
      <c r="H36" s="244">
        <f>IF(AND(OR(zoneclim="H2d",zoneclim="H3"),climatisé="OUI"),1,0)</f>
      </c>
      <c r="I36" s="245">
        <v>1</v>
      </c>
    </row>
    <row r="37" spans="2:10" ht="14.65" thickBot="1">
      <c r="B37" s="220" t="s">
        <v>298</v>
      </c>
      <c r="C37" s="231" t="str">
        <f>zoneclim</f>
        <v>H1a</v>
      </c>
      <c r="G37" s="237" t="str">
        <f>IF(G35*G36,"ICI",FALSE)</f>
        <v>ICI</v>
      </c>
      <c r="H37" s="238" t="b">
        <f>IF(H35*H36,"ICI",FALSE)</f>
        <v>0</v>
      </c>
      <c r="I37" s="239" t="b">
        <f>IF(I35*I36,"ICI",FALSE)</f>
        <v>0</v>
      </c>
    </row>
    <row r="38" spans="2:10">
      <c r="B38" s="3"/>
      <c r="C38" s="6"/>
      <c r="E38" s="41" t="s">
        <v>289</v>
      </c>
      <c r="F38" s="235" t="b">
        <f>IF(smoylgt&lt;=20,"ICI",FALSE)</f>
        <v>0</v>
      </c>
      <c r="G38" s="232">
        <v>1250</v>
      </c>
      <c r="H38" s="222">
        <v>1600</v>
      </c>
      <c r="I38" s="223">
        <v>2600</v>
      </c>
    </row>
    <row r="39" spans="2:10">
      <c r="B39" s="3"/>
      <c r="C39" s="3"/>
      <c r="E39" s="97" t="s">
        <v>292</v>
      </c>
      <c r="F39" s="43" t="b">
        <f>IF(AND(smoylgt&gt;20,smoylgt&lt;=60),"ICI",FALSE)</f>
        <v>0</v>
      </c>
      <c r="G39" s="233">
        <v>1250</v>
      </c>
      <c r="H39" s="11">
        <f>1700-(5*smoylgt)</f>
        <v>1383.3333333333333</v>
      </c>
      <c r="I39" s="72">
        <f>2850-(12.5*smoylgt)</f>
        <v>2058.333333333333</v>
      </c>
    </row>
    <row r="40" spans="2:10" ht="14.65" thickBot="1">
      <c r="E40" s="221" t="s">
        <v>290</v>
      </c>
      <c r="F40" s="236" t="str">
        <f>IF(smoylgt&gt;60,"ICI",FALSE)</f>
        <v>ICI</v>
      </c>
      <c r="G40" s="234">
        <v>1250</v>
      </c>
      <c r="H40" s="82">
        <v>1400</v>
      </c>
      <c r="I40" s="83">
        <v>2100</v>
      </c>
    </row>
    <row r="42" spans="2:10" ht="14.65" thickBot="1">
      <c r="B42" s="394" t="str">
        <f>IF(usage=B43,"↓↓↓","")</f>
        <v/>
      </c>
      <c r="C42" s="394" t="str">
        <f>IF(usage=B43,"↓↓↓","")</f>
        <v/>
      </c>
      <c r="G42" s="6" t="s">
        <v>300</v>
      </c>
      <c r="H42" s="6" t="s">
        <v>301</v>
      </c>
      <c r="I42" s="6" t="s">
        <v>294</v>
      </c>
      <c r="J42" s="6" t="s">
        <v>194</v>
      </c>
    </row>
    <row r="43" spans="2:10" ht="14.65" thickBot="1">
      <c r="B43" s="26" t="str">
        <f>B5</f>
        <v>Bureaux</v>
      </c>
      <c r="C43" s="228">
        <f>HLOOKUP("ICI",G46:J47,2,FALSE)</f>
        <v>1150</v>
      </c>
      <c r="F43" s="38" t="s">
        <v>296</v>
      </c>
      <c r="G43" s="249">
        <f>IF(categorie=G31,1,0)</f>
        <v>1</v>
      </c>
      <c r="H43" s="250">
        <f>IF(categorie=G31,1,0)</f>
        <v>1</v>
      </c>
      <c r="I43" s="250">
        <f>IF(categorie=H31,1,0)</f>
        <v>0</v>
      </c>
      <c r="J43" s="251">
        <f>IF(categorie="Catégorie 3",1,0)</f>
        <v>0</v>
      </c>
    </row>
    <row r="44" spans="2:10">
      <c r="B44" s="220" t="s">
        <v>302</v>
      </c>
      <c r="C44" s="231" t="str">
        <f>climatisé</f>
        <v>NON</v>
      </c>
      <c r="F44" s="38" t="s">
        <v>303</v>
      </c>
      <c r="G44" s="240">
        <f>IF(climatisé="OUI",0,1)</f>
        <v>1</v>
      </c>
      <c r="H44" s="241">
        <f>IF(climatisé="OUI",1,0)</f>
        <v>0</v>
      </c>
      <c r="I44" s="241">
        <f>IF(climatisé="OUI",1,0)</f>
        <v>0</v>
      </c>
      <c r="J44" s="242">
        <v>1</v>
      </c>
    </row>
    <row r="45" spans="2:10" ht="14.65" thickBot="1">
      <c r="B45" s="220" t="s">
        <v>298</v>
      </c>
      <c r="C45" s="231" t="str">
        <f>zoneclim</f>
        <v>H1a</v>
      </c>
      <c r="F45" s="38" t="s">
        <v>297</v>
      </c>
      <c r="G45" s="243">
        <f>IF(OR(zoneclim="H2d",zoneclim="H3"),0,1)</f>
        <v>1</v>
      </c>
      <c r="H45" s="244">
        <f>IF(OR(zoneclim="H2d",zoneclim="H3"),1,0)</f>
        <v>0</v>
      </c>
      <c r="I45" s="244">
        <v>1</v>
      </c>
      <c r="J45" s="245">
        <v>1</v>
      </c>
    </row>
    <row r="46" spans="2:10" ht="14.65" thickBot="1">
      <c r="G46" s="237" t="str">
        <f>IF(AND(G43,OR(G44,G45)),"ICI",FALSE)</f>
        <v>ICI</v>
      </c>
      <c r="H46" s="238" t="b">
        <f>IF(H43*H44*H45,"ICI",FALSE)</f>
        <v>0</v>
      </c>
      <c r="I46" s="238" t="b">
        <f>IF(I43*I44*I45,"ICI",FALSE)</f>
        <v>0</v>
      </c>
      <c r="J46" s="239" t="b">
        <f>IF(J43*J44*J45,"ICI",FALSE)</f>
        <v>0</v>
      </c>
    </row>
    <row r="47" spans="2:10" ht="14.65" thickBot="1">
      <c r="F47" s="252" t="s">
        <v>304</v>
      </c>
      <c r="G47" s="229">
        <v>1150</v>
      </c>
      <c r="H47" s="229">
        <v>2400</v>
      </c>
      <c r="I47" s="229">
        <v>2600</v>
      </c>
      <c r="J47" s="230" t="s">
        <v>400</v>
      </c>
    </row>
    <row r="49" spans="2:10" ht="14.65" thickBot="1">
      <c r="B49" s="394" t="str">
        <f>IF(usage=B50,"↓↓↓","")</f>
        <v/>
      </c>
      <c r="C49" s="394" t="str">
        <f>IF(usage=B50,"↓↓↓","")</f>
        <v/>
      </c>
      <c r="G49" s="1" t="s">
        <v>300</v>
      </c>
      <c r="H49" s="1" t="s">
        <v>305</v>
      </c>
      <c r="I49" s="1" t="s">
        <v>294</v>
      </c>
    </row>
    <row r="50" spans="2:10" ht="14.65" thickBot="1">
      <c r="B50" s="26" t="str">
        <f>B6</f>
        <v>Enseignement_primaire_ou_secondaire</v>
      </c>
      <c r="C50" s="228">
        <f>HLOOKUP("ICI",G53:I54,2,FALSE)</f>
        <v>900</v>
      </c>
      <c r="F50" s="38" t="s">
        <v>296</v>
      </c>
      <c r="G50" s="249">
        <f>IF(categorie=$G$31,1,0)</f>
        <v>1</v>
      </c>
      <c r="H50" s="250">
        <f>IF(categorie=$G$31,1,0)</f>
        <v>1</v>
      </c>
      <c r="I50" s="251">
        <f>IF(categorie=$H$31,1,0)</f>
        <v>0</v>
      </c>
    </row>
    <row r="51" spans="2:10">
      <c r="B51" s="220" t="s">
        <v>302</v>
      </c>
      <c r="C51" s="231" t="str">
        <f>climatisé</f>
        <v>NON</v>
      </c>
      <c r="F51" s="38" t="s">
        <v>303</v>
      </c>
      <c r="G51" s="240">
        <f>IF(climatisé="OUI",0,1)</f>
        <v>1</v>
      </c>
      <c r="H51" s="241">
        <f>IF(climatisé="OUI",1,0)</f>
        <v>0</v>
      </c>
      <c r="I51" s="242">
        <f>IF(climatisé="OUI",1,0)</f>
        <v>0</v>
      </c>
    </row>
    <row r="52" spans="2:10" ht="14.65" thickBot="1">
      <c r="B52" s="220" t="s">
        <v>298</v>
      </c>
      <c r="C52" s="231" t="str">
        <f>zoneclim</f>
        <v>H1a</v>
      </c>
      <c r="F52" s="38" t="s">
        <v>297</v>
      </c>
      <c r="G52" s="243">
        <f>IF(OR(zoneclim="H2d",zoneclim="H3"),0,1)</f>
        <v>1</v>
      </c>
      <c r="H52" s="244">
        <f>IF(OR(zoneclim="H2d",zoneclim="H3"),1,0)</f>
        <v>0</v>
      </c>
      <c r="I52" s="245">
        <v>1</v>
      </c>
    </row>
    <row r="53" spans="2:10" ht="14.65" thickBot="1">
      <c r="G53" s="237" t="str">
        <f>IF(AND(G50,OR(G51,G52)),"ICI",FALSE)</f>
        <v>ICI</v>
      </c>
      <c r="H53" s="238" t="b">
        <f>IF(H50*H51*H52,"ICI",FALSE)</f>
        <v>0</v>
      </c>
      <c r="I53" s="239" t="b">
        <f>IF(I50*I51*I52,"ICI",FALSE)</f>
        <v>0</v>
      </c>
    </row>
    <row r="54" spans="2:10" ht="14.65" thickBot="1">
      <c r="F54" s="391" t="s">
        <v>304</v>
      </c>
      <c r="G54" s="392">
        <v>900</v>
      </c>
      <c r="H54" s="229">
        <v>1800</v>
      </c>
      <c r="I54" s="230">
        <v>2200</v>
      </c>
    </row>
    <row r="56" spans="2:10" ht="14.65" thickBot="1">
      <c r="B56" s="394" t="str">
        <f>IF(usage=B57,"↓↓↓","")</f>
        <v/>
      </c>
      <c r="C56" s="394" t="str">
        <f>IF(usage=B57,"↓↓↓","")</f>
        <v/>
      </c>
      <c r="G56" s="6" t="s">
        <v>300</v>
      </c>
      <c r="H56" s="6" t="s">
        <v>305</v>
      </c>
      <c r="I56" s="6" t="s">
        <v>294</v>
      </c>
      <c r="J56" s="6" t="s">
        <v>194</v>
      </c>
    </row>
    <row r="57" spans="2:10" ht="14.65" thickBot="1">
      <c r="B57" s="26" t="str">
        <f>B7</f>
        <v>Médiathèques_et_bibliothèques</v>
      </c>
      <c r="C57" s="228">
        <f>HLOOKUP("ICI",G60:J61,2,FALSE)</f>
        <v>900</v>
      </c>
      <c r="F57" s="38" t="s">
        <v>296</v>
      </c>
      <c r="G57" s="249">
        <f>IF(categorie=$G$31,1,0)</f>
        <v>1</v>
      </c>
      <c r="H57" s="250">
        <f>IF(categorie=$G$31,1,0)</f>
        <v>1</v>
      </c>
      <c r="I57" s="251">
        <f>IF(categorie=$H$31,1,0)</f>
        <v>0</v>
      </c>
      <c r="J57" s="251">
        <f>IF(categorie="Catégorie 3",1,0)</f>
        <v>0</v>
      </c>
    </row>
    <row r="58" spans="2:10">
      <c r="B58" s="220" t="s">
        <v>302</v>
      </c>
      <c r="C58" s="231" t="str">
        <f>climatisé</f>
        <v>NON</v>
      </c>
      <c r="F58" s="38" t="s">
        <v>303</v>
      </c>
      <c r="G58" s="240">
        <f>IF(climatisé="OUI",0,1)</f>
        <v>1</v>
      </c>
      <c r="H58" s="241">
        <f>IF(climatisé="OUI",1,0)</f>
        <v>0</v>
      </c>
      <c r="I58" s="242">
        <f>IF(climatisé="OUI",1,0)</f>
        <v>0</v>
      </c>
      <c r="J58" s="242">
        <v>1</v>
      </c>
    </row>
    <row r="59" spans="2:10" ht="14.65" thickBot="1">
      <c r="B59" s="220" t="s">
        <v>298</v>
      </c>
      <c r="C59" s="231" t="str">
        <f>zoneclim</f>
        <v>H1a</v>
      </c>
      <c r="F59" s="38" t="s">
        <v>297</v>
      </c>
      <c r="G59" s="243">
        <f>IF(OR(zoneclim="H2d",zoneclim="H3"),0,1)</f>
        <v>1</v>
      </c>
      <c r="H59" s="244">
        <f>IF(OR(zoneclim="H2d",zoneclim="H3"),1,0)</f>
        <v>0</v>
      </c>
      <c r="I59" s="245">
        <v>1</v>
      </c>
      <c r="J59" s="245">
        <v>1</v>
      </c>
    </row>
    <row r="60" spans="2:10" ht="14.65" thickBot="1">
      <c r="G60" s="237" t="str">
        <f>IF(AND(G57,OR(G58,G59)),"ICI",FALSE)</f>
        <v>ICI</v>
      </c>
      <c r="H60" s="238" t="b">
        <f>IF(H57*H58*H59,"ICI",FALSE)</f>
        <v>0</v>
      </c>
      <c r="I60" s="239" t="b">
        <f>IF(I57*I58*I59,"ICI",FALSE)</f>
        <v>0</v>
      </c>
      <c r="J60" s="239" t="b">
        <f>IF(J57*J58*J59,"ICI",FALSE)</f>
        <v>0</v>
      </c>
    </row>
    <row r="61" spans="2:10" ht="14.65" thickBot="1">
      <c r="F61" s="391" t="s">
        <v>304</v>
      </c>
      <c r="G61" s="392">
        <v>900</v>
      </c>
      <c r="H61" s="229">
        <v>2200</v>
      </c>
      <c r="I61" s="230">
        <v>2400</v>
      </c>
      <c r="J61" s="230" t="s">
        <v>400</v>
      </c>
    </row>
    <row r="63" spans="2:10" ht="14.65" thickBot="1">
      <c r="B63" s="394" t="str">
        <f>IF(usage=B64,"↓↓↓","")</f>
        <v/>
      </c>
      <c r="C63" s="394" t="str">
        <f>IF(usage=B64,"↓↓↓","")</f>
        <v/>
      </c>
      <c r="G63" s="6" t="s">
        <v>300</v>
      </c>
      <c r="H63" s="6" t="s">
        <v>305</v>
      </c>
      <c r="I63" s="6" t="s">
        <v>294</v>
      </c>
      <c r="J63" s="6" t="s">
        <v>194</v>
      </c>
    </row>
    <row r="64" spans="2:10" ht="14.65" thickBot="1">
      <c r="B64" s="26" t="str">
        <f>B8</f>
        <v>Bâtiments_universitaires_d'enseignement_et_de_recherche_et_bâtiments_d’enseignements_atypiques</v>
      </c>
      <c r="C64" s="228">
        <f>HLOOKUP("ICI",G67:J68,2,FALSE)</f>
        <v>900</v>
      </c>
      <c r="F64" s="38" t="s">
        <v>296</v>
      </c>
      <c r="G64" s="249">
        <f>IF(categorie=$G$31,1,0)</f>
        <v>1</v>
      </c>
      <c r="H64" s="250">
        <f>IF(categorie=$G$31,1,0)</f>
        <v>1</v>
      </c>
      <c r="I64" s="251">
        <f>IF(categorie=$H$31,1,0)</f>
        <v>0</v>
      </c>
      <c r="J64" s="251">
        <f>IF(categorie="Catégorie 3",1,0)</f>
        <v>0</v>
      </c>
    </row>
    <row r="65" spans="2:10">
      <c r="B65" s="220" t="s">
        <v>302</v>
      </c>
      <c r="C65" s="231" t="str">
        <f>climatisé</f>
        <v>NON</v>
      </c>
      <c r="F65" s="38" t="s">
        <v>303</v>
      </c>
      <c r="G65" s="240">
        <f>IF(climatisé="OUI",0,1)</f>
        <v>1</v>
      </c>
      <c r="H65" s="241">
        <f>IF(climatisé="OUI",1,0)</f>
        <v>0</v>
      </c>
      <c r="I65" s="242">
        <f>IF(climatisé="OUI",1,0)</f>
        <v>0</v>
      </c>
      <c r="J65" s="242">
        <v>1</v>
      </c>
    </row>
    <row r="66" spans="2:10" ht="14.65" thickBot="1">
      <c r="B66" s="220" t="s">
        <v>298</v>
      </c>
      <c r="C66" s="231" t="str">
        <f>zoneclim</f>
        <v>H1a</v>
      </c>
      <c r="F66" s="38" t="s">
        <v>297</v>
      </c>
      <c r="G66" s="243">
        <f>IF(OR(zoneclim="H2d",zoneclim="H3"),0,1)</f>
        <v>1</v>
      </c>
      <c r="H66" s="244">
        <f>IF(OR(zoneclim="H2d",zoneclim="H3"),1,0)</f>
        <v>0</v>
      </c>
      <c r="I66" s="245">
        <v>1</v>
      </c>
      <c r="J66" s="245">
        <v>1</v>
      </c>
    </row>
    <row r="67" spans="2:10" ht="14.65" thickBot="1">
      <c r="G67" s="237" t="str">
        <f>IF(AND(G64,OR(G65,G66)),"ICI",FALSE)</f>
        <v>ICI</v>
      </c>
      <c r="H67" s="238" t="b">
        <f>IF(H64*H65*H66,"ICI",FALSE)</f>
        <v>0</v>
      </c>
      <c r="I67" s="239" t="b">
        <f>IF(I64*I65*I66,"ICI",FALSE)</f>
        <v>0</v>
      </c>
      <c r="J67" s="239" t="b">
        <f>IF(J64*J65*J66,"ICI",FALSE)</f>
        <v>0</v>
      </c>
    </row>
    <row r="68" spans="2:10" ht="14.65" thickBot="1">
      <c r="F68" s="391" t="s">
        <v>304</v>
      </c>
      <c r="G68" s="392">
        <v>900</v>
      </c>
      <c r="H68" s="229">
        <v>2200</v>
      </c>
      <c r="I68" s="230">
        <v>2400</v>
      </c>
      <c r="J68" s="230" t="s">
        <v>400</v>
      </c>
    </row>
    <row r="70" spans="2:10" ht="14.65" thickBot="1">
      <c r="B70" s="394" t="str">
        <f>IF(usage_detaillé=B71,"↓↓↓","")</f>
        <v/>
      </c>
      <c r="C70" s="394" t="str">
        <f>IF(usage_detaillé=B71,"↓↓↓","")</f>
        <v/>
      </c>
      <c r="G70" s="6" t="s">
        <v>300</v>
      </c>
      <c r="H70" s="6" t="s">
        <v>305</v>
      </c>
      <c r="I70" s="6" t="s">
        <v>294</v>
      </c>
      <c r="J70" s="6" t="s">
        <v>194</v>
      </c>
    </row>
    <row r="71" spans="2:10" ht="14.65" thickBot="1">
      <c r="B71" s="26" t="str">
        <f>Enumération!E11</f>
        <v>Hôtels - 0, 1 et 2 étoiles (partie nuit)</v>
      </c>
      <c r="C71" s="228">
        <f>HLOOKUP("ICI",G74:J75,2,FALSE)</f>
        <v>300</v>
      </c>
      <c r="F71" s="38" t="s">
        <v>296</v>
      </c>
      <c r="G71" s="249">
        <f>IF(categorie=$G$31,1,0)</f>
        <v>1</v>
      </c>
      <c r="H71" s="250">
        <f>IF(categorie=$G$31,1,0)</f>
        <v>1</v>
      </c>
      <c r="I71" s="251">
        <f>IF(categorie=$H$31,1,0)</f>
        <v>0</v>
      </c>
      <c r="J71" s="251">
        <f>IF(categorie="Catégorie 3",1,0)</f>
        <v>0</v>
      </c>
    </row>
    <row r="72" spans="2:10">
      <c r="B72" s="220" t="s">
        <v>302</v>
      </c>
      <c r="C72" s="231" t="str">
        <f>climatisé</f>
        <v>NON</v>
      </c>
      <c r="F72" s="38" t="s">
        <v>303</v>
      </c>
      <c r="G72" s="240">
        <f>IF(climatisé="OUI",0,1)</f>
        <v>1</v>
      </c>
      <c r="H72" s="241">
        <f>IF(climatisé="OUI",1,0)</f>
        <v>0</v>
      </c>
      <c r="I72" s="242">
        <f>IF(climatisé="OUI",1,0)</f>
        <v>0</v>
      </c>
      <c r="J72" s="242">
        <v>1</v>
      </c>
    </row>
    <row r="73" spans="2:10" ht="14.65" thickBot="1">
      <c r="B73" s="220" t="s">
        <v>298</v>
      </c>
      <c r="C73" s="231" t="str">
        <f>zoneclim</f>
        <v>H1a</v>
      </c>
      <c r="F73" s="38" t="s">
        <v>297</v>
      </c>
      <c r="G73" s="243">
        <f>IF(OR(zoneclim="H2d",zoneclim="H3"),0,1)</f>
        <v>1</v>
      </c>
      <c r="H73" s="244">
        <f>IF(OR(zoneclim="H2d",zoneclim="H3"),1,0)</f>
        <v>0</v>
      </c>
      <c r="I73" s="245">
        <v>1</v>
      </c>
      <c r="J73" s="245">
        <v>1</v>
      </c>
    </row>
    <row r="74" spans="2:10" ht="14.65" thickBot="1">
      <c r="G74" s="237" t="str">
        <f>IF(AND(G71,OR(G72,G73)),"ICI",FALSE)</f>
        <v>ICI</v>
      </c>
      <c r="H74" s="238" t="b">
        <f>IF(H71*H72*H73,"ICI",FALSE)</f>
        <v>0</v>
      </c>
      <c r="I74" s="239" t="b">
        <f>IF(I71*I72*I73,"ICI",FALSE)</f>
        <v>0</v>
      </c>
      <c r="J74" s="239" t="b">
        <f>IF(J71*J72*J73,"ICI",FALSE)</f>
        <v>0</v>
      </c>
    </row>
    <row r="75" spans="2:10" ht="14.65" thickBot="1">
      <c r="F75" s="391" t="s">
        <v>304</v>
      </c>
      <c r="G75" s="392">
        <v>300</v>
      </c>
      <c r="H75" s="229">
        <v>700</v>
      </c>
      <c r="I75" s="230">
        <v>1000</v>
      </c>
      <c r="J75" s="230" t="s">
        <v>400</v>
      </c>
    </row>
    <row r="77" spans="2:10" ht="14.65" thickBot="1">
      <c r="B77" s="394" t="str">
        <f>IF(usage_detaillé=B78,"↓↓↓","")</f>
        <v/>
      </c>
      <c r="C77" s="394" t="str">
        <f>IF(usage_detaillé=B78,"↓↓↓","")</f>
        <v/>
      </c>
      <c r="G77" s="6" t="s">
        <v>300</v>
      </c>
      <c r="H77" s="6" t="s">
        <v>305</v>
      </c>
      <c r="I77" s="6" t="s">
        <v>294</v>
      </c>
      <c r="J77" s="6" t="s">
        <v>194</v>
      </c>
    </row>
    <row r="78" spans="2:10" ht="14.65" thickBot="1">
      <c r="B78" s="26" t="str">
        <f>Enumération!E12</f>
        <v>Hôtels - 3, 4 et 5 étoiles (partie nuit)</v>
      </c>
      <c r="C78" s="228">
        <f>HLOOKUP("ICI",G81:J82,2,FALSE)</f>
        <v>300</v>
      </c>
      <c r="F78" s="38" t="s">
        <v>296</v>
      </c>
      <c r="G78" s="249">
        <f>IF(categorie=$G$31,1,0)</f>
        <v>1</v>
      </c>
      <c r="H78" s="250">
        <f>IF(categorie=$G$31,1,0)</f>
        <v>1</v>
      </c>
      <c r="I78" s="251">
        <f>IF(categorie=$H$31,1,0)</f>
        <v>0</v>
      </c>
      <c r="J78" s="251">
        <f>IF(categorie="Catégorie 3",1,0)</f>
        <v>0</v>
      </c>
    </row>
    <row r="79" spans="2:10">
      <c r="B79" s="220" t="s">
        <v>302</v>
      </c>
      <c r="C79" s="231" t="str">
        <f>climatisé</f>
        <v>NON</v>
      </c>
      <c r="F79" s="38" t="s">
        <v>303</v>
      </c>
      <c r="G79" s="240">
        <f>IF(climatisé="OUI",0,1)</f>
        <v>1</v>
      </c>
      <c r="H79" s="241">
        <f>IF(climatisé="OUI",1,0)</f>
        <v>0</v>
      </c>
      <c r="I79" s="242">
        <f>IF(climatisé="OUI",1,0)</f>
        <v>0</v>
      </c>
      <c r="J79" s="242">
        <v>1</v>
      </c>
    </row>
    <row r="80" spans="2:10" ht="14.65" thickBot="1">
      <c r="B80" s="220" t="s">
        <v>298</v>
      </c>
      <c r="C80" s="231" t="str">
        <f>zoneclim</f>
        <v>H1a</v>
      </c>
      <c r="F80" s="38" t="s">
        <v>297</v>
      </c>
      <c r="G80" s="243">
        <f>IF(OR(zoneclim="H2d",zoneclim="H3"),0,1)</f>
        <v>1</v>
      </c>
      <c r="H80" s="244">
        <f>IF(OR(zoneclim="H2d",zoneclim="H3"),1,0)</f>
        <v>0</v>
      </c>
      <c r="I80" s="245">
        <v>1</v>
      </c>
      <c r="J80" s="245">
        <v>1</v>
      </c>
    </row>
    <row r="81" spans="2:10" ht="14.65" thickBot="1">
      <c r="G81" s="237" t="str">
        <f>IF(AND(G78,OR(G79,G80)),"ICI",FALSE)</f>
        <v>ICI</v>
      </c>
      <c r="H81" s="238" t="b">
        <f>IF(H78*H79*H80,"ICI",FALSE)</f>
        <v>0</v>
      </c>
      <c r="I81" s="239" t="b">
        <f>IF(I78*I79*I80,"ICI",FALSE)</f>
        <v>0</v>
      </c>
      <c r="J81" s="239" t="b">
        <f>IF(J78*J79*J80,"ICI",FALSE)</f>
        <v>0</v>
      </c>
    </row>
    <row r="82" spans="2:10" ht="14.65" thickBot="1">
      <c r="F82" s="391" t="s">
        <v>304</v>
      </c>
      <c r="G82" s="392">
        <v>300</v>
      </c>
      <c r="H82" s="229">
        <v>700</v>
      </c>
      <c r="I82" s="230">
        <v>1000</v>
      </c>
      <c r="J82" s="230" t="s">
        <v>400</v>
      </c>
    </row>
    <row r="84" spans="2:10" ht="14.65" thickBot="1">
      <c r="B84" s="394" t="str">
        <f>IF(usage_detaillé=B85,"↓↓↓","")</f>
        <v/>
      </c>
      <c r="C84" s="394" t="str">
        <f>IF(usage_detaillé=B85,"↓↓↓","")</f>
        <v/>
      </c>
      <c r="G84" s="6" t="s">
        <v>300</v>
      </c>
      <c r="H84" s="6" t="s">
        <v>305</v>
      </c>
      <c r="I84" s="6" t="s">
        <v>294</v>
      </c>
      <c r="J84" s="6" t="s">
        <v>194</v>
      </c>
    </row>
    <row r="85" spans="2:10" ht="14.65" thickBot="1">
      <c r="B85" s="26" t="str">
        <f>Enumération!E13</f>
        <v>Hôtels - 0, 1 et 2 étoiles (partie jour)</v>
      </c>
      <c r="C85" s="228">
        <f>HLOOKUP("ICI",G88:J89,2,FALSE)</f>
        <v>1300</v>
      </c>
      <c r="F85" s="38" t="s">
        <v>296</v>
      </c>
      <c r="G85" s="249">
        <f>IF(categorie=$G$31,1,0)</f>
        <v>1</v>
      </c>
      <c r="H85" s="250">
        <f>IF(categorie=$G$31,1,0)</f>
        <v>1</v>
      </c>
      <c r="I85" s="251">
        <f>IF(categorie=$H$31,1,0)</f>
        <v>0</v>
      </c>
      <c r="J85" s="251">
        <f>IF(categorie="Catégorie 3",1,0)</f>
        <v>0</v>
      </c>
    </row>
    <row r="86" spans="2:10">
      <c r="B86" s="220" t="s">
        <v>302</v>
      </c>
      <c r="C86" s="231" t="str">
        <f>climatisé</f>
        <v>NON</v>
      </c>
      <c r="F86" s="38" t="s">
        <v>303</v>
      </c>
      <c r="G86" s="240">
        <f>IF(climatisé="OUI",0,1)</f>
        <v>1</v>
      </c>
      <c r="H86" s="241">
        <f>IF(climatisé="OUI",1,0)</f>
        <v>0</v>
      </c>
      <c r="I86" s="242">
        <f>IF(climatisé="OUI",1,0)</f>
        <v>0</v>
      </c>
      <c r="J86" s="242">
        <v>1</v>
      </c>
    </row>
    <row r="87" spans="2:10" ht="14.65" thickBot="1">
      <c r="B87" s="220" t="s">
        <v>298</v>
      </c>
      <c r="C87" s="231" t="str">
        <f>zoneclim</f>
        <v>H1a</v>
      </c>
      <c r="F87" s="38" t="s">
        <v>297</v>
      </c>
      <c r="G87" s="243">
        <f>IF(OR(zoneclim="H2d",zoneclim="H3"),0,1)</f>
        <v>1</v>
      </c>
      <c r="H87" s="244">
        <f>IF(OR(zoneclim="H2d",zoneclim="H3"),1,0)</f>
        <v>0</v>
      </c>
      <c r="I87" s="245">
        <v>1</v>
      </c>
      <c r="J87" s="245">
        <v>1</v>
      </c>
    </row>
    <row r="88" spans="2:10" ht="14.65" thickBot="1">
      <c r="G88" s="237" t="str">
        <f>IF(AND(G85,OR(G86,G87)),"ICI",FALSE)</f>
        <v>ICI</v>
      </c>
      <c r="H88" s="238" t="b">
        <f>IF(H85*H86*H87,"ICI",FALSE)</f>
        <v>0</v>
      </c>
      <c r="I88" s="239" t="b">
        <f>IF(I85*I86*I87,"ICI",FALSE)</f>
        <v>0</v>
      </c>
      <c r="J88" s="239" t="b">
        <f>IF(J85*J86*J87,"ICI",FALSE)</f>
        <v>0</v>
      </c>
    </row>
    <row r="89" spans="2:10" ht="14.65" thickBot="1">
      <c r="F89" s="391" t="s">
        <v>304</v>
      </c>
      <c r="G89" s="392">
        <v>1300</v>
      </c>
      <c r="H89" s="229">
        <v>3300</v>
      </c>
      <c r="I89" s="230">
        <v>3400</v>
      </c>
      <c r="J89" s="230" t="s">
        <v>400</v>
      </c>
    </row>
    <row r="91" spans="2:10" ht="14.65" thickBot="1">
      <c r="B91" s="394" t="str">
        <f>IF(usage_detaillé=B92,"↓↓↓","")</f>
        <v/>
      </c>
      <c r="C91" s="394" t="str">
        <f>IF(usage_detaillé=B92,"↓↓↓","")</f>
        <v/>
      </c>
      <c r="G91" s="6" t="s">
        <v>300</v>
      </c>
      <c r="H91" s="6" t="s">
        <v>305</v>
      </c>
      <c r="I91" s="6" t="s">
        <v>294</v>
      </c>
      <c r="J91" s="6" t="s">
        <v>194</v>
      </c>
    </row>
    <row r="92" spans="2:10" ht="14.65" thickBot="1">
      <c r="B92" s="26" t="str">
        <f>Enumération!E14</f>
        <v>Hôtels - 3, 4 et 5 étoiles (partie jour)</v>
      </c>
      <c r="C92" s="228">
        <f>HLOOKUP("ICI",G95:J96,2,FALSE)</f>
        <v>1300</v>
      </c>
      <c r="F92" s="38" t="s">
        <v>296</v>
      </c>
      <c r="G92" s="249">
        <f>IF(categorie=$G$31,1,0)</f>
        <v>1</v>
      </c>
      <c r="H92" s="250">
        <f>IF(categorie=$G$31,1,0)</f>
        <v>1</v>
      </c>
      <c r="I92" s="251">
        <f>IF(categorie=$H$31,1,0)</f>
        <v>0</v>
      </c>
      <c r="J92" s="251">
        <f>IF(categorie="Catégorie 3",1,0)</f>
        <v>0</v>
      </c>
    </row>
    <row r="93" spans="2:10">
      <c r="B93" s="220" t="s">
        <v>302</v>
      </c>
      <c r="C93" s="231" t="str">
        <f>climatisé</f>
        <v>NON</v>
      </c>
      <c r="F93" s="38" t="s">
        <v>303</v>
      </c>
      <c r="G93" s="240">
        <f>IF(climatisé="OUI",0,1)</f>
        <v>1</v>
      </c>
      <c r="H93" s="241">
        <f>IF(climatisé="OUI",1,0)</f>
        <v>0</v>
      </c>
      <c r="I93" s="242">
        <f>IF(climatisé="OUI",1,0)</f>
        <v>0</v>
      </c>
      <c r="J93" s="242">
        <v>1</v>
      </c>
    </row>
    <row r="94" spans="2:10" ht="14.65" thickBot="1">
      <c r="B94" s="220" t="s">
        <v>298</v>
      </c>
      <c r="C94" s="231" t="str">
        <f>zoneclim</f>
        <v>H1a</v>
      </c>
      <c r="F94" s="38" t="s">
        <v>297</v>
      </c>
      <c r="G94" s="243">
        <f>IF(OR(zoneclim="H2d",zoneclim="H3"),0,1)</f>
        <v>1</v>
      </c>
      <c r="H94" s="244">
        <f>IF(OR(zoneclim="H2d",zoneclim="H3"),1,0)</f>
        <v>0</v>
      </c>
      <c r="I94" s="245">
        <v>1</v>
      </c>
      <c r="J94" s="245">
        <v>1</v>
      </c>
    </row>
    <row r="95" spans="2:10" ht="14.65" thickBot="1">
      <c r="G95" s="237" t="str">
        <f>IF(AND(G92,OR(G93,G94)),"ICI",FALSE)</f>
        <v>ICI</v>
      </c>
      <c r="H95" s="238" t="b">
        <f>IF(H92*H93*H94,"ICI",FALSE)</f>
        <v>0</v>
      </c>
      <c r="I95" s="239" t="b">
        <f>IF(I92*I93*I94,"ICI",FALSE)</f>
        <v>0</v>
      </c>
      <c r="J95" s="239" t="b">
        <f>IF(J92*J93*J94,"ICI",FALSE)</f>
        <v>0</v>
      </c>
    </row>
    <row r="96" spans="2:10" ht="14.65" thickBot="1">
      <c r="F96" s="391" t="s">
        <v>304</v>
      </c>
      <c r="G96" s="392">
        <v>1300</v>
      </c>
      <c r="H96" s="229">
        <v>3300</v>
      </c>
      <c r="I96" s="230">
        <v>3400</v>
      </c>
      <c r="J96" s="230" t="s">
        <v>400</v>
      </c>
    </row>
    <row r="98" spans="2:10" ht="14.65" thickBot="1">
      <c r="B98" s="394" t="str">
        <f>IF(usage=B99,"↓↓↓","")</f>
        <v/>
      </c>
      <c r="C98" s="394" t="str">
        <f>IF(usage=B99,"↓↓↓","")</f>
        <v/>
      </c>
      <c r="G98" s="6" t="s">
        <v>300</v>
      </c>
      <c r="H98" s="6" t="s">
        <v>305</v>
      </c>
      <c r="I98" s="6" t="s">
        <v>294</v>
      </c>
      <c r="J98" s="6" t="s">
        <v>194</v>
      </c>
    </row>
    <row r="99" spans="2:10" ht="14.65" thickBot="1">
      <c r="B99" s="26" t="str">
        <f>B13</f>
        <v>Etablissements_d'accueil_de_la_petite_enfance </v>
      </c>
      <c r="C99" s="228">
        <f>HLOOKUP("ICI",G102:J103,2,FALSE)</f>
        <v>550</v>
      </c>
      <c r="F99" s="38" t="s">
        <v>296</v>
      </c>
      <c r="G99" s="249">
        <f>IF(categorie=$G$31,1,0)</f>
        <v>1</v>
      </c>
      <c r="H99" s="250">
        <f>IF(categorie=$G$31,1,0)</f>
        <v>1</v>
      </c>
      <c r="I99" s="251">
        <f>IF(categorie=$H$31,1,0)</f>
        <v>0</v>
      </c>
      <c r="J99" s="251">
        <f>IF(categorie="Catégorie 3",1,0)</f>
        <v>0</v>
      </c>
    </row>
    <row r="100" spans="2:10">
      <c r="B100" s="220" t="s">
        <v>302</v>
      </c>
      <c r="C100" s="231" t="str">
        <f>climatisé</f>
        <v>NON</v>
      </c>
      <c r="F100" s="38" t="s">
        <v>303</v>
      </c>
      <c r="G100" s="240">
        <f>IF(climatisé="OUI",0,1)</f>
        <v>1</v>
      </c>
      <c r="H100" s="241">
        <f>IF(climatisé="OUI",1,0)</f>
        <v>0</v>
      </c>
      <c r="I100" s="242">
        <f>IF(climatisé="OUI",1,0)</f>
        <v>0</v>
      </c>
      <c r="J100" s="242">
        <v>1</v>
      </c>
    </row>
    <row r="101" spans="2:10" ht="14.65" thickBot="1">
      <c r="B101" s="220" t="s">
        <v>298</v>
      </c>
      <c r="C101" s="231" t="str">
        <f>zoneclim</f>
        <v>H1a</v>
      </c>
      <c r="F101" s="38" t="s">
        <v>297</v>
      </c>
      <c r="G101" s="243">
        <f>IF(OR(zoneclim="H2d",zoneclim="H3"),0,1)</f>
        <v>1</v>
      </c>
      <c r="H101" s="244">
        <f>IF(OR(zoneclim="H2d",zoneclim="H3"),1,0)</f>
        <v>0</v>
      </c>
      <c r="I101" s="245">
        <v>1</v>
      </c>
      <c r="J101" s="245">
        <v>1</v>
      </c>
    </row>
    <row r="102" spans="2:10" ht="14.65" thickBot="1">
      <c r="G102" s="237" t="str">
        <f>IF(AND(G99,OR(G100,G101)),"ICI",FALSE)</f>
        <v>ICI</v>
      </c>
      <c r="H102" s="238" t="b">
        <f>IF(H99*H100*H101,"ICI",FALSE)</f>
        <v>0</v>
      </c>
      <c r="I102" s="239" t="b">
        <f>IF(I99*I100*I101,"ICI",FALSE)</f>
        <v>0</v>
      </c>
      <c r="J102" s="239" t="b">
        <f>IF(J99*J100*J101,"ICI",FALSE)</f>
        <v>0</v>
      </c>
    </row>
    <row r="103" spans="2:10" ht="14.65" thickBot="1">
      <c r="F103" s="391" t="s">
        <v>304</v>
      </c>
      <c r="G103" s="392">
        <v>550</v>
      </c>
      <c r="H103" s="229">
        <v>1600</v>
      </c>
      <c r="I103" s="230">
        <v>1600</v>
      </c>
      <c r="J103" s="230" t="s">
        <v>400</v>
      </c>
    </row>
    <row r="105" spans="2:10" ht="14.65" thickBot="1">
      <c r="B105" s="394" t="str">
        <f>IF(usage_detaillé=B106,"↓↓↓","")</f>
        <v/>
      </c>
      <c r="C105" s="394" t="str">
        <f>IF(usage_detaillé=B106,"↓↓↓","")</f>
        <v/>
      </c>
      <c r="G105" s="6" t="s">
        <v>300</v>
      </c>
      <c r="H105" s="6" t="s">
        <v>305</v>
      </c>
      <c r="I105" s="6" t="s">
        <v>294</v>
      </c>
      <c r="J105" s="6" t="s">
        <v>194</v>
      </c>
    </row>
    <row r="106" spans="2:10" ht="14.65" thickBot="1">
      <c r="B106" s="26" t="str">
        <f>Enumération!E16</f>
        <v>Restaurants - en continu, 18 heures par jour, 7 jours sur 7</v>
      </c>
      <c r="C106" s="228">
        <f>HLOOKUP("ICI",G109:J110,2,FALSE)</f>
        <v>2500</v>
      </c>
      <c r="F106" s="38" t="s">
        <v>296</v>
      </c>
      <c r="G106" s="249">
        <f>IF(categorie=$G$31,1,0)</f>
        <v>1</v>
      </c>
      <c r="H106" s="250">
        <f>IF(categorie=$G$31,1,0)</f>
        <v>1</v>
      </c>
      <c r="I106" s="251">
        <f>IF(categorie=$H$31,1,0)</f>
        <v>0</v>
      </c>
      <c r="J106" s="251">
        <f>IF(categorie="Catégorie 3",1,0)</f>
        <v>0</v>
      </c>
    </row>
    <row r="107" spans="2:10">
      <c r="B107" s="220" t="s">
        <v>302</v>
      </c>
      <c r="C107" s="231" t="str">
        <f>climatisé</f>
        <v>NON</v>
      </c>
      <c r="F107" s="38" t="s">
        <v>303</v>
      </c>
      <c r="G107" s="240">
        <f>IF(climatisé="OUI",0,1)</f>
        <v>1</v>
      </c>
      <c r="H107" s="241">
        <f>IF(climatisé="OUI",1,0)</f>
        <v>0</v>
      </c>
      <c r="I107" s="242">
        <f>IF(climatisé="OUI",1,0)</f>
        <v>0</v>
      </c>
      <c r="J107" s="242">
        <v>1</v>
      </c>
    </row>
    <row r="108" spans="2:10" ht="14.65" thickBot="1">
      <c r="B108" s="220" t="s">
        <v>298</v>
      </c>
      <c r="C108" s="231" t="str">
        <f>zoneclim</f>
        <v>H1a</v>
      </c>
      <c r="F108" s="38" t="s">
        <v>297</v>
      </c>
      <c r="G108" s="243">
        <f>IF(OR(zoneclim="H2d",zoneclim="H3"),0,1)</f>
        <v>1</v>
      </c>
      <c r="H108" s="244">
        <f>IF(OR(zoneclim="H2d",zoneclim="H3"),1,0)</f>
        <v>0</v>
      </c>
      <c r="I108" s="245">
        <v>1</v>
      </c>
      <c r="J108" s="245">
        <v>1</v>
      </c>
    </row>
    <row r="109" spans="2:10" ht="14.65" thickBot="1">
      <c r="G109" s="237" t="str">
        <f>IF(AND(G106,OR(G107,G108)),"ICI",FALSE)</f>
        <v>ICI</v>
      </c>
      <c r="H109" s="238" t="b">
        <f>IF(H106*H107*H108,"ICI",FALSE)</f>
        <v>0</v>
      </c>
      <c r="I109" s="239" t="b">
        <f>IF(I106*I107*I108,"ICI",FALSE)</f>
        <v>0</v>
      </c>
      <c r="J109" s="239" t="b">
        <f>IF(J106*J107*J108,"ICI",FALSE)</f>
        <v>0</v>
      </c>
    </row>
    <row r="110" spans="2:10" ht="14.65" thickBot="1">
      <c r="F110" s="391" t="s">
        <v>304</v>
      </c>
      <c r="G110" s="392">
        <v>2500</v>
      </c>
      <c r="H110" s="229">
        <v>5000</v>
      </c>
      <c r="I110" s="230">
        <v>5000</v>
      </c>
      <c r="J110" s="230" t="s">
        <v>400</v>
      </c>
    </row>
    <row r="112" spans="2:10" ht="14.65" thickBot="1">
      <c r="B112" s="394" t="str">
        <f>IF(usage_detaillé=B113,"↓↓↓","")</f>
        <v/>
      </c>
      <c r="C112" s="394" t="str">
        <f>IF(usage_detaillé=B113,"↓↓↓","")</f>
        <v/>
      </c>
      <c r="G112" s="6" t="s">
        <v>300</v>
      </c>
      <c r="H112" s="6" t="s">
        <v>305</v>
      </c>
      <c r="I112" s="6" t="s">
        <v>294</v>
      </c>
      <c r="J112" s="6" t="s">
        <v>194</v>
      </c>
    </row>
    <row r="113" spans="2:10" ht="14.65" thickBot="1">
      <c r="B113" s="26" t="str">
        <f>B15</f>
        <v>Restaurants - 1 repas par jour, 5 jours sur 7</v>
      </c>
      <c r="C113" s="228">
        <f>HLOOKUP("ICI",G116:J117,2,FALSE)</f>
        <v>250</v>
      </c>
      <c r="F113" s="38" t="s">
        <v>296</v>
      </c>
      <c r="G113" s="249">
        <f>IF(categorie=$G$31,1,0)</f>
        <v>1</v>
      </c>
      <c r="H113" s="250">
        <f>IF(categorie=$G$31,1,0)</f>
        <v>1</v>
      </c>
      <c r="I113" s="251">
        <f>IF(categorie=$H$31,1,0)</f>
        <v>0</v>
      </c>
      <c r="J113" s="251">
        <f>IF(categorie="Catégorie 3",1,0)</f>
        <v>0</v>
      </c>
    </row>
    <row r="114" spans="2:10">
      <c r="B114" s="220" t="s">
        <v>302</v>
      </c>
      <c r="C114" s="231" t="str">
        <f>climatisé</f>
        <v>NON</v>
      </c>
      <c r="F114" s="38" t="s">
        <v>303</v>
      </c>
      <c r="G114" s="240">
        <f>IF(climatisé="OUI",0,1)</f>
        <v>1</v>
      </c>
      <c r="H114" s="241">
        <f>IF(climatisé="OUI",1,0)</f>
        <v>0</v>
      </c>
      <c r="I114" s="242">
        <f>IF(climatisé="OUI",1,0)</f>
        <v>0</v>
      </c>
      <c r="J114" s="242">
        <v>1</v>
      </c>
    </row>
    <row r="115" spans="2:10" ht="14.65" thickBot="1">
      <c r="B115" s="220" t="s">
        <v>298</v>
      </c>
      <c r="C115" s="231" t="str">
        <f>zoneclim</f>
        <v>H1a</v>
      </c>
      <c r="F115" s="38" t="s">
        <v>297</v>
      </c>
      <c r="G115" s="243">
        <f>IF(OR(zoneclim="H2d",zoneclim="H3"),0,1)</f>
        <v>1</v>
      </c>
      <c r="H115" s="244">
        <f>IF(OR(zoneclim="H2d",zoneclim="H3"),1,0)</f>
        <v>0</v>
      </c>
      <c r="I115" s="245">
        <v>1</v>
      </c>
      <c r="J115" s="245">
        <v>1</v>
      </c>
    </row>
    <row r="116" spans="2:10" ht="14.65" thickBot="1">
      <c r="G116" s="237" t="str">
        <f>IF(AND(G113,OR(G114,G115)),"ICI",FALSE)</f>
        <v>ICI</v>
      </c>
      <c r="H116" s="238" t="b">
        <f>IF(H113*H114*H115,"ICI",FALSE)</f>
        <v>0</v>
      </c>
      <c r="I116" s="239" t="b">
        <f>IF(I113*I114*I115,"ICI",FALSE)</f>
        <v>0</v>
      </c>
      <c r="J116" s="239" t="b">
        <f>IF(J113*J114*J115,"ICI",FALSE)</f>
        <v>0</v>
      </c>
    </row>
    <row r="117" spans="2:10" ht="14.65" thickBot="1">
      <c r="F117" s="391" t="s">
        <v>304</v>
      </c>
      <c r="G117" s="392">
        <v>250</v>
      </c>
      <c r="H117" s="229">
        <v>650</v>
      </c>
      <c r="I117" s="230">
        <v>650</v>
      </c>
      <c r="J117" s="230" t="s">
        <v>400</v>
      </c>
    </row>
    <row r="119" spans="2:10" ht="14.65" thickBot="1">
      <c r="B119" s="394" t="str">
        <f>IF(usage_detaillé=B120,"↓↓↓","")</f>
        <v/>
      </c>
      <c r="C119" s="394" t="str">
        <f>IF(usage_detaillé=B120,"↓↓↓","")</f>
        <v/>
      </c>
      <c r="G119" s="6" t="s">
        <v>300</v>
      </c>
      <c r="H119" s="6" t="s">
        <v>305</v>
      </c>
      <c r="I119" s="6" t="s">
        <v>294</v>
      </c>
      <c r="J119" s="6" t="s">
        <v>194</v>
      </c>
    </row>
    <row r="120" spans="2:10" ht="14.65" thickBot="1">
      <c r="B120" s="26" t="str">
        <f>B16</f>
        <v>Restaurants - 2 repas par jour, 7 jours sur 7</v>
      </c>
      <c r="C120" s="228">
        <f>HLOOKUP("ICI",G123:J124,2,FALSE)</f>
        <v>1600</v>
      </c>
      <c r="F120" s="38" t="s">
        <v>296</v>
      </c>
      <c r="G120" s="249">
        <f>IF(categorie=$G$31,1,0)</f>
        <v>1</v>
      </c>
      <c r="H120" s="250">
        <f>IF(categorie=$G$31,1,0)</f>
        <v>1</v>
      </c>
      <c r="I120" s="251">
        <f>IF(categorie=$H$31,1,0)</f>
        <v>0</v>
      </c>
      <c r="J120" s="251">
        <f>IF(categorie="Catégorie 3",1,0)</f>
        <v>0</v>
      </c>
    </row>
    <row r="121" spans="2:10">
      <c r="B121" s="220" t="s">
        <v>302</v>
      </c>
      <c r="C121" s="231" t="str">
        <f>climatisé</f>
        <v>NON</v>
      </c>
      <c r="F121" s="38" t="s">
        <v>303</v>
      </c>
      <c r="G121" s="240">
        <f>IF(climatisé="OUI",0,1)</f>
        <v>1</v>
      </c>
      <c r="H121" s="241">
        <f>IF(climatisé="OUI",1,0)</f>
        <v>0</v>
      </c>
      <c r="I121" s="242">
        <f>IF(climatisé="OUI",1,0)</f>
        <v>0</v>
      </c>
      <c r="J121" s="242">
        <v>1</v>
      </c>
    </row>
    <row r="122" spans="2:10" ht="14.65" thickBot="1">
      <c r="B122" s="220" t="s">
        <v>298</v>
      </c>
      <c r="C122" s="231" t="str">
        <f>zoneclim</f>
        <v>H1a</v>
      </c>
      <c r="F122" s="38" t="s">
        <v>297</v>
      </c>
      <c r="G122" s="243">
        <f>IF(OR(zoneclim="H2d",zoneclim="H3"),0,1)</f>
        <v>1</v>
      </c>
      <c r="H122" s="244">
        <f>IF(OR(zoneclim="H2d",zoneclim="H3"),1,0)</f>
        <v>0</v>
      </c>
      <c r="I122" s="245">
        <v>1</v>
      </c>
      <c r="J122" s="245">
        <v>1</v>
      </c>
    </row>
    <row r="123" spans="2:10" ht="14.65" thickBot="1">
      <c r="G123" s="237" t="str">
        <f>IF(AND(G120,OR(G121,G122)),"ICI",FALSE)</f>
        <v>ICI</v>
      </c>
      <c r="H123" s="238" t="b">
        <f>IF(H120*H121*H122,"ICI",FALSE)</f>
        <v>0</v>
      </c>
      <c r="I123" s="239" t="b">
        <f>IF(I120*I121*I122,"ICI",FALSE)</f>
        <v>0</v>
      </c>
      <c r="J123" s="239" t="b">
        <f>IF(J120*J121*J122,"ICI",FALSE)</f>
        <v>0</v>
      </c>
    </row>
    <row r="124" spans="2:10" ht="14.65" thickBot="1">
      <c r="F124" s="391" t="s">
        <v>304</v>
      </c>
      <c r="G124" s="392">
        <v>1600</v>
      </c>
      <c r="H124" s="229">
        <v>3500</v>
      </c>
      <c r="I124" s="230">
        <v>3500</v>
      </c>
      <c r="J124" s="230" t="s">
        <v>400</v>
      </c>
    </row>
    <row r="126" spans="2:10" ht="14.65" thickBot="1">
      <c r="B126" s="394" t="str">
        <f>IF(usage_detaillé=B127,"↓↓↓","")</f>
        <v/>
      </c>
      <c r="C126" s="394" t="str">
        <f>IF(usage_detaillé=B127,"↓↓↓","")</f>
        <v/>
      </c>
      <c r="G126" s="6" t="s">
        <v>300</v>
      </c>
      <c r="H126" s="6" t="s">
        <v>305</v>
      </c>
      <c r="I126" s="6" t="s">
        <v>294</v>
      </c>
      <c r="J126" s="6" t="s">
        <v>194</v>
      </c>
    </row>
    <row r="127" spans="2:10" ht="14.65" thickBot="1">
      <c r="B127" s="26" t="str">
        <f>B17</f>
        <v>Restaurants - 2 repas par jour, 6 jours sur 7</v>
      </c>
      <c r="C127" s="228">
        <f>HLOOKUP("ICI",G130:J131,2,FALSE)</f>
        <v>1250</v>
      </c>
      <c r="F127" s="38" t="s">
        <v>296</v>
      </c>
      <c r="G127" s="249">
        <f>IF(categorie=$G$31,1,0)</f>
        <v>1</v>
      </c>
      <c r="H127" s="250">
        <f>IF(categorie=$G$31,1,0)</f>
        <v>1</v>
      </c>
      <c r="I127" s="251">
        <f>IF(categorie=$H$31,1,0)</f>
        <v>0</v>
      </c>
      <c r="J127" s="251">
        <f>IF(categorie="Catégorie 3",1,0)</f>
        <v>0</v>
      </c>
    </row>
    <row r="128" spans="2:10">
      <c r="B128" s="220" t="s">
        <v>302</v>
      </c>
      <c r="C128" s="231" t="str">
        <f>climatisé</f>
        <v>NON</v>
      </c>
      <c r="F128" s="38" t="s">
        <v>303</v>
      </c>
      <c r="G128" s="240">
        <f>IF(climatisé="OUI",0,1)</f>
        <v>1</v>
      </c>
      <c r="H128" s="241">
        <f>IF(climatisé="OUI",1,0)</f>
        <v>0</v>
      </c>
      <c r="I128" s="242">
        <f>IF(climatisé="OUI",1,0)</f>
        <v>0</v>
      </c>
      <c r="J128" s="242">
        <v>1</v>
      </c>
    </row>
    <row r="129" spans="2:10" ht="14.65" thickBot="1">
      <c r="B129" s="220" t="s">
        <v>298</v>
      </c>
      <c r="C129" s="231" t="str">
        <f>zoneclim</f>
        <v>H1a</v>
      </c>
      <c r="F129" s="38" t="s">
        <v>297</v>
      </c>
      <c r="G129" s="243">
        <f>IF(OR(zoneclim="H2d",zoneclim="H3"),0,1)</f>
        <v>1</v>
      </c>
      <c r="H129" s="244">
        <f>IF(OR(zoneclim="H2d",zoneclim="H3"),1,0)</f>
        <v>0</v>
      </c>
      <c r="I129" s="245">
        <v>1</v>
      </c>
      <c r="J129" s="245">
        <v>1</v>
      </c>
    </row>
    <row r="130" spans="2:10" ht="14.65" thickBot="1">
      <c r="G130" s="237" t="str">
        <f>IF(AND(G127,OR(G128,G129)),"ICI",FALSE)</f>
        <v>ICI</v>
      </c>
      <c r="H130" s="238" t="b">
        <f>IF(H127*H128*H129,"ICI",FALSE)</f>
        <v>0</v>
      </c>
      <c r="I130" s="239" t="b">
        <f>IF(I127*I128*I129,"ICI",FALSE)</f>
        <v>0</v>
      </c>
      <c r="J130" s="239" t="b">
        <f>IF(J127*J128*J129,"ICI",FALSE)</f>
        <v>0</v>
      </c>
    </row>
    <row r="131" spans="2:10" ht="14.65" thickBot="1">
      <c r="F131" s="391" t="s">
        <v>304</v>
      </c>
      <c r="G131" s="392">
        <v>1250</v>
      </c>
      <c r="H131" s="229">
        <v>2500</v>
      </c>
      <c r="I131" s="230">
        <v>2500</v>
      </c>
      <c r="J131" s="230" t="s">
        <v>400</v>
      </c>
    </row>
    <row r="133" spans="2:10" ht="14.65" thickBot="1">
      <c r="B133" s="394" t="str">
        <f>IF(usage=B134,"↓↓↓","")</f>
        <v/>
      </c>
      <c r="C133" s="394" t="str">
        <f>IF(usage=B134,"↓↓↓","")</f>
        <v/>
      </c>
      <c r="G133" s="6" t="s">
        <v>300</v>
      </c>
      <c r="H133" s="6" t="s">
        <v>305</v>
      </c>
      <c r="I133" s="6" t="s">
        <v>294</v>
      </c>
      <c r="J133" s="6" t="s">
        <v>194</v>
      </c>
    </row>
    <row r="134" spans="2:10" ht="14.65" thickBot="1">
      <c r="B134" s="26" t="str">
        <f>B18</f>
        <v>Commerces</v>
      </c>
      <c r="C134" s="228">
        <f>HLOOKUP("ICI",G137:J138,2,FALSE)</f>
        <v>3300</v>
      </c>
      <c r="F134" s="38" t="s">
        <v>296</v>
      </c>
      <c r="G134" s="249">
        <f>IF(categorie=$G$31,1,0)</f>
        <v>1</v>
      </c>
      <c r="H134" s="250">
        <f>IF(categorie=$G$31,1,0)</f>
        <v>1</v>
      </c>
      <c r="I134" s="251">
        <f>IF(categorie=$H$31,1,0)</f>
        <v>0</v>
      </c>
      <c r="J134" s="251">
        <f>IF(categorie="Catégorie 3",1,0)</f>
        <v>0</v>
      </c>
    </row>
    <row r="135" spans="2:10">
      <c r="B135" s="220" t="s">
        <v>302</v>
      </c>
      <c r="C135" s="231" t="str">
        <f>climatisé</f>
        <v>NON</v>
      </c>
      <c r="F135" s="38" t="s">
        <v>303</v>
      </c>
      <c r="G135" s="240">
        <f>IF(climatisé="OUI",0,1)</f>
        <v>1</v>
      </c>
      <c r="H135" s="241">
        <f>IF(climatisé="OUI",1,0)</f>
        <v>0</v>
      </c>
      <c r="I135" s="242">
        <f>IF(climatisé="OUI",1,0)</f>
        <v>0</v>
      </c>
      <c r="J135" s="242">
        <v>1</v>
      </c>
    </row>
    <row r="136" spans="2:10" ht="14.65" thickBot="1">
      <c r="B136" s="220" t="s">
        <v>298</v>
      </c>
      <c r="C136" s="231" t="str">
        <f>zoneclim</f>
        <v>H1a</v>
      </c>
      <c r="F136" s="38" t="s">
        <v>297</v>
      </c>
      <c r="G136" s="243">
        <f>IF(OR(zoneclim="H2d",zoneclim="H3"),0,1)</f>
        <v>1</v>
      </c>
      <c r="H136" s="244">
        <f>IF(OR(zoneclim="H2d",zoneclim="H3"),1,0)</f>
        <v>0</v>
      </c>
      <c r="I136" s="245">
        <v>1</v>
      </c>
      <c r="J136" s="245">
        <v>1</v>
      </c>
    </row>
    <row r="137" spans="2:10" ht="14.65" thickBot="1">
      <c r="G137" s="237" t="str">
        <f>IF(AND(G134,OR(G135,G136)),"ICI",FALSE)</f>
        <v>ICI</v>
      </c>
      <c r="H137" s="238" t="b">
        <f>IF(H134*H135*H136,"ICI",FALSE)</f>
        <v>0</v>
      </c>
      <c r="I137" s="239" t="b">
        <f>IF(I134*I135*I136,"ICI",FALSE)</f>
        <v>0</v>
      </c>
      <c r="J137" s="239" t="b">
        <f>IF(J134*J135*J136,"ICI",FALSE)</f>
        <v>0</v>
      </c>
    </row>
    <row r="138" spans="2:10" ht="14.65" thickBot="1">
      <c r="F138" s="391" t="s">
        <v>304</v>
      </c>
      <c r="G138" s="392">
        <v>3300</v>
      </c>
      <c r="H138" s="229">
        <v>8000</v>
      </c>
      <c r="I138" s="230">
        <v>9500</v>
      </c>
      <c r="J138" s="230" t="s">
        <v>400</v>
      </c>
    </row>
    <row r="140" spans="2:10" ht="14.65" thickBot="1">
      <c r="B140" s="394" t="str">
        <f>IF(usage=B141,"↓↓↓","")</f>
        <v/>
      </c>
      <c r="C140" s="394" t="str">
        <f>IF(usage=B141,"↓↓↓","")</f>
        <v/>
      </c>
      <c r="G140" s="6" t="s">
        <v>300</v>
      </c>
      <c r="H140" s="6" t="s">
        <v>305</v>
      </c>
      <c r="I140" s="6" t="s">
        <v>294</v>
      </c>
    </row>
    <row r="141" spans="2:10" ht="14.65" thickBot="1">
      <c r="B141" s="26" t="str">
        <f>B19</f>
        <v>Vestiaires seuls</v>
      </c>
      <c r="C141" s="228">
        <f>HLOOKUP("ICI",G144:J145,2,FALSE)</f>
        <v>1000</v>
      </c>
      <c r="F141" s="38" t="s">
        <v>296</v>
      </c>
      <c r="G141" s="249">
        <f>IF(categorie=$G$31,1,0)</f>
        <v>1</v>
      </c>
      <c r="H141" s="250">
        <f>IF(categorie=$G$31,1,0)</f>
        <v>1</v>
      </c>
      <c r="I141" s="251">
        <f>IF(categorie=$H$31,1,0)</f>
        <v>0</v>
      </c>
    </row>
    <row r="142" spans="2:10">
      <c r="B142" s="220" t="s">
        <v>302</v>
      </c>
      <c r="C142" s="231" t="str">
        <f>climatisé</f>
        <v>NON</v>
      </c>
      <c r="F142" s="38" t="s">
        <v>303</v>
      </c>
      <c r="G142" s="240">
        <f>IF(climatisé="OUI",0,1)</f>
        <v>1</v>
      </c>
      <c r="H142" s="241">
        <f>IF(climatisé="OUI",1,0)</f>
        <v>0</v>
      </c>
      <c r="I142" s="242">
        <f>IF(climatisé="OUI",1,0)</f>
        <v>0</v>
      </c>
    </row>
    <row r="143" spans="2:10" ht="14.65" thickBot="1">
      <c r="B143" s="220" t="s">
        <v>298</v>
      </c>
      <c r="C143" s="231" t="str">
        <f>zoneclim</f>
        <v>H1a</v>
      </c>
      <c r="F143" s="38" t="s">
        <v>297</v>
      </c>
      <c r="G143" s="243">
        <f>IF(OR(zoneclim="H2d",zoneclim="H3"),0,1)</f>
        <v>1</v>
      </c>
      <c r="H143" s="244">
        <f>IF(OR(zoneclim="H2d",zoneclim="H3"),1,0)</f>
        <v>0</v>
      </c>
      <c r="I143" s="245">
        <v>1</v>
      </c>
    </row>
    <row r="144" spans="2:10" ht="14.65" thickBot="1">
      <c r="G144" s="237" t="str">
        <f>IF(AND(G141,OR(G142,G143)),"ICI",FALSE)</f>
        <v>ICI</v>
      </c>
      <c r="H144" s="238" t="b">
        <f>IF(H141*H142*H143,"ICI",FALSE)</f>
        <v>0</v>
      </c>
      <c r="I144" s="239" t="b">
        <f>IF(I141*I142*I143,"ICI",FALSE)</f>
        <v>0</v>
      </c>
    </row>
    <row r="145" spans="2:9" ht="14.65" thickBot="1">
      <c r="F145" s="391" t="s">
        <v>304</v>
      </c>
      <c r="G145" s="392">
        <v>1000</v>
      </c>
      <c r="H145" s="229">
        <v>2200</v>
      </c>
      <c r="I145" s="230">
        <v>2200</v>
      </c>
    </row>
    <row r="147" spans="2:9" ht="14.65" thickBot="1">
      <c r="B147" s="394" t="str">
        <f>IF(usage=B148,"↓↓↓","")</f>
        <v/>
      </c>
      <c r="C147" s="394" t="str">
        <f>IF(usage=B148,"↓↓↓","")</f>
        <v/>
      </c>
      <c r="G147" s="6" t="s">
        <v>300</v>
      </c>
      <c r="H147" s="6" t="s">
        <v>305</v>
      </c>
      <c r="I147" s="6" t="s">
        <v>294</v>
      </c>
    </row>
    <row r="148" spans="2:9" ht="14.65" thickBot="1">
      <c r="B148" s="26" t="str">
        <f>B20</f>
        <v>Etablissements_sanitaires_avec_hébergement</v>
      </c>
      <c r="C148" s="228">
        <f>HLOOKUP("ICI",G151:J152,2,FALSE)</f>
        <v>900</v>
      </c>
      <c r="F148" s="38" t="s">
        <v>296</v>
      </c>
      <c r="G148" s="249">
        <f>IF(categorie=$G$31,1,0)</f>
        <v>1</v>
      </c>
      <c r="H148" s="250">
        <f>IF(categorie=$G$31,1,0)</f>
        <v>1</v>
      </c>
      <c r="I148" s="251">
        <f>IF(categorie=$H$31,1,0)</f>
        <v>0</v>
      </c>
    </row>
    <row r="149" spans="2:9">
      <c r="B149" s="220" t="s">
        <v>302</v>
      </c>
      <c r="C149" s="231" t="str">
        <f>climatisé</f>
        <v>NON</v>
      </c>
      <c r="F149" s="38" t="s">
        <v>303</v>
      </c>
      <c r="G149" s="240">
        <f>IF(climatisé="OUI",0,1)</f>
        <v>1</v>
      </c>
      <c r="H149" s="241">
        <f>IF(climatisé="OUI",1,0)</f>
        <v>0</v>
      </c>
      <c r="I149" s="242">
        <f>IF(climatisé="OUI",1,0)</f>
        <v>0</v>
      </c>
    </row>
    <row r="150" spans="2:9" ht="14.65" thickBot="1">
      <c r="B150" s="220" t="s">
        <v>298</v>
      </c>
      <c r="C150" s="231" t="str">
        <f>zoneclim</f>
        <v>H1a</v>
      </c>
      <c r="F150" s="38" t="s">
        <v>297</v>
      </c>
      <c r="G150" s="243">
        <f>IF(OR(zoneclim="H2d",zoneclim="H3"),0,1)</f>
        <v>1</v>
      </c>
      <c r="H150" s="244">
        <f>IF(OR(zoneclim="H2d",zoneclim="H3"),1,0)</f>
        <v>0</v>
      </c>
      <c r="I150" s="245">
        <v>1</v>
      </c>
    </row>
    <row r="151" spans="2:9" ht="14.65" thickBot="1">
      <c r="G151" s="237" t="str">
        <f>IF(AND(G148,OR(G149,G150)),"ICI",FALSE)</f>
        <v>ICI</v>
      </c>
      <c r="H151" s="238" t="b">
        <f>IF(H148*H149*H150,"ICI",FALSE)</f>
        <v>0</v>
      </c>
      <c r="I151" s="239" t="b">
        <f>IF(I148*I149*I150,"ICI",FALSE)</f>
        <v>0</v>
      </c>
    </row>
    <row r="152" spans="2:9" ht="14.65" thickBot="1">
      <c r="F152" s="391" t="s">
        <v>304</v>
      </c>
      <c r="G152" s="392">
        <v>900</v>
      </c>
      <c r="H152" s="229">
        <v>2400</v>
      </c>
      <c r="I152" s="230">
        <v>2600</v>
      </c>
    </row>
    <row r="154" spans="2:9" ht="14.65" thickBot="1">
      <c r="B154" s="394" t="str">
        <f>IF(usage_detaillé=B155,"↓↓↓","")</f>
        <v/>
      </c>
      <c r="C154" s="394" t="str">
        <f>IF(usage_detaillé=B155,"↓↓↓","")</f>
        <v/>
      </c>
      <c r="G154" s="6" t="s">
        <v>300</v>
      </c>
      <c r="H154" s="6" t="s">
        <v>305</v>
      </c>
      <c r="I154" s="6" t="s">
        <v>294</v>
      </c>
    </row>
    <row r="155" spans="2:9" ht="14.65" thickBot="1">
      <c r="B155" s="26" t="str">
        <f>B21</f>
        <v xml:space="preserve">Etablissements_de_santé - partie nuit </v>
      </c>
      <c r="C155" s="228">
        <f>HLOOKUP("ICI",G158:J159,2,FALSE)</f>
        <v>900</v>
      </c>
      <c r="F155" s="38" t="s">
        <v>296</v>
      </c>
      <c r="G155" s="249">
        <f>IF(categorie=$G$31,1,0)</f>
        <v>1</v>
      </c>
      <c r="H155" s="250">
        <f>IF(categorie=$G$31,1,0)</f>
        <v>1</v>
      </c>
      <c r="I155" s="251">
        <f>IF(categorie=$H$31,1,0)</f>
        <v>0</v>
      </c>
    </row>
    <row r="156" spans="2:9">
      <c r="B156" s="220" t="s">
        <v>302</v>
      </c>
      <c r="C156" s="231" t="str">
        <f>climatisé</f>
        <v>NON</v>
      </c>
      <c r="F156" s="38" t="s">
        <v>303</v>
      </c>
      <c r="G156" s="240">
        <f>IF(climatisé="OUI",0,1)</f>
        <v>1</v>
      </c>
      <c r="H156" s="241">
        <f>IF(climatisé="OUI",1,0)</f>
        <v>0</v>
      </c>
      <c r="I156" s="242">
        <f>IF(climatisé="OUI",1,0)</f>
        <v>0</v>
      </c>
    </row>
    <row r="157" spans="2:9" ht="14.65" thickBot="1">
      <c r="B157" s="220" t="s">
        <v>298</v>
      </c>
      <c r="C157" s="231" t="str">
        <f>zoneclim</f>
        <v>H1a</v>
      </c>
      <c r="F157" s="38" t="s">
        <v>297</v>
      </c>
      <c r="G157" s="243">
        <f>IF(OR(zoneclim="H2d",zoneclim="H3"),0,1)</f>
        <v>1</v>
      </c>
      <c r="H157" s="244">
        <f>IF(OR(zoneclim="H2d",zoneclim="H3"),1,0)</f>
        <v>0</v>
      </c>
      <c r="I157" s="245">
        <v>1</v>
      </c>
    </row>
    <row r="158" spans="2:9" ht="14.65" thickBot="1">
      <c r="G158" s="237" t="str">
        <f>IF(AND(G155,OR(G156,G157)),"ICI",FALSE)</f>
        <v>ICI</v>
      </c>
      <c r="H158" s="238" t="b">
        <f>IF(H155*H156*H157,"ICI",FALSE)</f>
        <v>0</v>
      </c>
      <c r="I158" s="239" t="b">
        <f>IF(I155*I156*I157,"ICI",FALSE)</f>
        <v>0</v>
      </c>
    </row>
    <row r="159" spans="2:9" ht="14.65" thickBot="1">
      <c r="F159" s="391" t="s">
        <v>304</v>
      </c>
      <c r="G159" s="392">
        <v>900</v>
      </c>
      <c r="H159" s="229">
        <v>2400</v>
      </c>
      <c r="I159" s="230">
        <v>2600</v>
      </c>
    </row>
    <row r="161" spans="2:10" ht="14.65" thickBot="1">
      <c r="B161" s="394" t="str">
        <f>IF(usage_detaillé=B162,"↓↓↓","")</f>
        <v/>
      </c>
      <c r="C161" s="394" t="str">
        <f>IF(usage_detaillé=B162,"↓↓↓","")</f>
        <v/>
      </c>
      <c r="G161" s="6" t="s">
        <v>300</v>
      </c>
      <c r="H161" s="6" t="s">
        <v>305</v>
      </c>
      <c r="I161" s="6" t="s">
        <v>294</v>
      </c>
      <c r="J161" s="6" t="s">
        <v>194</v>
      </c>
    </row>
    <row r="162" spans="2:10" ht="14.65" thickBot="1">
      <c r="B162" s="26" t="str">
        <f>B22</f>
        <v xml:space="preserve">Etablissements_de_santé - partie jour </v>
      </c>
      <c r="C162" s="228">
        <f>HLOOKUP("ICI",G165:J166,2,FALSE)</f>
        <v>1250</v>
      </c>
      <c r="F162" s="38" t="s">
        <v>296</v>
      </c>
      <c r="G162" s="249">
        <f>IF(categorie=$G$31,1,0)</f>
        <v>1</v>
      </c>
      <c r="H162" s="250">
        <f>IF(categorie=$G$31,1,0)</f>
        <v>1</v>
      </c>
      <c r="I162" s="251">
        <f>IF(categorie=$H$31,1,0)</f>
        <v>0</v>
      </c>
      <c r="J162" s="251">
        <f>IF(categorie="Catégorie 3",1,0)</f>
        <v>0</v>
      </c>
    </row>
    <row r="163" spans="2:10">
      <c r="B163" s="220" t="s">
        <v>302</v>
      </c>
      <c r="C163" s="231" t="str">
        <f>climatisé</f>
        <v>NON</v>
      </c>
      <c r="F163" s="38" t="s">
        <v>303</v>
      </c>
      <c r="G163" s="240">
        <f>IF(climatisé="OUI",0,1)</f>
        <v>1</v>
      </c>
      <c r="H163" s="241">
        <f>IF(climatisé="OUI",1,0)</f>
        <v>0</v>
      </c>
      <c r="I163" s="242">
        <f>IF(climatisé="OUI",1,0)</f>
        <v>0</v>
      </c>
      <c r="J163" s="242">
        <v>1</v>
      </c>
    </row>
    <row r="164" spans="2:10" ht="14.65" thickBot="1">
      <c r="B164" s="220" t="s">
        <v>298</v>
      </c>
      <c r="C164" s="231" t="str">
        <f>zoneclim</f>
        <v>H1a</v>
      </c>
      <c r="F164" s="38" t="s">
        <v>297</v>
      </c>
      <c r="G164" s="243">
        <f>IF(OR(zoneclim="H2d",zoneclim="H3"),0,1)</f>
        <v>1</v>
      </c>
      <c r="H164" s="244">
        <f>IF(OR(zoneclim="H2d",zoneclim="H3"),1,0)</f>
        <v>0</v>
      </c>
      <c r="I164" s="245">
        <v>1</v>
      </c>
      <c r="J164" s="245">
        <v>1</v>
      </c>
    </row>
    <row r="165" spans="2:10" ht="14.65" thickBot="1">
      <c r="G165" s="237" t="str">
        <f>IF(AND(G162,OR(G163,G164)),"ICI",FALSE)</f>
        <v>ICI</v>
      </c>
      <c r="H165" s="238" t="b">
        <f>IF(H162*H163*H164,"ICI",FALSE)</f>
        <v>0</v>
      </c>
      <c r="I165" s="239" t="b">
        <f>IF(I162*I163*I164,"ICI",FALSE)</f>
        <v>0</v>
      </c>
      <c r="J165" s="239" t="b">
        <f>IF(J162*J163*J164,"ICI",FALSE)</f>
        <v>0</v>
      </c>
    </row>
    <row r="166" spans="2:10" ht="14.65" thickBot="1">
      <c r="F166" s="391" t="s">
        <v>304</v>
      </c>
      <c r="G166" s="392">
        <v>1250</v>
      </c>
      <c r="H166" s="229">
        <v>3000</v>
      </c>
      <c r="I166" s="230">
        <v>3300</v>
      </c>
      <c r="J166" s="230" t="s">
        <v>400</v>
      </c>
    </row>
    <row r="168" spans="2:10" ht="14.65" thickBot="1">
      <c r="B168" s="394" t="str">
        <f>IF(usage=B169,"↓↓↓","")</f>
        <v/>
      </c>
      <c r="C168" s="394" t="str">
        <f>IF(usage=B169,"↓↓↓","")</f>
        <v/>
      </c>
      <c r="G168" s="6" t="s">
        <v>300</v>
      </c>
      <c r="H168" s="6" t="s">
        <v>305</v>
      </c>
      <c r="I168" s="6" t="s">
        <v>294</v>
      </c>
      <c r="J168" s="6" t="s">
        <v>194</v>
      </c>
    </row>
    <row r="169" spans="2:10" ht="14.65" thickBot="1">
      <c r="B169" s="26" t="str">
        <f>B23</f>
        <v>Aérogares</v>
      </c>
      <c r="C169" s="400">
        <f>HLOOKUP("ICI",G172:J173,2,FALSE)</f>
        <v>12100</v>
      </c>
      <c r="F169" s="38" t="s">
        <v>296</v>
      </c>
      <c r="G169" s="249">
        <f>IF(categorie=$G$31,1,0)</f>
        <v>1</v>
      </c>
      <c r="H169" s="250">
        <f>IF(categorie=$G$31,1,0)</f>
        <v>1</v>
      </c>
      <c r="I169" s="251">
        <f>IF(categorie=$H$31,1,0)</f>
        <v>0</v>
      </c>
      <c r="J169" s="251">
        <f>IF(categorie="Catégorie 3",1,0)</f>
        <v>0</v>
      </c>
    </row>
    <row r="170" spans="2:10">
      <c r="B170" s="220" t="s">
        <v>302</v>
      </c>
      <c r="C170" s="231" t="str">
        <f>climatisé</f>
        <v>NON</v>
      </c>
      <c r="F170" s="38" t="s">
        <v>303</v>
      </c>
      <c r="G170" s="240">
        <f>IF(climatisé="OUI",0,1)</f>
        <v>1</v>
      </c>
      <c r="H170" s="241">
        <f>IF(climatisé="OUI",1,0)</f>
        <v>0</v>
      </c>
      <c r="I170" s="242">
        <f>IF(climatisé="OUI",1,0)</f>
        <v>0</v>
      </c>
      <c r="J170" s="242">
        <v>1</v>
      </c>
    </row>
    <row r="171" spans="2:10" ht="14.65" thickBot="1">
      <c r="B171" s="220" t="s">
        <v>298</v>
      </c>
      <c r="C171" s="231" t="str">
        <f>zoneclim</f>
        <v>H1a</v>
      </c>
      <c r="F171" s="38" t="s">
        <v>297</v>
      </c>
      <c r="G171" s="243">
        <f>IF(OR(zoneclim="H2d",zoneclim="H3"),0,1)</f>
        <v>1</v>
      </c>
      <c r="H171" s="244">
        <f>IF(OR(zoneclim="H2d",zoneclim="H3"),1,0)</f>
        <v>0</v>
      </c>
      <c r="I171" s="245">
        <v>1</v>
      </c>
      <c r="J171" s="245">
        <v>1</v>
      </c>
    </row>
    <row r="172" spans="2:10" ht="14.65" thickBot="1">
      <c r="G172" s="237" t="str">
        <f>IF(AND(G169,OR(G170,G171)),"ICI",FALSE)</f>
        <v>ICI</v>
      </c>
      <c r="H172" s="238" t="b">
        <f>IF(H169*H170*H171,"ICI",FALSE)</f>
        <v>0</v>
      </c>
      <c r="I172" s="239" t="b">
        <f>IF(I169*I170*I171,"ICI",FALSE)</f>
        <v>0</v>
      </c>
      <c r="J172" s="239" t="b">
        <f>IF(J169*J170*J171,"ICI",FALSE)</f>
        <v>0</v>
      </c>
    </row>
    <row r="173" spans="2:10" ht="14.65" thickBot="1">
      <c r="F173" s="391" t="s">
        <v>304</v>
      </c>
      <c r="G173" s="397">
        <v>12100</v>
      </c>
      <c r="H173" s="398">
        <v>21500</v>
      </c>
      <c r="I173" s="399">
        <v>21500</v>
      </c>
      <c r="J173" s="230" t="s">
        <v>400</v>
      </c>
    </row>
    <row r="175" spans="2:10" ht="14.65" thickBot="1">
      <c r="B175" s="394" t="str">
        <f>IF(usage_detaillé=B176,"↓↓↓","")</f>
        <v/>
      </c>
      <c r="C175" s="394" t="str">
        <f>IF(usage_detaillé=B176,"↓↓↓","")</f>
        <v/>
      </c>
      <c r="G175" s="6" t="s">
        <v>300</v>
      </c>
      <c r="H175" s="6" t="s">
        <v>305</v>
      </c>
      <c r="I175" s="6" t="s">
        <v>294</v>
      </c>
    </row>
    <row r="176" spans="2:10" ht="14.65" thickBot="1">
      <c r="B176" s="26" t="str">
        <f>B24</f>
        <v>Industries_ou_artisanats - 3x8h</v>
      </c>
      <c r="C176" s="228">
        <f>HLOOKUP("ICI",G179:J180,2,FALSE)</f>
        <v>3200</v>
      </c>
      <c r="F176" s="38" t="s">
        <v>296</v>
      </c>
      <c r="G176" s="249">
        <f>IF(categorie=$G$31,1,0)</f>
        <v>1</v>
      </c>
      <c r="H176" s="250">
        <f>IF(categorie=$G$31,1,0)</f>
        <v>1</v>
      </c>
      <c r="I176" s="251">
        <f>IF(categorie=$H$31,1,0)</f>
        <v>0</v>
      </c>
    </row>
    <row r="177" spans="2:9">
      <c r="B177" s="220" t="s">
        <v>302</v>
      </c>
      <c r="C177" s="231" t="str">
        <f>climatisé</f>
        <v>NON</v>
      </c>
      <c r="F177" s="38" t="s">
        <v>303</v>
      </c>
      <c r="G177" s="240">
        <f>IF(climatisé="OUI",0,1)</f>
        <v>1</v>
      </c>
      <c r="H177" s="241">
        <f>IF(climatisé="OUI",1,0)</f>
        <v>0</v>
      </c>
      <c r="I177" s="242">
        <f>IF(climatisé="OUI",1,0)</f>
        <v>0</v>
      </c>
    </row>
    <row r="178" spans="2:9" ht="14.65" thickBot="1">
      <c r="B178" s="220" t="s">
        <v>298</v>
      </c>
      <c r="C178" s="231" t="str">
        <f>zoneclim</f>
        <v>H1a</v>
      </c>
      <c r="F178" s="38" t="s">
        <v>297</v>
      </c>
      <c r="G178" s="243">
        <f>IF(OR(zoneclim="H2d",zoneclim="H3"),0,1)</f>
        <v>1</v>
      </c>
      <c r="H178" s="244">
        <f>IF(OR(zoneclim="H2d",zoneclim="H3"),1,0)</f>
        <v>0</v>
      </c>
      <c r="I178" s="245">
        <v>1</v>
      </c>
    </row>
    <row r="179" spans="2:9" ht="14.65" thickBot="1">
      <c r="G179" s="237" t="str">
        <f>IF(AND(G176,OR(G177,G178)),"ICI",FALSE)</f>
        <v>ICI</v>
      </c>
      <c r="H179" s="238" t="b">
        <f>IF(H176*H177*H178,"ICI",FALSE)</f>
        <v>0</v>
      </c>
      <c r="I179" s="239" t="b">
        <f>IF(I176*I177*I178,"ICI",FALSE)</f>
        <v>0</v>
      </c>
    </row>
    <row r="180" spans="2:9" ht="14.65" thickBot="1">
      <c r="F180" s="391" t="s">
        <v>304</v>
      </c>
      <c r="G180" s="392">
        <v>3200</v>
      </c>
      <c r="H180" s="229">
        <v>8000</v>
      </c>
      <c r="I180" s="230">
        <v>8000</v>
      </c>
    </row>
    <row r="182" spans="2:9" ht="14.65" thickBot="1">
      <c r="B182" s="394" t="str">
        <f>IF(usage_detaillé=B183,"↓↓↓","")</f>
        <v/>
      </c>
      <c r="C182" s="394" t="str">
        <f>IF(usage_detaillé=B183,"↓↓↓","")</f>
        <v/>
      </c>
      <c r="G182" s="6" t="s">
        <v>300</v>
      </c>
      <c r="H182" s="6" t="s">
        <v>305</v>
      </c>
      <c r="I182" s="6" t="s">
        <v>294</v>
      </c>
    </row>
    <row r="183" spans="2:9" ht="14.65" thickBot="1">
      <c r="B183" s="26" t="str">
        <f>B25</f>
        <v>Industries_ou_artisanats - 8h à 18h</v>
      </c>
      <c r="C183" s="228">
        <f>HLOOKUP("ICI",G186:J187,2,FALSE)</f>
        <v>900</v>
      </c>
      <c r="F183" s="38" t="s">
        <v>296</v>
      </c>
      <c r="G183" s="249">
        <f>IF(categorie=$G$31,1,0)</f>
        <v>1</v>
      </c>
      <c r="H183" s="250">
        <f>IF(categorie=$G$31,1,0)</f>
        <v>1</v>
      </c>
      <c r="I183" s="251">
        <f>IF(categorie=$H$31,1,0)</f>
        <v>0</v>
      </c>
    </row>
    <row r="184" spans="2:9">
      <c r="B184" s="220" t="s">
        <v>302</v>
      </c>
      <c r="C184" s="231" t="str">
        <f>climatisé</f>
        <v>NON</v>
      </c>
      <c r="F184" s="38" t="s">
        <v>303</v>
      </c>
      <c r="G184" s="240">
        <f>IF(climatisé="OUI",0,1)</f>
        <v>1</v>
      </c>
      <c r="H184" s="241">
        <f>IF(climatisé="OUI",1,0)</f>
        <v>0</v>
      </c>
      <c r="I184" s="242">
        <f>IF(climatisé="OUI",1,0)</f>
        <v>0</v>
      </c>
    </row>
    <row r="185" spans="2:9" ht="14.65" thickBot="1">
      <c r="B185" s="220" t="s">
        <v>298</v>
      </c>
      <c r="C185" s="231" t="str">
        <f>zoneclim</f>
        <v>H1a</v>
      </c>
      <c r="F185" s="38" t="s">
        <v>297</v>
      </c>
      <c r="G185" s="243">
        <f>IF(OR(zoneclim="H2d",zoneclim="H3"),0,1)</f>
        <v>1</v>
      </c>
      <c r="H185" s="244">
        <f>IF(OR(zoneclim="H2d",zoneclim="H3"),1,0)</f>
        <v>0</v>
      </c>
      <c r="I185" s="245">
        <v>1</v>
      </c>
    </row>
    <row r="186" spans="2:9" ht="14.65" thickBot="1">
      <c r="G186" s="237" t="str">
        <f>IF(AND(G183,OR(G184,G185)),"ICI",FALSE)</f>
        <v>ICI</v>
      </c>
      <c r="H186" s="238" t="b">
        <f>IF(H183*H184*H185,"ICI",FALSE)</f>
        <v>0</v>
      </c>
      <c r="I186" s="239" t="b">
        <f>IF(I183*I184*I185,"ICI",FALSE)</f>
        <v>0</v>
      </c>
    </row>
    <row r="187" spans="2:9" ht="14.65" thickBot="1">
      <c r="F187" s="391" t="s">
        <v>304</v>
      </c>
      <c r="G187" s="392">
        <v>900</v>
      </c>
      <c r="H187" s="229">
        <v>2200</v>
      </c>
      <c r="I187" s="230">
        <v>2200</v>
      </c>
    </row>
    <row r="189" spans="2:9" ht="14.65" thickBot="1">
      <c r="B189" s="394" t="str">
        <f>IF(usage=B190,"↓↓↓","")</f>
        <v/>
      </c>
      <c r="C189" s="394" t="str">
        <f>IF(usage=B190,"↓↓↓","")</f>
        <v/>
      </c>
      <c r="G189" s="6" t="s">
        <v>300</v>
      </c>
      <c r="H189" s="6" t="s">
        <v>305</v>
      </c>
      <c r="I189" s="6" t="s">
        <v>294</v>
      </c>
    </row>
    <row r="190" spans="2:9" ht="14.65" thickBot="1">
      <c r="B190" s="26" t="str">
        <f>B26</f>
        <v>Etablissements_sportifs_municipaux_ou_scolaires</v>
      </c>
      <c r="C190" s="400">
        <f>HLOOKUP("ICI",G193:J194,2,FALSE)</f>
        <v>2000</v>
      </c>
      <c r="F190" s="38" t="s">
        <v>296</v>
      </c>
      <c r="G190" s="249">
        <f>IF(categorie=$G$31,1,0)</f>
        <v>1</v>
      </c>
      <c r="H190" s="250">
        <f>IF(categorie=$G$31,1,0)</f>
        <v>1</v>
      </c>
      <c r="I190" s="251">
        <f>IF(categorie=$H$31,1,0)</f>
        <v>0</v>
      </c>
    </row>
    <row r="191" spans="2:9">
      <c r="B191" s="220" t="s">
        <v>302</v>
      </c>
      <c r="C191" s="231" t="str">
        <f>climatisé</f>
        <v>NON</v>
      </c>
      <c r="F191" s="38" t="s">
        <v>303</v>
      </c>
      <c r="G191" s="240">
        <f>IF(climatisé="OUI",0,1)</f>
        <v>1</v>
      </c>
      <c r="H191" s="241">
        <f>IF(climatisé="OUI",1,0)</f>
        <v>0</v>
      </c>
      <c r="I191" s="242">
        <f>IF(climatisé="OUI",1,0)</f>
        <v>0</v>
      </c>
    </row>
    <row r="192" spans="2:9" ht="14.65" thickBot="1">
      <c r="B192" s="220" t="s">
        <v>298</v>
      </c>
      <c r="C192" s="231" t="str">
        <f>zoneclim</f>
        <v>H1a</v>
      </c>
      <c r="F192" s="38" t="s">
        <v>297</v>
      </c>
      <c r="G192" s="243">
        <f>IF(OR(zoneclim="H2d",zoneclim="H3"),0,1)</f>
        <v>1</v>
      </c>
      <c r="H192" s="244">
        <f>IF(OR(zoneclim="H2d",zoneclim="H3"),1,0)</f>
        <v>0</v>
      </c>
      <c r="I192" s="245">
        <v>1</v>
      </c>
    </row>
    <row r="193" spans="2:10" ht="14.65" thickBot="1">
      <c r="G193" s="237" t="str">
        <f>IF(AND(G190,OR(G191,G192)),"ICI",FALSE)</f>
        <v>ICI</v>
      </c>
      <c r="H193" s="238" t="b">
        <f>IF(H190*H191*H192,"ICI",FALSE)</f>
        <v>0</v>
      </c>
      <c r="I193" s="239" t="b">
        <f>IF(I190*I191*I192,"ICI",FALSE)</f>
        <v>0</v>
      </c>
    </row>
    <row r="194" spans="2:10" ht="14.65" thickBot="1">
      <c r="F194" s="391" t="s">
        <v>304</v>
      </c>
      <c r="G194" s="397">
        <v>2000</v>
      </c>
      <c r="H194" s="398">
        <v>4600</v>
      </c>
      <c r="I194" s="399">
        <v>5000</v>
      </c>
    </row>
    <row r="196" spans="2:10" ht="14.65" thickBot="1">
      <c r="B196" s="394" t="str">
        <f>IF(usage_detaillé=B197,"↓↓↓","")</f>
        <v/>
      </c>
      <c r="C196" s="394" t="str">
        <f>IF(usage_detaillé=B197,"↓↓↓","")</f>
        <v/>
      </c>
      <c r="G196" s="6" t="s">
        <v>300</v>
      </c>
      <c r="H196" s="6" t="s">
        <v>305</v>
      </c>
      <c r="I196" s="6" t="s">
        <v>294</v>
      </c>
      <c r="J196" s="6" t="s">
        <v>194</v>
      </c>
    </row>
    <row r="197" spans="2:10" ht="14.65" thickBot="1">
      <c r="B197" s="26" t="str">
        <f>B27</f>
        <v>Restaurants_scolaires - 1 repas par jour, 5 jours sur 7</v>
      </c>
      <c r="C197" s="228">
        <f>HLOOKUP("ICI",G200:J201,2,FALSE)</f>
        <v>40</v>
      </c>
      <c r="F197" s="38" t="s">
        <v>296</v>
      </c>
      <c r="G197" s="249">
        <f>IF(categorie=$G$31,1,0)</f>
        <v>1</v>
      </c>
      <c r="H197" s="250">
        <f>IF(categorie=$G$31,1,0)</f>
        <v>1</v>
      </c>
      <c r="I197" s="251">
        <f>IF(categorie=$H$31,1,0)</f>
        <v>0</v>
      </c>
      <c r="J197" s="251">
        <f>IF(categorie="Catégorie 3",1,0)</f>
        <v>0</v>
      </c>
    </row>
    <row r="198" spans="2:10">
      <c r="B198" s="220" t="s">
        <v>302</v>
      </c>
      <c r="C198" s="231" t="str">
        <f>climatisé</f>
        <v>NON</v>
      </c>
      <c r="F198" s="38" t="s">
        <v>303</v>
      </c>
      <c r="G198" s="240">
        <f>IF(climatisé="OUI",0,1)</f>
        <v>1</v>
      </c>
      <c r="H198" s="241">
        <f>IF(climatisé="OUI",1,0)</f>
        <v>0</v>
      </c>
      <c r="I198" s="242">
        <f>IF(climatisé="OUI",1,0)</f>
        <v>0</v>
      </c>
      <c r="J198" s="242">
        <v>1</v>
      </c>
    </row>
    <row r="199" spans="2:10" ht="14.65" thickBot="1">
      <c r="B199" s="220" t="s">
        <v>298</v>
      </c>
      <c r="C199" s="231" t="str">
        <f>zoneclim</f>
        <v>H1a</v>
      </c>
      <c r="F199" s="38" t="s">
        <v>297</v>
      </c>
      <c r="G199" s="243">
        <f>IF(OR(zoneclim="H2d",zoneclim="H3"),0,1)</f>
        <v>1</v>
      </c>
      <c r="H199" s="244">
        <f>IF(OR(zoneclim="H2d",zoneclim="H3"),1,0)</f>
        <v>0</v>
      </c>
      <c r="I199" s="245">
        <v>1</v>
      </c>
      <c r="J199" s="245">
        <v>1</v>
      </c>
    </row>
    <row r="200" spans="2:10" ht="14.65" thickBot="1">
      <c r="G200" s="237" t="str">
        <f>IF(AND(G197,OR(G198,G199)),"ICI",FALSE)</f>
        <v>ICI</v>
      </c>
      <c r="H200" s="238" t="b">
        <f>IF(H197*H198*H199,"ICI",FALSE)</f>
        <v>0</v>
      </c>
      <c r="I200" s="239" t="b">
        <f>IF(I197*I198*I199,"ICI",FALSE)</f>
        <v>0</v>
      </c>
      <c r="J200" s="239" t="b">
        <f>IF(J197*J198*J199,"ICI",FALSE)</f>
        <v>0</v>
      </c>
    </row>
    <row r="201" spans="2:10" ht="14.65" thickBot="1">
      <c r="F201" s="391" t="s">
        <v>304</v>
      </c>
      <c r="G201" s="392">
        <v>40</v>
      </c>
      <c r="H201" s="229">
        <v>170</v>
      </c>
      <c r="I201" s="230">
        <v>170</v>
      </c>
      <c r="J201" s="230" t="s">
        <v>400</v>
      </c>
    </row>
    <row r="203" spans="2:10" ht="14.65" thickBot="1">
      <c r="B203" s="394" t="str">
        <f>IF(usage_detaillé=B204,"↓↓↓","")</f>
        <v/>
      </c>
      <c r="C203" s="394" t="str">
        <f>IF(usage_detaillé=B204,"↓↓↓","")</f>
        <v/>
      </c>
      <c r="G203" s="6" t="s">
        <v>300</v>
      </c>
      <c r="H203" s="6" t="s">
        <v>305</v>
      </c>
      <c r="I203" s="6" t="s">
        <v>294</v>
      </c>
      <c r="J203" s="6" t="s">
        <v>194</v>
      </c>
    </row>
    <row r="204" spans="2:10" ht="14.65" thickBot="1">
      <c r="B204" s="26" t="str">
        <f>B28</f>
        <v>Restaurants_scolaires - 3 repas par jour, 5 jours sur 7</v>
      </c>
      <c r="C204" s="228">
        <f>HLOOKUP("ICI",G207:J208,2,FALSE)</f>
        <v>260</v>
      </c>
      <c r="F204" s="38" t="s">
        <v>296</v>
      </c>
      <c r="G204" s="249">
        <f>IF(categorie=$G$31,1,0)</f>
        <v>1</v>
      </c>
      <c r="H204" s="250">
        <f>IF(categorie=$G$31,1,0)</f>
        <v>1</v>
      </c>
      <c r="I204" s="251">
        <f>IF(categorie=$H$31,1,0)</f>
        <v>0</v>
      </c>
      <c r="J204" s="251">
        <f>IF(categorie="Catégorie 3",1,0)</f>
        <v>0</v>
      </c>
    </row>
    <row r="205" spans="2:10">
      <c r="B205" s="220" t="s">
        <v>302</v>
      </c>
      <c r="C205" s="231" t="str">
        <f>climatisé</f>
        <v>NON</v>
      </c>
      <c r="F205" s="38" t="s">
        <v>303</v>
      </c>
      <c r="G205" s="240">
        <f>IF(climatisé="OUI",0,1)</f>
        <v>1</v>
      </c>
      <c r="H205" s="241">
        <f>IF(climatisé="OUI",1,0)</f>
        <v>0</v>
      </c>
      <c r="I205" s="242">
        <f>IF(climatisé="OUI",1,0)</f>
        <v>0</v>
      </c>
      <c r="J205" s="242">
        <v>1</v>
      </c>
    </row>
    <row r="206" spans="2:10" ht="14.65" thickBot="1">
      <c r="B206" s="220" t="s">
        <v>298</v>
      </c>
      <c r="C206" s="231" t="str">
        <f>zoneclim</f>
        <v>H1a</v>
      </c>
      <c r="F206" s="38" t="s">
        <v>297</v>
      </c>
      <c r="G206" s="243">
        <f>IF(OR(zoneclim="H2d",zoneclim="H3"),0,1)</f>
        <v>1</v>
      </c>
      <c r="H206" s="244">
        <f>IF(OR(zoneclim="H2d",zoneclim="H3"),1,0)</f>
        <v>0</v>
      </c>
      <c r="I206" s="245">
        <v>1</v>
      </c>
      <c r="J206" s="245">
        <v>1</v>
      </c>
    </row>
    <row r="207" spans="2:10" ht="14.65" thickBot="1">
      <c r="G207" s="237" t="str">
        <f>IF(AND(G204,OR(G205,G206)),"ICI",FALSE)</f>
        <v>ICI</v>
      </c>
      <c r="H207" s="238" t="b">
        <f>IF(H204*H205*H206,"ICI",FALSE)</f>
        <v>0</v>
      </c>
      <c r="I207" s="239" t="b">
        <f>IF(I204*I205*I206,"ICI",FALSE)</f>
        <v>0</v>
      </c>
      <c r="J207" s="239" t="b">
        <f>IF(J204*J205*J206,"ICI",FALSE)</f>
        <v>0</v>
      </c>
    </row>
    <row r="208" spans="2:10" ht="14.65" thickBot="1">
      <c r="F208" s="391" t="s">
        <v>304</v>
      </c>
      <c r="G208" s="392">
        <v>260</v>
      </c>
      <c r="H208" s="229">
        <v>650</v>
      </c>
      <c r="I208" s="230">
        <v>650</v>
      </c>
      <c r="J208" s="230" t="s">
        <v>400</v>
      </c>
    </row>
    <row r="210" spans="2:9" ht="14.65" thickBot="1">
      <c r="B210" s="394" t="str">
        <f>IF(usage=B211,"↓↓↓","")</f>
        <v/>
      </c>
      <c r="C210" s="394" t="str">
        <f>IF(usage=B211,"↓↓↓","")</f>
        <v/>
      </c>
      <c r="G210" s="6" t="s">
        <v>300</v>
      </c>
      <c r="H210" s="6" t="s">
        <v>305</v>
      </c>
      <c r="I210" s="6" t="s">
        <v>294</v>
      </c>
    </row>
    <row r="211" spans="2:9" ht="14.65" thickBot="1">
      <c r="B211" s="26" t="str">
        <f>B29</f>
        <v>Etablissements_sportifs_privés</v>
      </c>
      <c r="C211" s="400">
        <f>HLOOKUP("ICI",G214:J215,2,FALSE)</f>
        <v>2000</v>
      </c>
      <c r="F211" s="38" t="s">
        <v>296</v>
      </c>
      <c r="G211" s="249">
        <f>IF(categorie=$G$31,1,0)</f>
        <v>1</v>
      </c>
      <c r="H211" s="250">
        <f>IF(categorie=$G$31,1,0)</f>
        <v>1</v>
      </c>
      <c r="I211" s="251">
        <f>IF(categorie=$H$31,1,0)</f>
        <v>0</v>
      </c>
    </row>
    <row r="212" spans="2:9">
      <c r="B212" s="220" t="s">
        <v>302</v>
      </c>
      <c r="C212" s="231" t="str">
        <f>climatisé</f>
        <v>NON</v>
      </c>
      <c r="F212" s="38" t="s">
        <v>303</v>
      </c>
      <c r="G212" s="240">
        <f>IF(climatisé="OUI",0,1)</f>
        <v>1</v>
      </c>
      <c r="H212" s="241">
        <f>IF(climatisé="OUI",1,0)</f>
        <v>0</v>
      </c>
      <c r="I212" s="242">
        <f>IF(climatisé="OUI",1,0)</f>
        <v>0</v>
      </c>
    </row>
    <row r="213" spans="2:9" ht="14.65" thickBot="1">
      <c r="B213" s="220" t="s">
        <v>298</v>
      </c>
      <c r="C213" s="231" t="str">
        <f>zoneclim</f>
        <v>H1a</v>
      </c>
      <c r="F213" s="38" t="s">
        <v>297</v>
      </c>
      <c r="G213" s="243">
        <f>IF(OR(zoneclim="H2d",zoneclim="H3"),0,1)</f>
        <v>1</v>
      </c>
      <c r="H213" s="244">
        <f>IF(OR(zoneclim="H2d",zoneclim="H3"),1,0)</f>
        <v>0</v>
      </c>
      <c r="I213" s="245">
        <v>1</v>
      </c>
    </row>
    <row r="214" spans="2:9" ht="14.65" thickBot="1">
      <c r="G214" s="237" t="str">
        <f>IF(AND(G211,OR(G212,G213)),"ICI",FALSE)</f>
        <v>ICI</v>
      </c>
      <c r="H214" s="238" t="b">
        <f>IF(H211*H212*H213,"ICI",FALSE)</f>
        <v>0</v>
      </c>
      <c r="I214" s="239" t="b">
        <f>IF(I211*I212*I213,"ICI",FALSE)</f>
        <v>0</v>
      </c>
    </row>
    <row r="215" spans="2:9" ht="14.65" thickBot="1">
      <c r="F215" s="391" t="s">
        <v>304</v>
      </c>
      <c r="G215" s="397">
        <v>2000</v>
      </c>
      <c r="H215" s="398">
        <v>4600</v>
      </c>
      <c r="I215" s="399">
        <v>5000</v>
      </c>
    </row>
  </sheetData>
  <conditionalFormatting sqref="B3:B29">
    <cfRule type="cellIs" dxfId="117" priority="90" operator="equal">
      <formula>usage_detaillé</formula>
    </cfRule>
  </conditionalFormatting>
  <conditionalFormatting sqref="B6">
    <cfRule type="cellIs" dxfId="116" priority="1" stopIfTrue="1" operator="equal">
      <formula>usage</formula>
    </cfRule>
  </conditionalFormatting>
  <conditionalFormatting sqref="E38">
    <cfRule type="cellIs" dxfId="114" priority="83" operator="equal">
      <formula>zoneclim</formula>
    </cfRule>
  </conditionalFormatting>
  <conditionalFormatting sqref="E40">
    <cfRule type="cellIs" dxfId="113" priority="82" operator="equal">
      <formula>zoneclim</formula>
    </cfRule>
  </conditionalFormatting>
  <conditionalFormatting sqref="G31:H31">
    <cfRule type="cellIs" dxfId="112" priority="72" operator="equal">
      <formula>categorie</formula>
    </cfRule>
  </conditionalFormatting>
  <conditionalFormatting sqref="G37:I37 F38:F40">
    <cfRule type="cellIs" dxfId="111" priority="80" operator="equal">
      <formula>"ICI"</formula>
    </cfRule>
  </conditionalFormatting>
  <conditionalFormatting sqref="G53:I53">
    <cfRule type="cellIs" dxfId="110" priority="71" operator="equal">
      <formula>"ICI"</formula>
    </cfRule>
  </conditionalFormatting>
  <conditionalFormatting sqref="G144:I144">
    <cfRule type="cellIs" dxfId="109" priority="33" operator="equal">
      <formula>"ICI"</formula>
    </cfRule>
  </conditionalFormatting>
  <conditionalFormatting sqref="G151:I151">
    <cfRule type="cellIs" dxfId="108" priority="30" operator="equal">
      <formula>"ICI"</formula>
    </cfRule>
  </conditionalFormatting>
  <conditionalFormatting sqref="G158:I158">
    <cfRule type="cellIs" dxfId="107" priority="27" operator="equal">
      <formula>"ICI"</formula>
    </cfRule>
  </conditionalFormatting>
  <conditionalFormatting sqref="G179:I179">
    <cfRule type="cellIs" dxfId="106" priority="18" operator="equal">
      <formula>"ICI"</formula>
    </cfRule>
  </conditionalFormatting>
  <conditionalFormatting sqref="G186:I186">
    <cfRule type="cellIs" dxfId="105" priority="15" operator="equal">
      <formula>"ICI"</formula>
    </cfRule>
  </conditionalFormatting>
  <conditionalFormatting sqref="G193:I193">
    <cfRule type="cellIs" dxfId="104" priority="12" operator="equal">
      <formula>"ICI"</formula>
    </cfRule>
  </conditionalFormatting>
  <conditionalFormatting sqref="G214:I214">
    <cfRule type="cellIs" dxfId="103" priority="3" operator="equal">
      <formula>"ICI"</formula>
    </cfRule>
  </conditionalFormatting>
  <conditionalFormatting sqref="G46:J46">
    <cfRule type="cellIs" dxfId="102" priority="75" operator="equal">
      <formula>"ICI"</formula>
    </cfRule>
  </conditionalFormatting>
  <conditionalFormatting sqref="G60:J60">
    <cfRule type="cellIs" dxfId="101" priority="68" operator="equal">
      <formula>"ICI"</formula>
    </cfRule>
  </conditionalFormatting>
  <conditionalFormatting sqref="G67:J67">
    <cfRule type="cellIs" dxfId="100" priority="65" operator="equal">
      <formula>"ICI"</formula>
    </cfRule>
  </conditionalFormatting>
  <conditionalFormatting sqref="G74:J74">
    <cfRule type="cellIs" dxfId="99" priority="62" operator="equal">
      <formula>"ICI"</formula>
    </cfRule>
  </conditionalFormatting>
  <conditionalFormatting sqref="G81:J81">
    <cfRule type="cellIs" dxfId="98" priority="59" operator="equal">
      <formula>"ICI"</formula>
    </cfRule>
  </conditionalFormatting>
  <conditionalFormatting sqref="G88:J88">
    <cfRule type="cellIs" dxfId="97" priority="56" operator="equal">
      <formula>"ICI"</formula>
    </cfRule>
  </conditionalFormatting>
  <conditionalFormatting sqref="G95:J95">
    <cfRule type="cellIs" dxfId="96" priority="53" operator="equal">
      <formula>"ICI"</formula>
    </cfRule>
  </conditionalFormatting>
  <conditionalFormatting sqref="G102:J102">
    <cfRule type="cellIs" dxfId="95" priority="50" operator="equal">
      <formula>"ICI"</formula>
    </cfRule>
  </conditionalFormatting>
  <conditionalFormatting sqref="G109:J109">
    <cfRule type="cellIs" dxfId="94" priority="47" operator="equal">
      <formula>"ICI"</formula>
    </cfRule>
  </conditionalFormatting>
  <conditionalFormatting sqref="G116:J116">
    <cfRule type="cellIs" dxfId="93" priority="44" operator="equal">
      <formula>"ICI"</formula>
    </cfRule>
  </conditionalFormatting>
  <conditionalFormatting sqref="G123:J123">
    <cfRule type="cellIs" dxfId="92" priority="41" operator="equal">
      <formula>"ICI"</formula>
    </cfRule>
  </conditionalFormatting>
  <conditionalFormatting sqref="G130:J130">
    <cfRule type="cellIs" dxfId="91" priority="38" operator="equal">
      <formula>"ICI"</formula>
    </cfRule>
  </conditionalFormatting>
  <conditionalFormatting sqref="G137:J137">
    <cfRule type="cellIs" dxfId="90" priority="35" operator="equal">
      <formula>"ICI"</formula>
    </cfRule>
  </conditionalFormatting>
  <conditionalFormatting sqref="G165:J165">
    <cfRule type="cellIs" dxfId="89" priority="23" operator="equal">
      <formula>"ICI"</formula>
    </cfRule>
  </conditionalFormatting>
  <conditionalFormatting sqref="G172:J172">
    <cfRule type="cellIs" dxfId="88" priority="20" operator="equal">
      <formula>"ICI"</formula>
    </cfRule>
  </conditionalFormatting>
  <conditionalFormatting sqref="G200:J200">
    <cfRule type="cellIs" dxfId="87" priority="8" operator="equal">
      <formula>"ICI"</formula>
    </cfRule>
  </conditionalFormatting>
  <conditionalFormatting sqref="G207:J207">
    <cfRule type="cellIs" dxfId="86" priority="5" operator="equal">
      <formula>"ICI"</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ellIs" priority="73" operator="equal" id="{C48ED8AB-BE7D-4480-8B5C-314BA98CA0DB}">
            <xm:f>Input_resultats!$E$4</xm:f>
            <x14:dxf>
              <fill>
                <patternFill>
                  <bgColor theme="5" tint="0.79998168889431442"/>
                </patternFill>
              </fill>
            </x14:dxf>
          </x14:cfRule>
          <xm:sqref>E3:E29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7CE0-3617-489C-9992-B141D119BF83}">
  <dimension ref="B2:CG117"/>
  <sheetViews>
    <sheetView topLeftCell="A81" zoomScale="70" zoomScaleNormal="70" workbookViewId="0">
      <selection activeCell="AD99" sqref="AD99"/>
    </sheetView>
  </sheetViews>
  <sheetFormatPr baseColWidth="10" defaultColWidth="10.9296875" defaultRowHeight="14.25"/>
  <cols>
    <col min="1" max="1" width="10.9296875" style="1"/>
    <col min="2" max="2" width="61.46484375" style="1" customWidth="1"/>
    <col min="3" max="3" width="10.9296875" style="1"/>
    <col min="4" max="4" width="57.9296875" style="1" customWidth="1"/>
    <col min="5" max="5" width="14.53125" style="1" customWidth="1"/>
    <col min="6" max="6" width="13.46484375" style="1" customWidth="1"/>
    <col min="7" max="9" width="10.9296875" style="1"/>
    <col min="10" max="10" width="21.9296875" style="1" customWidth="1"/>
    <col min="11" max="11" width="48.33203125" style="1" customWidth="1"/>
    <col min="12" max="15" width="10.9296875" style="1"/>
    <col min="16" max="16" width="18.19921875" style="1" customWidth="1"/>
    <col min="17" max="17" width="17.19921875" style="1" customWidth="1"/>
    <col min="18" max="16384" width="10.9296875" style="1"/>
  </cols>
  <sheetData>
    <row r="2" spans="2:14" ht="17.649999999999999" thickBot="1">
      <c r="B2" s="8" t="s">
        <v>8</v>
      </c>
    </row>
    <row r="3" spans="2:14" ht="15.4" thickBot="1">
      <c r="B3" s="9"/>
      <c r="E3" s="26" t="s">
        <v>243</v>
      </c>
      <c r="F3" s="26" t="s">
        <v>245</v>
      </c>
      <c r="J3" s="22" t="s">
        <v>210</v>
      </c>
      <c r="K3" s="22" t="s">
        <v>244</v>
      </c>
      <c r="L3" s="129" t="s">
        <v>247</v>
      </c>
    </row>
    <row r="4" spans="2:14" ht="20.65" thickBot="1">
      <c r="B4" s="193" t="s">
        <v>9</v>
      </c>
      <c r="D4" s="22" t="s">
        <v>397</v>
      </c>
      <c r="E4" s="130">
        <f>VLOOKUP(D5,D6:E33,2,FALSE)</f>
        <v>70</v>
      </c>
      <c r="F4" s="130">
        <f>VLOOKUP(D5,D6:F33,3,FALSE)</f>
        <v>85</v>
      </c>
      <c r="J4" s="40" t="str">
        <f>IF(AND(rcu="OUI",rcu_classe="OUI",OR(depotpc="2022 à 2024",depotpc="2025 à 2027")),L5,IF(OR(depotpc="2028 à 2030",depotpc="à partir de 2031"),N5,depotpc))</f>
      </c>
      <c r="K4" s="303" t="str">
        <f>IF(rcu="OUI",D5&amp;" - RCU",D5&amp;" - autres cas")</f>
        <v>Logement_collectif - autres cas</v>
      </c>
      <c r="L4" s="130">
        <f ca="1">INDEX(L6:N61,MATCH(K4,K6:K61,0),MATCH(J4,L5:N5,0))</f>
        <v>260</v>
      </c>
    </row>
    <row r="5" spans="2:14">
      <c r="B5" s="194"/>
      <c r="D5" s="40" t="str">
        <f>IF(OR(usage = Enumération!C7,usage = Enumération!C10, usage = Enumération!C12, usage = Enumération!C16,usage = Enumération!C18,usage = Enumération!C20),usage&amp;" - "&amp;usage_secondaire,usage)</f>
        <v>Logement_collectif</v>
      </c>
      <c r="E5" s="292" t="s">
        <v>243</v>
      </c>
      <c r="F5" s="292" t="s">
        <v>245</v>
      </c>
      <c r="I5" s="356" t="s">
        <v>242</v>
      </c>
      <c r="K5" s="3"/>
      <c r="L5" s="24" t="str">
        <f>Calcul_matiere!E4</f>
        <v>2022 à 2024</v>
      </c>
      <c r="M5" s="24" t="str">
        <f>Calcul_matiere!F4</f>
        <v>2025 à 2027</v>
      </c>
      <c r="N5" s="120" t="s">
        <v>246</v>
      </c>
    </row>
    <row r="6" spans="2:14" ht="20.25">
      <c r="B6" s="195" t="s">
        <v>483</v>
      </c>
      <c r="D6" s="295" t="str">
        <f>Enumération!C4</f>
        <v>Maisons_individuelles_ou_accolées</v>
      </c>
      <c r="E6" s="24">
        <v>55</v>
      </c>
      <c r="F6" s="24">
        <v>75</v>
      </c>
      <c r="G6" s="29">
        <v>0</v>
      </c>
      <c r="H6" s="29">
        <v>0</v>
      </c>
      <c r="I6" s="29">
        <v>0</v>
      </c>
      <c r="J6" s="300">
        <v>6</v>
      </c>
      <c r="K6" s="120" t="str" cm="1">
        <f t="array" aca="1" ref="K6" ca="1">INDIRECT(ADDRESS(J6,4))&amp;" - RCU"</f>
        <v>Maisons_individuelles_ou_accolées - RCU</v>
      </c>
      <c r="L6" s="24">
        <v>200</v>
      </c>
      <c r="M6" s="24">
        <v>200</v>
      </c>
      <c r="N6" s="24">
        <v>160</v>
      </c>
    </row>
    <row r="7" spans="2:14">
      <c r="B7" s="194"/>
      <c r="D7" s="295" t="str">
        <f>Enumération!C5</f>
        <v>Logement_collectif</v>
      </c>
      <c r="E7" s="24">
        <v>70</v>
      </c>
      <c r="F7" s="24">
        <v>85</v>
      </c>
      <c r="G7" s="29">
        <v>3</v>
      </c>
      <c r="H7" s="29">
        <v>2</v>
      </c>
      <c r="I7" s="29">
        <v>2</v>
      </c>
      <c r="J7" s="300">
        <f>J6+0</f>
        <v>6</v>
      </c>
      <c r="K7" s="120" t="str" cm="1">
        <f t="array" aca="1" ref="K7" ca="1">INDIRECT(ADDRESS(J7,4))&amp;" - autres cas"</f>
        <v>Maisons_individuelles_ou_accolées - autres cas</v>
      </c>
      <c r="L7" s="24">
        <v>160</v>
      </c>
      <c r="M7" s="24">
        <v>160</v>
      </c>
      <c r="N7" s="24">
        <v>160</v>
      </c>
    </row>
    <row r="8" spans="2:14" ht="20.25">
      <c r="B8" s="195" t="s">
        <v>484</v>
      </c>
      <c r="D8" s="295" t="str">
        <f>Enumération!C6</f>
        <v>Bureaux</v>
      </c>
      <c r="E8" s="24">
        <v>75</v>
      </c>
      <c r="F8" s="24">
        <v>85</v>
      </c>
      <c r="G8" s="29">
        <v>6</v>
      </c>
      <c r="H8" s="29">
        <v>4</v>
      </c>
      <c r="I8" s="29">
        <v>4</v>
      </c>
      <c r="J8" s="300">
        <f>J7+1</f>
        <v>7</v>
      </c>
      <c r="K8" s="120" t="str" cm="1">
        <f t="array" aca="1" ref="K8" ca="1">INDIRECT(ADDRESS(J8,4))&amp;" - RCU"</f>
        <v>Logement_collectif - RCU</v>
      </c>
      <c r="L8" s="24">
        <v>560</v>
      </c>
      <c r="M8" s="24">
        <v>320</v>
      </c>
      <c r="N8" s="24">
        <v>260</v>
      </c>
    </row>
    <row r="9" spans="2:14">
      <c r="D9" s="311" t="str">
        <f>_xlfn.CONCAT(Enumération!C$7," - ",Enumération!F4)</f>
        <v xml:space="preserve">Enseignement_primaire_ou_secondaire - Enseignement primaire </v>
      </c>
      <c r="E9" s="278">
        <v>65</v>
      </c>
      <c r="F9" s="278">
        <v>72</v>
      </c>
      <c r="G9" s="312">
        <v>9</v>
      </c>
      <c r="H9" s="312">
        <v>6</v>
      </c>
      <c r="I9" s="312">
        <v>7</v>
      </c>
      <c r="J9" s="300">
        <f>J8+0</f>
        <v>7</v>
      </c>
      <c r="K9" s="120" t="str" cm="1">
        <f t="array" aca="1" ref="K9" ca="1">INDIRECT(ADDRESS(J9,4))&amp;" - autres cas"</f>
        <v>Logement_collectif - autres cas</v>
      </c>
      <c r="L9" s="24">
        <v>560</v>
      </c>
      <c r="M9" s="24">
        <v>260</v>
      </c>
      <c r="N9" s="24">
        <v>260</v>
      </c>
    </row>
    <row r="10" spans="2:14" ht="20.25">
      <c r="B10" s="195" t="s">
        <v>485</v>
      </c>
      <c r="D10" s="311" t="str">
        <f>_xlfn.CONCAT(Enumération!C$7," - ",Enumération!F5)</f>
        <v>Enseignement_primaire_ou_secondaire - Enseignement secondaire</v>
      </c>
      <c r="E10" s="278">
        <v>63</v>
      </c>
      <c r="F10" s="278">
        <v>72</v>
      </c>
      <c r="G10" s="312">
        <v>9</v>
      </c>
      <c r="H10" s="312">
        <v>8</v>
      </c>
      <c r="I10" s="312">
        <v>7</v>
      </c>
      <c r="J10" s="300">
        <f>J9+1</f>
        <v>8</v>
      </c>
      <c r="K10" s="120" t="str" cm="1">
        <f t="array" aca="1" ref="K10" ca="1">INDIRECT(ADDRESS(J10,4))&amp;" - RCU"</f>
        <v>Bureaux - RCU</v>
      </c>
      <c r="L10" s="24">
        <v>280</v>
      </c>
      <c r="M10" s="24">
        <v>200</v>
      </c>
      <c r="N10" s="24">
        <v>200</v>
      </c>
    </row>
    <row r="11" spans="2:14">
      <c r="D11" s="296" t="str">
        <f>Enumération!C8</f>
        <v>Médiathèques_et_bibliothèques</v>
      </c>
      <c r="E11" s="24">
        <v>93</v>
      </c>
      <c r="F11" s="24">
        <v>105</v>
      </c>
      <c r="G11" s="29">
        <v>12</v>
      </c>
      <c r="H11" s="29">
        <v>10</v>
      </c>
      <c r="I11" s="29">
        <v>9</v>
      </c>
      <c r="J11" s="300">
        <f>J10+0</f>
        <v>8</v>
      </c>
      <c r="K11" s="120" t="str" cm="1">
        <f t="array" aca="1" ref="K11" ca="1">INDIRECT(ADDRESS(J11,4))&amp;" - autres cas"</f>
        <v>Bureaux - autres cas</v>
      </c>
      <c r="L11" s="24">
        <v>200</v>
      </c>
      <c r="M11" s="24">
        <v>200</v>
      </c>
      <c r="N11" s="24">
        <v>200</v>
      </c>
    </row>
    <row r="12" spans="2:14" ht="30.4">
      <c r="B12" s="197" t="s">
        <v>10</v>
      </c>
      <c r="D12" s="297" t="str">
        <f>Enumération!C9</f>
        <v>Bâtiments_universitaires_d'enseignement_et_de_recherche_et_bâtiments_d’enseignements_atypiques</v>
      </c>
      <c r="E12" s="24">
        <v>102</v>
      </c>
      <c r="F12" s="24">
        <v>112</v>
      </c>
      <c r="G12" s="29">
        <v>15</v>
      </c>
      <c r="H12" s="29">
        <v>12</v>
      </c>
      <c r="I12" s="29">
        <v>12</v>
      </c>
      <c r="J12" s="300">
        <f>J11+1</f>
        <v>9</v>
      </c>
      <c r="K12" s="280" t="str" cm="1">
        <f t="array" aca="1" ref="K12" ca="1">INDIRECT(ADDRESS(J12,4))&amp;" - RCU"</f>
        <v>Enseignement_primaire_ou_secondaire - Enseignement primaire  - RCU</v>
      </c>
      <c r="L12" s="24">
        <v>240</v>
      </c>
      <c r="M12" s="24">
        <v>200</v>
      </c>
      <c r="N12" s="24">
        <v>140</v>
      </c>
    </row>
    <row r="13" spans="2:14">
      <c r="B13" s="197" t="s">
        <v>11</v>
      </c>
      <c r="D13" s="310" t="str">
        <f>_xlfn.CONCAT(Enumération!C$10," - ",Enumération!G4)</f>
        <v>Hôtels - 0, 1 et 2 étoiles (partie nuit)</v>
      </c>
      <c r="E13" s="278">
        <v>121</v>
      </c>
      <c r="F13" s="278">
        <v>144</v>
      </c>
      <c r="G13" s="312">
        <v>18</v>
      </c>
      <c r="H13" s="312">
        <v>14</v>
      </c>
      <c r="I13" s="312">
        <v>15</v>
      </c>
      <c r="J13" s="300">
        <f>J12+0</f>
        <v>9</v>
      </c>
      <c r="K13" s="280" t="str" cm="1">
        <f t="array" aca="1" ref="K13" ca="1">INDIRECT(ADDRESS(J13,4))&amp;" - autres cas"</f>
        <v>Enseignement_primaire_ou_secondaire - Enseignement primaire  - autres cas</v>
      </c>
      <c r="L13" s="24">
        <v>240</v>
      </c>
      <c r="M13" s="24">
        <v>140</v>
      </c>
      <c r="N13" s="24">
        <v>140</v>
      </c>
    </row>
    <row r="14" spans="2:14">
      <c r="B14" s="197" t="s">
        <v>12</v>
      </c>
      <c r="D14" s="310" t="str">
        <f>_xlfn.CONCAT(Enumération!C$10," - ",Enumération!G5)</f>
        <v>Hôtels - 3, 4 et 5 étoiles (partie nuit)</v>
      </c>
      <c r="E14" s="278">
        <v>118</v>
      </c>
      <c r="F14" s="278">
        <v>138</v>
      </c>
      <c r="G14" s="312">
        <v>21</v>
      </c>
      <c r="H14" s="312">
        <v>14</v>
      </c>
      <c r="I14" s="312">
        <v>15</v>
      </c>
      <c r="J14" s="300">
        <f>J13+1</f>
        <v>10</v>
      </c>
      <c r="K14" s="280" t="str" cm="1">
        <f t="array" aca="1" ref="K14" ca="1">INDIRECT(ADDRESS(J14,4))&amp;" - RCU"</f>
        <v>Enseignement_primaire_ou_secondaire - Enseignement secondaire - RCU</v>
      </c>
      <c r="L14" s="24">
        <v>240</v>
      </c>
      <c r="M14" s="24">
        <v>200</v>
      </c>
      <c r="N14" s="24">
        <v>140</v>
      </c>
    </row>
    <row r="15" spans="2:14">
      <c r="B15" s="197" t="s">
        <v>13</v>
      </c>
      <c r="D15" s="310" t="str">
        <f>_xlfn.CONCAT(Enumération!C$10," - ",Enumération!G6)</f>
        <v>Hôtels - 0, 1 et 2 étoiles (partie jour)</v>
      </c>
      <c r="E15" s="278">
        <v>235</v>
      </c>
      <c r="F15" s="278">
        <v>252</v>
      </c>
      <c r="G15" s="312">
        <v>24</v>
      </c>
      <c r="H15" s="312">
        <v>14</v>
      </c>
      <c r="I15" s="312">
        <v>15</v>
      </c>
      <c r="J15" s="300">
        <f>J14+0</f>
        <v>10</v>
      </c>
      <c r="K15" s="280" t="str" cm="1">
        <f t="array" aca="1" ref="K15" ca="1">INDIRECT(ADDRESS(J15,4))&amp;" - autres cas"</f>
        <v>Enseignement_primaire_ou_secondaire - Enseignement secondaire - autres cas</v>
      </c>
      <c r="L15" s="24">
        <v>240</v>
      </c>
      <c r="M15" s="24">
        <v>140</v>
      </c>
      <c r="N15" s="24">
        <v>140</v>
      </c>
    </row>
    <row r="16" spans="2:14">
      <c r="B16" s="197" t="s">
        <v>14</v>
      </c>
      <c r="D16" s="310" t="str">
        <f>_xlfn.CONCAT(Enumération!C$10," - ",Enumération!G7)</f>
        <v>Hôtels - 3, 4 et 5 étoiles (partie jour)</v>
      </c>
      <c r="E16" s="278">
        <v>234</v>
      </c>
      <c r="F16" s="278">
        <v>281</v>
      </c>
      <c r="G16" s="312">
        <v>27</v>
      </c>
      <c r="H16" s="312">
        <v>14</v>
      </c>
      <c r="I16" s="312">
        <v>15</v>
      </c>
      <c r="J16" s="300">
        <f>J15+1</f>
        <v>11</v>
      </c>
      <c r="K16" s="120" t="str" cm="1">
        <f t="array" aca="1" ref="K16" ca="1">INDIRECT(ADDRESS(J16,4))&amp;" - RCU"</f>
        <v>Médiathèques_et_bibliothèques - RCU</v>
      </c>
      <c r="L16" s="24">
        <v>360</v>
      </c>
      <c r="M16" s="24">
        <v>285</v>
      </c>
      <c r="N16" s="24">
        <v>285</v>
      </c>
    </row>
    <row r="17" spans="2:14">
      <c r="B17" s="197" t="s">
        <v>15</v>
      </c>
      <c r="D17" s="297" t="str">
        <f>Enumération!C11</f>
        <v>Etablissements_d'accueil_de_la_petite_enfance </v>
      </c>
      <c r="E17" s="24">
        <v>150</v>
      </c>
      <c r="F17" s="24">
        <v>182</v>
      </c>
      <c r="G17" s="29">
        <v>30</v>
      </c>
      <c r="H17" s="29">
        <v>16</v>
      </c>
      <c r="I17" s="29">
        <v>18</v>
      </c>
      <c r="J17" s="300">
        <f>J16+0</f>
        <v>11</v>
      </c>
      <c r="K17" s="120" t="str" cm="1">
        <f t="array" aca="1" ref="K17" ca="1">INDIRECT(ADDRESS(J17,4))&amp;" - autres cas"</f>
        <v>Médiathèques_et_bibliothèques - autres cas</v>
      </c>
      <c r="L17" s="24" t="s">
        <v>159</v>
      </c>
      <c r="M17" s="24">
        <v>285</v>
      </c>
      <c r="N17" s="24">
        <v>285</v>
      </c>
    </row>
    <row r="18" spans="2:14">
      <c r="B18" s="197" t="s">
        <v>486</v>
      </c>
      <c r="D18" s="310" t="str">
        <f>_xlfn.CONCAT(Enumération!C$12," - ",Enumération!H4)</f>
        <v>Restaurants - en continu, 18 heures par jour, 7 jours sur 7</v>
      </c>
      <c r="E18" s="278">
        <v>282</v>
      </c>
      <c r="F18" s="278">
        <v>578</v>
      </c>
      <c r="G18" s="312">
        <v>33</v>
      </c>
      <c r="H18" s="312">
        <v>18</v>
      </c>
      <c r="I18" s="312">
        <v>21</v>
      </c>
      <c r="J18" s="300">
        <f>J17+1</f>
        <v>12</v>
      </c>
      <c r="K18" s="280" t="str" cm="1">
        <f t="array" aca="1" ref="K18" ca="1">INDIRECT(ADDRESS(J18,4))&amp;" - RCU"</f>
        <v>Bâtiments_universitaires_d'enseignement_et_de_recherche_et_bâtiments_d’enseignements_atypiques - RCU</v>
      </c>
      <c r="L18" s="24">
        <v>225</v>
      </c>
      <c r="M18" s="24">
        <v>190</v>
      </c>
      <c r="N18" s="24">
        <v>190</v>
      </c>
    </row>
    <row r="19" spans="2:14">
      <c r="B19" s="195"/>
      <c r="D19" s="310" t="str">
        <f>_xlfn.CONCAT(Enumération!C$12," - ",Enumération!H5)</f>
        <v>Restaurants - 1 repas par jour, 5 jours sur 7</v>
      </c>
      <c r="E19" s="278">
        <v>132</v>
      </c>
      <c r="F19" s="278">
        <v>275</v>
      </c>
      <c r="G19" s="312">
        <v>36</v>
      </c>
      <c r="H19" s="312">
        <v>18</v>
      </c>
      <c r="I19" s="312">
        <v>21</v>
      </c>
      <c r="J19" s="300">
        <f>J18+0</f>
        <v>12</v>
      </c>
      <c r="K19" s="280" t="str" cm="1">
        <f t="array" aca="1" ref="K19" ca="1">INDIRECT(ADDRESS(J19,4))&amp;" - autres cas"</f>
        <v>Bâtiments_universitaires_d'enseignement_et_de_recherche_et_bâtiments_d’enseignements_atypiques - autres cas</v>
      </c>
      <c r="L19" s="24" t="s">
        <v>159</v>
      </c>
      <c r="M19" s="24">
        <v>190</v>
      </c>
      <c r="N19" s="24">
        <v>190</v>
      </c>
    </row>
    <row r="20" spans="2:14">
      <c r="B20" s="195"/>
      <c r="D20" s="310" t="str">
        <f>_xlfn.CONCAT(Enumération!C$12," - ",Enumération!H6)</f>
        <v>Restaurants - 2 repas par jour, 7 jours sur 7</v>
      </c>
      <c r="E20" s="278">
        <v>219</v>
      </c>
      <c r="F20" s="278">
        <v>446</v>
      </c>
      <c r="G20" s="312">
        <v>39</v>
      </c>
      <c r="H20" s="312">
        <v>18</v>
      </c>
      <c r="I20" s="312">
        <v>21</v>
      </c>
      <c r="J20" s="300">
        <f t="shared" ref="J20:J60" si="0">J19+1</f>
        <v>13</v>
      </c>
      <c r="K20" s="120" t="str" cm="1">
        <f t="array" aca="1" ref="K20" ca="1">INDIRECT(ADDRESS(J20,4))&amp;" - RCU"</f>
        <v>Hôtels - 0, 1 et 2 étoiles (partie nuit) - RCU</v>
      </c>
      <c r="L20" s="24">
        <v>490</v>
      </c>
      <c r="M20" s="24">
        <v>390</v>
      </c>
      <c r="N20" s="24">
        <v>390</v>
      </c>
    </row>
    <row r="21" spans="2:14">
      <c r="B21" s="195"/>
      <c r="D21" s="310" t="str">
        <f>_xlfn.CONCAT(Enumération!C$12," - ",Enumération!H7)</f>
        <v>Restaurants - 2 repas par jour, 6 jours sur 7</v>
      </c>
      <c r="E21" s="278">
        <v>214</v>
      </c>
      <c r="F21" s="278">
        <v>412</v>
      </c>
      <c r="G21" s="312">
        <v>42</v>
      </c>
      <c r="H21" s="312">
        <v>18</v>
      </c>
      <c r="I21" s="312">
        <v>21</v>
      </c>
      <c r="J21" s="300">
        <f t="shared" ref="J21:J61" si="1">J20+0</f>
        <v>13</v>
      </c>
      <c r="K21" s="120" t="str" cm="1">
        <f t="array" aca="1" ref="K21" ca="1">INDIRECT(ADDRESS(J21,4))&amp;" - autres cas"</f>
        <v>Hôtels - 0, 1 et 2 étoiles (partie nuit) - autres cas</v>
      </c>
      <c r="L21" s="24" t="s">
        <v>159</v>
      </c>
      <c r="M21" s="24">
        <v>390</v>
      </c>
      <c r="N21" s="24">
        <v>390</v>
      </c>
    </row>
    <row r="22" spans="2:14">
      <c r="B22" s="195"/>
      <c r="D22" s="297" t="str">
        <f>Enumération!C13</f>
        <v>Commerces</v>
      </c>
      <c r="E22" s="24">
        <v>163</v>
      </c>
      <c r="F22" s="24">
        <v>182</v>
      </c>
      <c r="G22" s="29">
        <v>45</v>
      </c>
      <c r="H22" s="29">
        <v>20</v>
      </c>
      <c r="I22" s="29">
        <v>24</v>
      </c>
      <c r="J22" s="300">
        <f t="shared" si="0"/>
        <v>14</v>
      </c>
      <c r="K22" s="120" t="str" cm="1">
        <f t="array" aca="1" ref="K22" ca="1">INDIRECT(ADDRESS(J22,4))&amp;" - RCU"</f>
        <v>Hôtels - 3, 4 et 5 étoiles (partie nuit) - RCU</v>
      </c>
      <c r="L22" s="24">
        <v>485</v>
      </c>
      <c r="M22" s="24">
        <v>350</v>
      </c>
      <c r="N22" s="24">
        <v>350</v>
      </c>
    </row>
    <row r="23" spans="2:14">
      <c r="B23" s="195"/>
      <c r="D23" s="297" t="str">
        <f>Enumération!C14</f>
        <v>Vestiaires seuls</v>
      </c>
      <c r="E23" s="24">
        <v>242</v>
      </c>
      <c r="F23" s="24">
        <v>306</v>
      </c>
      <c r="G23" s="29">
        <v>48</v>
      </c>
      <c r="H23" s="29">
        <v>22</v>
      </c>
      <c r="I23" s="29">
        <v>27</v>
      </c>
      <c r="J23" s="300">
        <f t="shared" si="1"/>
        <v>14</v>
      </c>
      <c r="K23" s="120" t="str" cm="1">
        <f t="array" aca="1" ref="K23" ca="1">INDIRECT(ADDRESS(J23,4))&amp;" - autres cas"</f>
        <v>Hôtels - 3, 4 et 5 étoiles (partie nuit) - autres cas</v>
      </c>
      <c r="L23" s="24" t="s">
        <v>159</v>
      </c>
      <c r="M23" s="24">
        <v>350</v>
      </c>
      <c r="N23" s="24">
        <v>350</v>
      </c>
    </row>
    <row r="24" spans="2:14">
      <c r="B24" s="195"/>
      <c r="D24" s="297" t="str">
        <f>Enumération!C15</f>
        <v>Etablissements_sanitaires_avec_hébergement</v>
      </c>
      <c r="E24" s="24">
        <v>190</v>
      </c>
      <c r="F24" s="24">
        <v>252</v>
      </c>
      <c r="G24" s="29">
        <v>51</v>
      </c>
      <c r="H24" s="29">
        <v>24</v>
      </c>
      <c r="I24" s="29">
        <v>30</v>
      </c>
      <c r="J24" s="300">
        <f t="shared" si="0"/>
        <v>15</v>
      </c>
      <c r="K24" s="120" t="str" cm="1">
        <f t="array" aca="1" ref="K24" ca="1">INDIRECT(ADDRESS(J24,4))&amp;" - RCU"</f>
        <v>Hôtels - 0, 1 et 2 étoiles (partie jour) - RCU</v>
      </c>
      <c r="L24" s="24">
        <v>595</v>
      </c>
      <c r="M24" s="24">
        <v>495</v>
      </c>
      <c r="N24" s="24">
        <v>495</v>
      </c>
    </row>
    <row r="25" spans="2:14">
      <c r="B25" s="195"/>
      <c r="D25" s="310" t="str">
        <f>_xlfn.CONCAT(Enumération!C$16," - ",Enumération!I4)</f>
        <v xml:space="preserve">Etablissements_de_santé - partie nuit </v>
      </c>
      <c r="E25" s="278">
        <v>274</v>
      </c>
      <c r="F25" s="278">
        <v>302</v>
      </c>
      <c r="G25" s="312">
        <v>54</v>
      </c>
      <c r="H25" s="312">
        <v>26</v>
      </c>
      <c r="I25" s="312">
        <v>33</v>
      </c>
      <c r="J25" s="300">
        <f t="shared" si="1"/>
        <v>15</v>
      </c>
      <c r="K25" s="120" t="str" cm="1">
        <f t="array" aca="1" ref="K25" ca="1">INDIRECT(ADDRESS(J25,4))&amp;" - autres cas"</f>
        <v>Hôtels - 0, 1 et 2 étoiles (partie jour) - autres cas</v>
      </c>
      <c r="L25" s="24" t="s">
        <v>159</v>
      </c>
      <c r="M25" s="24">
        <v>495</v>
      </c>
      <c r="N25" s="24">
        <v>495</v>
      </c>
    </row>
    <row r="26" spans="2:14">
      <c r="B26" s="195"/>
      <c r="D26" s="310" t="str">
        <f>_xlfn.CONCAT(Enumération!C$16," - ",Enumération!I5)</f>
        <v xml:space="preserve">Etablissements_de_santé - partie jour </v>
      </c>
      <c r="E26" s="278">
        <v>165</v>
      </c>
      <c r="F26" s="278">
        <v>180</v>
      </c>
      <c r="G26" s="312">
        <v>57</v>
      </c>
      <c r="H26" s="312">
        <v>26</v>
      </c>
      <c r="I26" s="312">
        <v>33</v>
      </c>
      <c r="J26" s="300">
        <f t="shared" si="0"/>
        <v>16</v>
      </c>
      <c r="K26" s="120" t="str" cm="1">
        <f t="array" aca="1" ref="K26" ca="1">INDIRECT(ADDRESS(J26,4))&amp;" - RCU"</f>
        <v>Hôtels - 3, 4 et 5 étoiles (partie jour) - RCU</v>
      </c>
      <c r="L26" s="24">
        <v>630</v>
      </c>
      <c r="M26" s="24">
        <v>520</v>
      </c>
      <c r="N26" s="24">
        <v>520</v>
      </c>
    </row>
    <row r="27" spans="2:14">
      <c r="B27" s="195"/>
      <c r="D27" s="297" t="str">
        <f>Enumération!C17</f>
        <v>Aérogares</v>
      </c>
      <c r="E27" s="24">
        <v>191</v>
      </c>
      <c r="F27" s="24">
        <v>253</v>
      </c>
      <c r="G27" s="29">
        <v>60</v>
      </c>
      <c r="H27" s="29">
        <v>28</v>
      </c>
      <c r="I27" s="29">
        <v>36</v>
      </c>
      <c r="J27" s="300">
        <f t="shared" si="1"/>
        <v>16</v>
      </c>
      <c r="K27" s="120" t="str" cm="1">
        <f t="array" aca="1" ref="K27" ca="1">INDIRECT(ADDRESS(J27,4))&amp;" - autres cas"</f>
        <v>Hôtels - 3, 4 et 5 étoiles (partie jour) - autres cas</v>
      </c>
      <c r="L27" s="24" t="s">
        <v>159</v>
      </c>
      <c r="M27" s="24">
        <v>520</v>
      </c>
      <c r="N27" s="24">
        <v>520</v>
      </c>
    </row>
    <row r="28" spans="2:14">
      <c r="B28" s="195"/>
      <c r="D28" s="310" t="str">
        <f>_xlfn.CONCAT(Enumération!C$18," - ",Enumération!J4)</f>
        <v>Industries_ou_artisanats - 3x8h</v>
      </c>
      <c r="E28" s="278">
        <v>290</v>
      </c>
      <c r="F28" s="278">
        <v>365</v>
      </c>
      <c r="G28" s="312">
        <v>63</v>
      </c>
      <c r="H28" s="312">
        <v>30</v>
      </c>
      <c r="I28" s="312">
        <v>39</v>
      </c>
      <c r="J28" s="300">
        <f t="shared" si="0"/>
        <v>17</v>
      </c>
      <c r="K28" s="301" t="str" cm="1">
        <f t="array" aca="1" ref="K28" ca="1">INDIRECT(ADDRESS(J28,4))&amp;" - RCU"</f>
        <v>Etablissements_d'accueil_de_la_petite_enfance  - RCU</v>
      </c>
      <c r="L28" s="24">
        <v>895</v>
      </c>
      <c r="M28" s="24">
        <v>680</v>
      </c>
      <c r="N28" s="24">
        <v>680</v>
      </c>
    </row>
    <row r="29" spans="2:14">
      <c r="B29" s="195"/>
      <c r="D29" s="310" t="str">
        <f>_xlfn.CONCAT(Enumération!C$18," - ",Enumération!J5)</f>
        <v>Industries_ou_artisanats - 8h à 18h</v>
      </c>
      <c r="E29" s="278">
        <v>94</v>
      </c>
      <c r="F29" s="278">
        <v>116</v>
      </c>
      <c r="G29" s="312">
        <v>66</v>
      </c>
      <c r="H29" s="312">
        <v>30</v>
      </c>
      <c r="I29" s="312">
        <v>39</v>
      </c>
      <c r="J29" s="300">
        <f t="shared" si="1"/>
        <v>17</v>
      </c>
      <c r="K29" s="301" t="str" cm="1">
        <f t="array" aca="1" ref="K29" ca="1">INDIRECT(ADDRESS(J29,4))&amp;" - autres cas"</f>
        <v>Etablissements_d'accueil_de_la_petite_enfance  - autres cas</v>
      </c>
      <c r="L29" s="24" t="s">
        <v>159</v>
      </c>
      <c r="M29" s="24">
        <v>680</v>
      </c>
      <c r="N29" s="24">
        <v>680</v>
      </c>
    </row>
    <row r="30" spans="2:14">
      <c r="B30" s="195"/>
      <c r="D30" s="297" t="str">
        <f>Enumération!C19</f>
        <v>Etablissements_sportifs_municipaux_ou_scolaires</v>
      </c>
      <c r="E30" s="24">
        <v>94</v>
      </c>
      <c r="F30" s="24">
        <v>116</v>
      </c>
      <c r="G30" s="29">
        <v>69</v>
      </c>
      <c r="H30" s="29">
        <v>32</v>
      </c>
      <c r="I30" s="29">
        <v>42</v>
      </c>
      <c r="J30" s="300">
        <f t="shared" si="0"/>
        <v>18</v>
      </c>
      <c r="K30" s="280" t="str" cm="1">
        <f t="array" aca="1" ref="K30" ca="1">INDIRECT(ADDRESS(J30,4))&amp;" - RCU"</f>
        <v>Restaurants - en continu, 18 heures par jour, 7 jours sur 7 - RCU</v>
      </c>
      <c r="L30" s="24">
        <v>670</v>
      </c>
      <c r="M30" s="24">
        <v>570</v>
      </c>
      <c r="N30" s="24">
        <v>570</v>
      </c>
    </row>
    <row r="31" spans="2:14">
      <c r="B31" s="195"/>
      <c r="D31" s="310" t="str">
        <f>_xlfn.CONCAT(Enumération!C$20," - ",Enumération!K4)</f>
        <v>Restaurants_scolaires - 1 repas par jour, 5 jours sur 7</v>
      </c>
      <c r="E31" s="278">
        <v>119</v>
      </c>
      <c r="F31" s="278">
        <v>251</v>
      </c>
      <c r="G31" s="312">
        <v>72</v>
      </c>
      <c r="H31" s="312">
        <v>34</v>
      </c>
      <c r="I31" s="312">
        <v>45</v>
      </c>
      <c r="J31" s="300">
        <f t="shared" si="1"/>
        <v>18</v>
      </c>
      <c r="K31" s="280" t="str" cm="1">
        <f t="array" aca="1" ref="K31" ca="1">INDIRECT(ADDRESS(J31,4))&amp;" - autres cas"</f>
        <v>Restaurants - en continu, 18 heures par jour, 7 jours sur 7 - autres cas</v>
      </c>
      <c r="L31" s="24" t="s">
        <v>159</v>
      </c>
      <c r="M31" s="24">
        <v>570</v>
      </c>
      <c r="N31" s="24">
        <v>570</v>
      </c>
    </row>
    <row r="32" spans="2:14">
      <c r="B32" s="195"/>
      <c r="D32" s="310" t="str">
        <f>_xlfn.CONCAT(Enumération!C$20," - ",Enumération!K5)</f>
        <v>Restaurants_scolaires - 3 repas par jour, 5 jours sur 7</v>
      </c>
      <c r="E32" s="278">
        <v>153</v>
      </c>
      <c r="F32" s="278">
        <v>329</v>
      </c>
      <c r="G32" s="312">
        <v>75</v>
      </c>
      <c r="H32" s="312">
        <v>34</v>
      </c>
      <c r="I32" s="312">
        <v>45</v>
      </c>
      <c r="J32" s="300">
        <f t="shared" si="0"/>
        <v>19</v>
      </c>
      <c r="K32" s="280" t="str" cm="1">
        <f t="array" aca="1" ref="K32" ca="1">INDIRECT(ADDRESS(J32,4))&amp;" - RCU"</f>
        <v>Restaurants - 1 repas par jour, 5 jours sur 7 - RCU</v>
      </c>
      <c r="L32" s="24">
        <v>605</v>
      </c>
      <c r="M32" s="24">
        <v>470</v>
      </c>
      <c r="N32" s="24">
        <v>470</v>
      </c>
    </row>
    <row r="33" spans="2:14">
      <c r="B33" s="195"/>
      <c r="D33" s="297" t="str">
        <f>Enumération!C21</f>
        <v>Etablissements_sportifs_privés</v>
      </c>
      <c r="E33" s="24">
        <v>112</v>
      </c>
      <c r="F33" s="24">
        <v>148</v>
      </c>
      <c r="G33" s="29">
        <v>78</v>
      </c>
      <c r="H33" s="29">
        <v>36</v>
      </c>
      <c r="I33" s="29">
        <v>48</v>
      </c>
      <c r="J33" s="300">
        <f t="shared" si="1"/>
        <v>19</v>
      </c>
      <c r="K33" s="280" t="str" cm="1">
        <f t="array" aca="1" ref="K33" ca="1">INDIRECT(ADDRESS(J33,4))&amp;" - autres cas"</f>
        <v>Restaurants - 1 repas par jour, 5 jours sur 7 - autres cas</v>
      </c>
      <c r="L33" s="24" t="s">
        <v>159</v>
      </c>
      <c r="M33" s="24">
        <v>470</v>
      </c>
      <c r="N33" s="24">
        <v>470</v>
      </c>
    </row>
    <row r="34" spans="2:14">
      <c r="B34" s="195"/>
      <c r="D34" s="30"/>
      <c r="E34" s="6"/>
      <c r="F34" s="6"/>
      <c r="J34" s="300">
        <f t="shared" si="0"/>
        <v>20</v>
      </c>
      <c r="K34" s="280" t="str" cm="1">
        <f t="array" aca="1" ref="K34" ca="1">INDIRECT(ADDRESS(J34,4))&amp;" - RCU"</f>
        <v>Restaurants - 2 repas par jour, 7 jours sur 7 - RCU</v>
      </c>
      <c r="L34" s="24">
        <v>705</v>
      </c>
      <c r="M34" s="24">
        <v>570</v>
      </c>
      <c r="N34" s="24">
        <v>570</v>
      </c>
    </row>
    <row r="35" spans="2:14">
      <c r="B35" s="196"/>
      <c r="D35" s="30"/>
      <c r="E35" s="6"/>
      <c r="F35" s="6"/>
      <c r="J35" s="300">
        <f t="shared" si="1"/>
        <v>20</v>
      </c>
      <c r="K35" s="280" t="str" cm="1">
        <f t="array" aca="1" ref="K35" ca="1">INDIRECT(ADDRESS(J35,4))&amp;" - autres cas"</f>
        <v>Restaurants - 2 repas par jour, 7 jours sur 7 - autres cas</v>
      </c>
      <c r="L35" s="24" t="s">
        <v>159</v>
      </c>
      <c r="M35" s="24">
        <v>570</v>
      </c>
      <c r="N35" s="24">
        <v>570</v>
      </c>
    </row>
    <row r="36" spans="2:14">
      <c r="D36" s="408"/>
      <c r="E36" s="409"/>
      <c r="F36" s="410"/>
      <c r="G36" s="410"/>
      <c r="H36" s="410"/>
      <c r="J36" s="300">
        <f t="shared" si="0"/>
        <v>21</v>
      </c>
      <c r="K36" s="280" t="str" cm="1">
        <f t="array" aca="1" ref="K36" ca="1">INDIRECT(ADDRESS(J36,4))&amp;" - RCU"</f>
        <v>Restaurants - 2 repas par jour, 6 jours sur 7 - RCU</v>
      </c>
      <c r="L36" s="24">
        <v>675</v>
      </c>
      <c r="M36" s="24">
        <v>545</v>
      </c>
      <c r="N36" s="24">
        <v>545</v>
      </c>
    </row>
    <row r="37" spans="2:14">
      <c r="D37" s="408"/>
      <c r="E37" s="409"/>
      <c r="F37" s="410"/>
      <c r="G37" s="410"/>
      <c r="H37" s="410"/>
      <c r="J37" s="300">
        <f t="shared" si="1"/>
        <v>21</v>
      </c>
      <c r="K37" s="280" t="str" cm="1">
        <f t="array" aca="1" ref="K37" ca="1">INDIRECT(ADDRESS(J37,4))&amp;" - autres cas"</f>
        <v>Restaurants - 2 repas par jour, 6 jours sur 7 - autres cas</v>
      </c>
      <c r="L37" s="24" t="s">
        <v>159</v>
      </c>
      <c r="M37" s="24">
        <v>545</v>
      </c>
      <c r="N37" s="24">
        <v>545</v>
      </c>
    </row>
    <row r="38" spans="2:14">
      <c r="D38" s="408"/>
      <c r="E38" s="409"/>
      <c r="F38" s="410"/>
      <c r="G38" s="410"/>
      <c r="H38" s="410"/>
      <c r="J38" s="300">
        <f t="shared" si="0"/>
        <v>22</v>
      </c>
      <c r="K38" s="120" t="str" cm="1">
        <f t="array" aca="1" ref="K38" ca="1">INDIRECT(ADDRESS(J38,4))&amp;" - RCU"</f>
        <v>Commerces - RCU</v>
      </c>
      <c r="L38" s="24">
        <v>315</v>
      </c>
      <c r="M38" s="24">
        <v>315</v>
      </c>
      <c r="N38" s="24">
        <v>315</v>
      </c>
    </row>
    <row r="39" spans="2:14">
      <c r="D39" s="408"/>
      <c r="E39" s="409"/>
      <c r="F39" s="410"/>
      <c r="G39" s="410"/>
      <c r="H39" s="410"/>
      <c r="J39" s="300">
        <f t="shared" si="1"/>
        <v>22</v>
      </c>
      <c r="K39" s="120" t="str" cm="1">
        <f t="array" aca="1" ref="K39" ca="1">INDIRECT(ADDRESS(J39,4))&amp;" - autres cas"</f>
        <v>Commerces - autres cas</v>
      </c>
      <c r="L39" s="24" t="s">
        <v>159</v>
      </c>
      <c r="M39" s="24">
        <v>315</v>
      </c>
      <c r="N39" s="24">
        <v>315</v>
      </c>
    </row>
    <row r="40" spans="2:14">
      <c r="D40" s="408"/>
      <c r="E40" s="409"/>
      <c r="F40" s="410"/>
      <c r="G40" s="410"/>
      <c r="H40" s="410"/>
      <c r="J40" s="300">
        <f t="shared" si="0"/>
        <v>23</v>
      </c>
      <c r="K40" s="280" t="str" cm="1">
        <f t="array" aca="1" ref="K40" ca="1">INDIRECT(ADDRESS(J40,4))&amp;" - RCU"</f>
        <v>Vestiaires seuls - RCU</v>
      </c>
      <c r="L40" s="24">
        <v>1460</v>
      </c>
      <c r="M40" s="24">
        <v>1120</v>
      </c>
      <c r="N40" s="24">
        <v>1120</v>
      </c>
    </row>
    <row r="41" spans="2:14">
      <c r="D41" s="408"/>
      <c r="E41" s="409"/>
      <c r="F41" s="410"/>
      <c r="G41" s="410"/>
      <c r="H41" s="410"/>
      <c r="J41" s="300">
        <f t="shared" si="1"/>
        <v>23</v>
      </c>
      <c r="K41" s="280" t="str" cm="1">
        <f t="array" aca="1" ref="K41" ca="1">INDIRECT(ADDRESS(J41,4))&amp;" - autres cas"</f>
        <v>Vestiaires seuls - autres cas</v>
      </c>
      <c r="L41" s="24" t="s">
        <v>159</v>
      </c>
      <c r="M41" s="24">
        <v>585</v>
      </c>
      <c r="N41" s="24">
        <v>585</v>
      </c>
    </row>
    <row r="42" spans="2:14">
      <c r="D42" s="408"/>
      <c r="E42" s="409"/>
      <c r="F42" s="410"/>
      <c r="G42" s="410"/>
      <c r="H42" s="410"/>
      <c r="J42" s="300">
        <f t="shared" si="0"/>
        <v>24</v>
      </c>
      <c r="K42" s="120" t="str" cm="1">
        <f t="array" aca="1" ref="K42" ca="1">INDIRECT(ADDRESS(J42,4))&amp;" - RCU"</f>
        <v>Etablissements_sanitaires_avec_hébergement - RCU</v>
      </c>
      <c r="L42" s="24">
        <v>1155</v>
      </c>
      <c r="M42" s="24">
        <v>890</v>
      </c>
      <c r="N42" s="24">
        <v>890</v>
      </c>
    </row>
    <row r="43" spans="2:14">
      <c r="D43" s="408"/>
      <c r="E43" s="409"/>
      <c r="F43" s="410"/>
      <c r="G43" s="410"/>
      <c r="H43" s="410"/>
      <c r="J43" s="300">
        <f t="shared" si="1"/>
        <v>24</v>
      </c>
      <c r="K43" s="120" t="str" cm="1">
        <f t="array" aca="1" ref="K43" ca="1">INDIRECT(ADDRESS(J43,4))&amp;" - autres cas"</f>
        <v>Etablissements_sanitaires_avec_hébergement - autres cas</v>
      </c>
      <c r="L43" s="24" t="s">
        <v>159</v>
      </c>
      <c r="M43" s="24">
        <v>330</v>
      </c>
      <c r="N43" s="24">
        <v>330</v>
      </c>
    </row>
    <row r="44" spans="2:14">
      <c r="D44" s="408"/>
      <c r="E44" s="409"/>
      <c r="F44" s="410"/>
      <c r="G44" s="410"/>
      <c r="H44" s="410"/>
      <c r="J44" s="300">
        <f t="shared" si="0"/>
        <v>25</v>
      </c>
      <c r="K44" s="280" t="str" cm="1">
        <f t="array" aca="1" ref="K44" ca="1">INDIRECT(ADDRESS(J44,4))&amp;" - RCU"</f>
        <v>Etablissements_de_santé - partie nuit  - RCU</v>
      </c>
      <c r="L44" s="24">
        <v>575</v>
      </c>
      <c r="M44" s="24">
        <v>490</v>
      </c>
      <c r="N44" s="24">
        <v>490</v>
      </c>
    </row>
    <row r="45" spans="2:14">
      <c r="D45" s="408"/>
      <c r="E45" s="409"/>
      <c r="F45" s="410"/>
      <c r="G45" s="410"/>
      <c r="H45" s="410"/>
      <c r="J45" s="300">
        <f t="shared" si="1"/>
        <v>25</v>
      </c>
      <c r="K45" s="280" t="str" cm="1">
        <f t="array" aca="1" ref="K45" ca="1">INDIRECT(ADDRESS(J45,4))&amp;" - autres cas"</f>
        <v>Etablissements_de_santé - partie nuit  - autres cas</v>
      </c>
      <c r="L45" s="24" t="s">
        <v>159</v>
      </c>
      <c r="M45" s="24">
        <v>320</v>
      </c>
      <c r="N45" s="24">
        <v>320</v>
      </c>
    </row>
    <row r="46" spans="2:14">
      <c r="D46" s="408"/>
      <c r="E46" s="409"/>
      <c r="F46" s="410"/>
      <c r="G46" s="410"/>
      <c r="H46" s="410"/>
      <c r="J46" s="300">
        <f t="shared" si="0"/>
        <v>26</v>
      </c>
      <c r="K46" s="280" t="str" cm="1">
        <f t="array" aca="1" ref="K46" ca="1">INDIRECT(ADDRESS(J46,4))&amp;" - RCU"</f>
        <v>Etablissements_de_santé - partie jour  - RCU</v>
      </c>
      <c r="L46" s="24">
        <v>615</v>
      </c>
      <c r="M46" s="24">
        <v>365</v>
      </c>
      <c r="N46" s="24">
        <v>365</v>
      </c>
    </row>
    <row r="47" spans="2:14">
      <c r="D47" s="408"/>
      <c r="E47" s="409"/>
      <c r="F47" s="410"/>
      <c r="G47" s="410"/>
      <c r="H47" s="410"/>
      <c r="J47" s="300">
        <f t="shared" si="1"/>
        <v>26</v>
      </c>
      <c r="K47" s="280" t="str" cm="1">
        <f t="array" aca="1" ref="K47" ca="1">INDIRECT(ADDRESS(J47,4))&amp;" - autres cas"</f>
        <v>Etablissements_de_santé - partie jour  - autres cas</v>
      </c>
      <c r="L47" s="24" t="s">
        <v>159</v>
      </c>
      <c r="M47" s="24">
        <v>230</v>
      </c>
      <c r="N47" s="24">
        <v>230</v>
      </c>
    </row>
    <row r="48" spans="2:14">
      <c r="D48" s="408"/>
      <c r="E48" s="409"/>
      <c r="F48" s="410"/>
      <c r="G48" s="410"/>
      <c r="H48" s="410"/>
      <c r="J48" s="300">
        <f t="shared" si="0"/>
        <v>27</v>
      </c>
      <c r="K48" s="120" t="str" cm="1">
        <f t="array" aca="1" ref="K48" ca="1">INDIRECT(ADDRESS(J48,4))&amp;" - RCU"</f>
        <v>Aérogares - RCU</v>
      </c>
      <c r="L48" s="24">
        <v>290</v>
      </c>
      <c r="M48" s="24">
        <v>260</v>
      </c>
      <c r="N48" s="24">
        <v>260</v>
      </c>
    </row>
    <row r="49" spans="4:85">
      <c r="D49" s="408"/>
      <c r="E49" s="409"/>
      <c r="F49" s="410"/>
      <c r="G49" s="410"/>
      <c r="H49" s="410"/>
      <c r="J49" s="300">
        <f t="shared" si="1"/>
        <v>27</v>
      </c>
      <c r="K49" s="120" t="str" cm="1">
        <f t="array" aca="1" ref="K49" ca="1">INDIRECT(ADDRESS(J49,4))&amp;" - autres cas"</f>
        <v>Aérogares - autres cas</v>
      </c>
      <c r="L49" s="24" t="s">
        <v>159</v>
      </c>
      <c r="M49" s="24">
        <v>260</v>
      </c>
      <c r="N49" s="24">
        <v>260</v>
      </c>
    </row>
    <row r="50" spans="4:85">
      <c r="D50" s="408"/>
      <c r="E50" s="409"/>
      <c r="F50" s="410"/>
      <c r="G50" s="410"/>
      <c r="H50" s="410"/>
      <c r="J50" s="300">
        <f t="shared" si="0"/>
        <v>28</v>
      </c>
      <c r="K50" s="302" t="str" cm="1">
        <f t="array" aca="1" ref="K50" ca="1">INDIRECT(ADDRESS(J50,4))&amp;" - RCU"</f>
        <v>Industries_ou_artisanats - 3x8h - RCU</v>
      </c>
      <c r="L50" s="24" t="s">
        <v>159</v>
      </c>
      <c r="M50" s="24">
        <v>315</v>
      </c>
      <c r="N50" s="24">
        <v>315</v>
      </c>
    </row>
    <row r="51" spans="4:85">
      <c r="D51" s="408"/>
      <c r="E51" s="409"/>
      <c r="F51" s="410"/>
      <c r="G51" s="410"/>
      <c r="H51" s="410"/>
      <c r="J51" s="300">
        <f t="shared" si="1"/>
        <v>28</v>
      </c>
      <c r="K51" s="302" t="str" cm="1">
        <f t="array" aca="1" ref="K51" ca="1">INDIRECT(ADDRESS(J51,4))&amp;" - autres cas"</f>
        <v>Industries_ou_artisanats - 3x8h - autres cas</v>
      </c>
      <c r="L51" s="24" t="s">
        <v>159</v>
      </c>
      <c r="M51" s="24">
        <v>315</v>
      </c>
      <c r="N51" s="24">
        <v>315</v>
      </c>
    </row>
    <row r="52" spans="4:85">
      <c r="D52" s="408"/>
      <c r="E52" s="409"/>
      <c r="F52" s="410"/>
      <c r="G52" s="410"/>
      <c r="H52" s="410"/>
      <c r="J52" s="300">
        <f t="shared" si="0"/>
        <v>29</v>
      </c>
      <c r="K52" s="302" t="str" cm="1">
        <f t="array" aca="1" ref="K52" ca="1">INDIRECT(ADDRESS(J52,4))&amp;" - RCU"</f>
        <v>Industries_ou_artisanats - 8h à 18h - RCU</v>
      </c>
      <c r="L52" s="24" t="s">
        <v>159</v>
      </c>
      <c r="M52" s="24">
        <v>110</v>
      </c>
      <c r="N52" s="24">
        <v>110</v>
      </c>
    </row>
    <row r="53" spans="4:85">
      <c r="D53" s="408"/>
      <c r="E53" s="409"/>
      <c r="F53" s="410"/>
      <c r="G53" s="410"/>
      <c r="H53" s="410"/>
      <c r="J53" s="300">
        <f t="shared" si="1"/>
        <v>29</v>
      </c>
      <c r="K53" s="302" t="str" cm="1">
        <f t="array" aca="1" ref="K53" ca="1">INDIRECT(ADDRESS(J53,4))&amp;" - autres cas"</f>
        <v>Industries_ou_artisanats - 8h à 18h - autres cas</v>
      </c>
      <c r="L53" s="24" t="s">
        <v>159</v>
      </c>
      <c r="M53" s="24">
        <v>110</v>
      </c>
      <c r="N53" s="24">
        <v>110</v>
      </c>
    </row>
    <row r="54" spans="4:85">
      <c r="D54" s="408"/>
      <c r="E54" s="409"/>
      <c r="F54" s="410"/>
      <c r="G54" s="410"/>
      <c r="H54" s="410"/>
      <c r="J54" s="300">
        <f t="shared" si="0"/>
        <v>30</v>
      </c>
      <c r="K54" s="120" t="str" cm="1">
        <f t="array" aca="1" ref="K54" ca="1">INDIRECT(ADDRESS(J54,4))&amp;" - RCU"</f>
        <v>Etablissements_sportifs_municipaux_ou_scolaires - RCU</v>
      </c>
      <c r="L54" s="24">
        <v>330</v>
      </c>
      <c r="M54" s="24">
        <v>265</v>
      </c>
      <c r="N54" s="24">
        <v>265</v>
      </c>
    </row>
    <row r="55" spans="4:85">
      <c r="D55" s="408"/>
      <c r="E55" s="409"/>
      <c r="F55" s="410"/>
      <c r="G55" s="410"/>
      <c r="H55" s="410"/>
      <c r="J55" s="300">
        <f t="shared" si="1"/>
        <v>30</v>
      </c>
      <c r="K55" s="120" t="str" cm="1">
        <f t="array" aca="1" ref="K55" ca="1">INDIRECT(ADDRESS(J55,4))&amp;" - autres cas"</f>
        <v>Etablissements_sportifs_municipaux_ou_scolaires - autres cas</v>
      </c>
      <c r="L55" s="24" t="s">
        <v>159</v>
      </c>
      <c r="M55" s="24">
        <v>150</v>
      </c>
      <c r="N55" s="24">
        <v>150</v>
      </c>
    </row>
    <row r="56" spans="4:85">
      <c r="D56" s="408"/>
      <c r="E56" s="409"/>
      <c r="F56" s="410"/>
      <c r="G56" s="410"/>
      <c r="H56" s="410"/>
      <c r="J56" s="300">
        <f t="shared" si="0"/>
        <v>31</v>
      </c>
      <c r="K56" s="280" t="str" cm="1">
        <f t="array" aca="1" ref="K56" ca="1">INDIRECT(ADDRESS(J56,4))&amp;" - RCU"</f>
        <v>Restaurants_scolaires - 1 repas par jour, 5 jours sur 7 - RCU</v>
      </c>
      <c r="L56" s="24">
        <v>570</v>
      </c>
      <c r="M56" s="24">
        <v>445</v>
      </c>
      <c r="N56" s="24">
        <v>445</v>
      </c>
    </row>
    <row r="57" spans="4:85">
      <c r="D57" s="408"/>
      <c r="E57" s="409"/>
      <c r="F57" s="410"/>
      <c r="G57" s="410"/>
      <c r="H57" s="410"/>
      <c r="J57" s="300">
        <f t="shared" si="1"/>
        <v>31</v>
      </c>
      <c r="K57" s="280" t="str" cm="1">
        <f t="array" aca="1" ref="K57" ca="1">INDIRECT(ADDRESS(J57,4))&amp;" - autres cas"</f>
        <v>Restaurants_scolaires - 1 repas par jour, 5 jours sur 7 - autres cas</v>
      </c>
      <c r="L57" s="24" t="s">
        <v>159</v>
      </c>
      <c r="M57" s="24">
        <v>445</v>
      </c>
      <c r="N57" s="24">
        <v>445</v>
      </c>
    </row>
    <row r="58" spans="4:85">
      <c r="D58" s="408"/>
      <c r="E58" s="409"/>
      <c r="F58" s="410"/>
      <c r="G58" s="410"/>
      <c r="H58" s="410"/>
      <c r="J58" s="300">
        <f t="shared" si="0"/>
        <v>32</v>
      </c>
      <c r="K58" s="280" t="str" cm="1">
        <f t="array" aca="1" ref="K58" ca="1">INDIRECT(ADDRESS(J58,4))&amp;" - RCU"</f>
        <v>Restaurants_scolaires - 3 repas par jour, 5 jours sur 7 - RCU</v>
      </c>
      <c r="L58" s="24">
        <v>615</v>
      </c>
      <c r="M58" s="24">
        <v>485</v>
      </c>
      <c r="N58" s="24">
        <v>485</v>
      </c>
    </row>
    <row r="59" spans="4:85">
      <c r="D59" s="408"/>
      <c r="E59" s="409"/>
      <c r="F59" s="410"/>
      <c r="G59" s="410"/>
      <c r="H59" s="410"/>
      <c r="J59" s="300">
        <f t="shared" si="1"/>
        <v>32</v>
      </c>
      <c r="K59" s="280" t="str" cm="1">
        <f t="array" aca="1" ref="K59" ca="1">INDIRECT(ADDRESS(J59,4))&amp;" - autres cas"</f>
        <v>Restaurants_scolaires - 3 repas par jour, 5 jours sur 7 - autres cas</v>
      </c>
      <c r="L59" s="24" t="s">
        <v>159</v>
      </c>
      <c r="M59" s="24">
        <v>485</v>
      </c>
      <c r="N59" s="24">
        <v>485</v>
      </c>
    </row>
    <row r="60" spans="4:85">
      <c r="D60" s="14"/>
      <c r="E60" s="2"/>
      <c r="J60" s="300">
        <f t="shared" si="0"/>
        <v>33</v>
      </c>
      <c r="K60" s="120" t="str" cm="1">
        <f t="array" aca="1" ref="K60" ca="1">INDIRECT(ADDRESS(J60,4))&amp;" - RCU"</f>
        <v>Etablissements_sportifs_privés - RCU</v>
      </c>
      <c r="L60" s="24">
        <v>535</v>
      </c>
      <c r="M60" s="24">
        <v>420</v>
      </c>
      <c r="N60" s="24">
        <v>420</v>
      </c>
    </row>
    <row r="61" spans="4:85">
      <c r="D61" s="14"/>
      <c r="E61" s="2"/>
      <c r="J61" s="300">
        <f t="shared" si="1"/>
        <v>33</v>
      </c>
      <c r="K61" s="120" t="str" cm="1">
        <f t="array" aca="1" ref="K61" ca="1">INDIRECT(ADDRESS(J61,4))&amp;" - autres cas"</f>
        <v>Etablissements_sportifs_privés - autres cas</v>
      </c>
      <c r="L61" s="24" t="s">
        <v>159</v>
      </c>
      <c r="M61" s="24">
        <v>190</v>
      </c>
      <c r="N61" s="24">
        <v>190</v>
      </c>
    </row>
    <row r="62" spans="4:85" ht="14.65" thickBot="1">
      <c r="D62" s="14"/>
      <c r="E62" s="2"/>
    </row>
    <row r="63" spans="4:85" ht="14.65" thickBot="1">
      <c r="D63" s="7" t="s">
        <v>238</v>
      </c>
      <c r="E63" s="309" cm="1">
        <f t="array" ref="E63">IF(D75="non",INDEX(E66:CG73,MATCH(zoneclim,D66:D73,0),MATCH(elevation,E65:G65,0)+D65),E75)</f>
        <v>0.05</v>
      </c>
    </row>
    <row r="64" spans="4:85">
      <c r="E64" s="549" t="str">
        <f>Enumération!C39</f>
        <v>Maisons_individuelles_ou_accolées</v>
      </c>
      <c r="F64" s="550"/>
      <c r="G64" s="551"/>
      <c r="H64" s="549" t="str">
        <f>Enumération!F39</f>
        <v>Logement_collectif</v>
      </c>
      <c r="I64" s="550"/>
      <c r="J64" s="551"/>
      <c r="K64" s="549" t="str">
        <f>Enumération!I39</f>
        <v>Bureaux</v>
      </c>
      <c r="L64" s="550"/>
      <c r="M64" s="551"/>
      <c r="N64" s="549" t="str">
        <f>Enumération!L39</f>
        <v>Enseignement_primaire_ou_secondaire</v>
      </c>
      <c r="O64" s="550"/>
      <c r="P64" s="551"/>
      <c r="Q64" s="543" t="str">
        <f>Enumération!O39</f>
        <v>Médiathèques_et_bibliothèques</v>
      </c>
      <c r="R64" s="544"/>
      <c r="S64" s="545"/>
      <c r="T64" s="543" t="str">
        <f>Enumération!R39</f>
        <v>Bâtiments_universitaires_d'enseignement_et_de_recherche_et_bâtiments_d’enseignements_atypiques</v>
      </c>
      <c r="U64" s="544"/>
      <c r="V64" s="545"/>
      <c r="W64" s="540" t="s">
        <v>349</v>
      </c>
      <c r="X64" s="541"/>
      <c r="Y64" s="542"/>
      <c r="Z64" s="540" t="s">
        <v>351</v>
      </c>
      <c r="AA64" s="541"/>
      <c r="AB64" s="542"/>
      <c r="AC64" s="540" t="s">
        <v>353</v>
      </c>
      <c r="AD64" s="541"/>
      <c r="AE64" s="542"/>
      <c r="AF64" s="540" t="s">
        <v>355</v>
      </c>
      <c r="AG64" s="541"/>
      <c r="AH64" s="542"/>
      <c r="AI64" s="543" t="str">
        <f>Enumération!X39</f>
        <v>Etablissements_d'accueil_de_la_petite_enfance </v>
      </c>
      <c r="AJ64" s="544"/>
      <c r="AK64" s="545"/>
      <c r="AL64" s="540" t="s">
        <v>358</v>
      </c>
      <c r="AM64" s="541"/>
      <c r="AN64" s="542"/>
      <c r="AO64" s="540" t="s">
        <v>360</v>
      </c>
      <c r="AP64" s="541"/>
      <c r="AQ64" s="542"/>
      <c r="AR64" s="540" t="s">
        <v>362</v>
      </c>
      <c r="AS64" s="541"/>
      <c r="AT64" s="542"/>
      <c r="AU64" s="540" t="s">
        <v>364</v>
      </c>
      <c r="AV64" s="541"/>
      <c r="AW64" s="542"/>
      <c r="AX64" s="543" t="str">
        <f>Enumération!AD39</f>
        <v>Commerces</v>
      </c>
      <c r="AY64" s="544"/>
      <c r="AZ64" s="545"/>
      <c r="BA64" s="543" t="str">
        <f>Enumération!AG39</f>
        <v>Vestiaires seuls</v>
      </c>
      <c r="BB64" s="544"/>
      <c r="BC64" s="545"/>
      <c r="BD64" s="543" t="str">
        <f>Enumération!AJ39</f>
        <v>Etablissements_sanitaires_avec_hébergement</v>
      </c>
      <c r="BE64" s="544"/>
      <c r="BF64" s="545"/>
      <c r="BG64" s="537" t="s">
        <v>367</v>
      </c>
      <c r="BH64" s="538"/>
      <c r="BI64" s="539"/>
      <c r="BJ64" s="537" t="s">
        <v>368</v>
      </c>
      <c r="BK64" s="538"/>
      <c r="BL64" s="539"/>
      <c r="BM64" s="543" t="str">
        <f>Enumération!AP39</f>
        <v>Aérogares</v>
      </c>
      <c r="BN64" s="544"/>
      <c r="BO64" s="545"/>
      <c r="BP64" s="537" t="s">
        <v>369</v>
      </c>
      <c r="BQ64" s="538"/>
      <c r="BR64" s="539"/>
      <c r="BS64" s="537" t="s">
        <v>370</v>
      </c>
      <c r="BT64" s="538"/>
      <c r="BU64" s="539"/>
      <c r="BV64" s="543" t="str">
        <f>Enumération!AV39</f>
        <v>Etablissements_sportifs_municipaux_ou_scolaires</v>
      </c>
      <c r="BW64" s="544"/>
      <c r="BX64" s="545"/>
      <c r="BY64" s="537" t="s">
        <v>371</v>
      </c>
      <c r="BZ64" s="538"/>
      <c r="CA64" s="539"/>
      <c r="CB64" s="546" t="s">
        <v>372</v>
      </c>
      <c r="CC64" s="547"/>
      <c r="CD64" s="548"/>
      <c r="CE64" s="543" t="str">
        <f>Enumération!BB39</f>
        <v>Etablissements_sportifs_privés</v>
      </c>
      <c r="CF64" s="544"/>
      <c r="CG64" s="545"/>
    </row>
    <row r="65" spans="2:85">
      <c r="D65" s="40">
        <f>VLOOKUP(D5,D6:H33,4,FALSE)</f>
        <v>3</v>
      </c>
      <c r="E65" s="112" t="str">
        <f>Calcul_bbio!E36</f>
        <v>&lt;400m</v>
      </c>
      <c r="F65" s="25" t="str">
        <f>Calcul_bbio!F36</f>
        <v>400m-800m</v>
      </c>
      <c r="G65" s="113" t="str">
        <f>Calcul_bbio!G36</f>
        <v>&gt;800m</v>
      </c>
      <c r="H65" s="84" t="str">
        <f t="shared" ref="H65:P65" si="2">E65</f>
        <v>&lt;400m</v>
      </c>
      <c r="I65" s="20" t="str">
        <f t="shared" si="2"/>
        <v>400m-800m</v>
      </c>
      <c r="J65" s="85" t="str">
        <f t="shared" si="2"/>
        <v>&gt;800m</v>
      </c>
      <c r="K65" s="84" t="str">
        <f t="shared" si="2"/>
        <v>&lt;400m</v>
      </c>
      <c r="L65" s="20" t="str">
        <f t="shared" si="2"/>
        <v>400m-800m</v>
      </c>
      <c r="M65" s="85" t="str">
        <f t="shared" si="2"/>
        <v>&gt;800m</v>
      </c>
      <c r="N65" s="84" t="str">
        <f t="shared" si="2"/>
        <v>&lt;400m</v>
      </c>
      <c r="O65" s="20" t="str">
        <f t="shared" si="2"/>
        <v>400m-800m</v>
      </c>
      <c r="P65" s="85" t="str">
        <f t="shared" si="2"/>
        <v>&gt;800m</v>
      </c>
      <c r="Q65" s="84" t="str">
        <f t="shared" ref="Q65:AV65" si="3">N65</f>
        <v>&lt;400m</v>
      </c>
      <c r="R65" s="20" t="str">
        <f t="shared" si="3"/>
        <v>400m-800m</v>
      </c>
      <c r="S65" s="85" t="str">
        <f t="shared" si="3"/>
        <v>&gt;800m</v>
      </c>
      <c r="T65" s="84" t="str">
        <f t="shared" si="3"/>
        <v>&lt;400m</v>
      </c>
      <c r="U65" s="20" t="str">
        <f t="shared" si="3"/>
        <v>400m-800m</v>
      </c>
      <c r="V65" s="85" t="str">
        <f t="shared" si="3"/>
        <v>&gt;800m</v>
      </c>
      <c r="W65" s="84" t="str">
        <f t="shared" si="3"/>
        <v>&lt;400m</v>
      </c>
      <c r="X65" s="20" t="str">
        <f t="shared" si="3"/>
        <v>400m-800m</v>
      </c>
      <c r="Y65" s="85" t="str">
        <f t="shared" si="3"/>
        <v>&gt;800m</v>
      </c>
      <c r="Z65" s="84" t="str">
        <f t="shared" si="3"/>
        <v>&lt;400m</v>
      </c>
      <c r="AA65" s="20" t="str">
        <f t="shared" si="3"/>
        <v>400m-800m</v>
      </c>
      <c r="AB65" s="85" t="str">
        <f t="shared" si="3"/>
        <v>&gt;800m</v>
      </c>
      <c r="AC65" s="84" t="str">
        <f t="shared" si="3"/>
        <v>&lt;400m</v>
      </c>
      <c r="AD65" s="20" t="str">
        <f t="shared" si="3"/>
        <v>400m-800m</v>
      </c>
      <c r="AE65" s="85" t="str">
        <f t="shared" si="3"/>
        <v>&gt;800m</v>
      </c>
      <c r="AF65" s="84" t="str">
        <f t="shared" si="3"/>
        <v>&lt;400m</v>
      </c>
      <c r="AG65" s="20" t="str">
        <f t="shared" si="3"/>
        <v>400m-800m</v>
      </c>
      <c r="AH65" s="85" t="str">
        <f t="shared" si="3"/>
        <v>&gt;800m</v>
      </c>
      <c r="AI65" s="84" t="str">
        <f t="shared" si="3"/>
        <v>&lt;400m</v>
      </c>
      <c r="AJ65" s="20" t="str">
        <f t="shared" si="3"/>
        <v>400m-800m</v>
      </c>
      <c r="AK65" s="85" t="str">
        <f t="shared" si="3"/>
        <v>&gt;800m</v>
      </c>
      <c r="AL65" s="84" t="str">
        <f t="shared" si="3"/>
        <v>&lt;400m</v>
      </c>
      <c r="AM65" s="20" t="str">
        <f t="shared" si="3"/>
        <v>400m-800m</v>
      </c>
      <c r="AN65" s="85" t="str">
        <f t="shared" si="3"/>
        <v>&gt;800m</v>
      </c>
      <c r="AO65" s="84" t="str">
        <f t="shared" si="3"/>
        <v>&lt;400m</v>
      </c>
      <c r="AP65" s="20" t="str">
        <f t="shared" si="3"/>
        <v>400m-800m</v>
      </c>
      <c r="AQ65" s="85" t="str">
        <f t="shared" si="3"/>
        <v>&gt;800m</v>
      </c>
      <c r="AR65" s="84" t="str">
        <f t="shared" si="3"/>
        <v>&lt;400m</v>
      </c>
      <c r="AS65" s="20" t="str">
        <f t="shared" si="3"/>
        <v>400m-800m</v>
      </c>
      <c r="AT65" s="85" t="str">
        <f t="shared" si="3"/>
        <v>&gt;800m</v>
      </c>
      <c r="AU65" s="84" t="str">
        <f t="shared" si="3"/>
        <v>&lt;400m</v>
      </c>
      <c r="AV65" s="20" t="str">
        <f t="shared" si="3"/>
        <v>400m-800m</v>
      </c>
      <c r="AW65" s="85" t="str">
        <f t="shared" ref="AW65:CB65" si="4">AT65</f>
        <v>&gt;800m</v>
      </c>
      <c r="AX65" s="84" t="str">
        <f t="shared" si="4"/>
        <v>&lt;400m</v>
      </c>
      <c r="AY65" s="20" t="str">
        <f t="shared" si="4"/>
        <v>400m-800m</v>
      </c>
      <c r="AZ65" s="85" t="str">
        <f t="shared" si="4"/>
        <v>&gt;800m</v>
      </c>
      <c r="BA65" s="84" t="str">
        <f t="shared" si="4"/>
        <v>&lt;400m</v>
      </c>
      <c r="BB65" s="20" t="str">
        <f t="shared" si="4"/>
        <v>400m-800m</v>
      </c>
      <c r="BC65" s="85" t="str">
        <f t="shared" si="4"/>
        <v>&gt;800m</v>
      </c>
      <c r="BD65" s="84" t="str">
        <f t="shared" si="4"/>
        <v>&lt;400m</v>
      </c>
      <c r="BE65" s="20" t="str">
        <f t="shared" si="4"/>
        <v>400m-800m</v>
      </c>
      <c r="BF65" s="85" t="str">
        <f t="shared" si="4"/>
        <v>&gt;800m</v>
      </c>
      <c r="BG65" s="84" t="str">
        <f t="shared" si="4"/>
        <v>&lt;400m</v>
      </c>
      <c r="BH65" s="20" t="str">
        <f t="shared" si="4"/>
        <v>400m-800m</v>
      </c>
      <c r="BI65" s="85" t="str">
        <f t="shared" si="4"/>
        <v>&gt;800m</v>
      </c>
      <c r="BJ65" s="84" t="str">
        <f t="shared" si="4"/>
        <v>&lt;400m</v>
      </c>
      <c r="BK65" s="20" t="str">
        <f t="shared" si="4"/>
        <v>400m-800m</v>
      </c>
      <c r="BL65" s="85" t="str">
        <f t="shared" si="4"/>
        <v>&gt;800m</v>
      </c>
      <c r="BM65" s="84" t="str">
        <f t="shared" si="4"/>
        <v>&lt;400m</v>
      </c>
      <c r="BN65" s="20" t="str">
        <f t="shared" si="4"/>
        <v>400m-800m</v>
      </c>
      <c r="BO65" s="85" t="str">
        <f t="shared" si="4"/>
        <v>&gt;800m</v>
      </c>
      <c r="BP65" s="84" t="str">
        <f t="shared" si="4"/>
        <v>&lt;400m</v>
      </c>
      <c r="BQ65" s="20" t="str">
        <f t="shared" si="4"/>
        <v>400m-800m</v>
      </c>
      <c r="BR65" s="85" t="str">
        <f t="shared" si="4"/>
        <v>&gt;800m</v>
      </c>
      <c r="BS65" s="84" t="str">
        <f t="shared" si="4"/>
        <v>&lt;400m</v>
      </c>
      <c r="BT65" s="20" t="str">
        <f t="shared" si="4"/>
        <v>400m-800m</v>
      </c>
      <c r="BU65" s="85" t="str">
        <f t="shared" si="4"/>
        <v>&gt;800m</v>
      </c>
      <c r="BV65" s="84" t="str">
        <f t="shared" si="4"/>
        <v>&lt;400m</v>
      </c>
      <c r="BW65" s="20" t="str">
        <f t="shared" si="4"/>
        <v>400m-800m</v>
      </c>
      <c r="BX65" s="85" t="str">
        <f t="shared" si="4"/>
        <v>&gt;800m</v>
      </c>
      <c r="BY65" s="84" t="str">
        <f t="shared" si="4"/>
        <v>&lt;400m</v>
      </c>
      <c r="BZ65" s="20" t="str">
        <f t="shared" si="4"/>
        <v>400m-800m</v>
      </c>
      <c r="CA65" s="85" t="str">
        <f t="shared" si="4"/>
        <v>&gt;800m</v>
      </c>
      <c r="CB65" s="84" t="str">
        <f t="shared" si="4"/>
        <v>&lt;400m</v>
      </c>
      <c r="CC65" s="20" t="str">
        <f t="shared" ref="CC65:CG65" si="5">BZ65</f>
        <v>400m-800m</v>
      </c>
      <c r="CD65" s="85" t="str">
        <f t="shared" si="5"/>
        <v>&gt;800m</v>
      </c>
      <c r="CE65" s="84" t="str">
        <f t="shared" si="5"/>
        <v>&lt;400m</v>
      </c>
      <c r="CF65" s="20" t="str">
        <f t="shared" si="5"/>
        <v>400m-800m</v>
      </c>
      <c r="CG65" s="85" t="str">
        <f t="shared" si="5"/>
        <v>&gt;800m</v>
      </c>
    </row>
    <row r="66" spans="2:85">
      <c r="D66" s="80" t="s">
        <v>34</v>
      </c>
      <c r="E66" s="71">
        <v>0.1</v>
      </c>
      <c r="F66" s="11">
        <v>0.4</v>
      </c>
      <c r="G66" s="72">
        <v>0.75</v>
      </c>
      <c r="H66" s="71">
        <v>0.05</v>
      </c>
      <c r="I66" s="11">
        <v>0.35</v>
      </c>
      <c r="J66" s="72">
        <v>0.55000000000000004</v>
      </c>
      <c r="K66" s="71">
        <v>0.05</v>
      </c>
      <c r="L66" s="11">
        <v>0.2</v>
      </c>
      <c r="M66" s="72">
        <v>0.35</v>
      </c>
      <c r="N66" s="71">
        <v>0.05</v>
      </c>
      <c r="O66" s="11">
        <v>0.3</v>
      </c>
      <c r="P66" s="72">
        <v>0.6</v>
      </c>
      <c r="Q66" s="71">
        <v>0.1</v>
      </c>
      <c r="R66" s="11">
        <v>0.25</v>
      </c>
      <c r="S66" s="72">
        <v>0.5</v>
      </c>
      <c r="T66" s="71">
        <v>0.05</v>
      </c>
      <c r="U66" s="11">
        <v>0.1</v>
      </c>
      <c r="V66" s="72">
        <v>0.2</v>
      </c>
      <c r="W66" s="71">
        <v>0.1</v>
      </c>
      <c r="X66" s="11">
        <v>0.2</v>
      </c>
      <c r="Y66" s="72">
        <v>0.35</v>
      </c>
      <c r="Z66" s="314">
        <v>0.1</v>
      </c>
      <c r="AA66" s="269">
        <v>0.2</v>
      </c>
      <c r="AB66" s="315">
        <v>0.35</v>
      </c>
      <c r="AC66" s="71">
        <v>0.05</v>
      </c>
      <c r="AD66" s="11">
        <v>0.1</v>
      </c>
      <c r="AE66" s="72">
        <v>0.2</v>
      </c>
      <c r="AF66" s="71">
        <v>0.05</v>
      </c>
      <c r="AG66" s="11">
        <v>0.1</v>
      </c>
      <c r="AH66" s="72">
        <v>0.2</v>
      </c>
      <c r="AI66" s="314">
        <v>0.1</v>
      </c>
      <c r="AJ66" s="269">
        <v>0.25</v>
      </c>
      <c r="AK66" s="315">
        <v>0.45</v>
      </c>
      <c r="AL66" s="314">
        <v>0</v>
      </c>
      <c r="AM66" s="269">
        <v>0.1</v>
      </c>
      <c r="AN66" s="315">
        <v>0.2</v>
      </c>
      <c r="AO66" s="71">
        <v>0.1</v>
      </c>
      <c r="AP66" s="11">
        <v>0.25</v>
      </c>
      <c r="AQ66" s="72">
        <v>0.4</v>
      </c>
      <c r="AR66" s="71">
        <v>0.05</v>
      </c>
      <c r="AS66" s="11">
        <v>0.1</v>
      </c>
      <c r="AT66" s="72">
        <v>0.15</v>
      </c>
      <c r="AU66" s="71">
        <v>0.05</v>
      </c>
      <c r="AV66" s="11">
        <v>0.15</v>
      </c>
      <c r="AW66" s="72">
        <v>0.3</v>
      </c>
      <c r="AX66" s="71">
        <v>0</v>
      </c>
      <c r="AY66" s="11">
        <v>0</v>
      </c>
      <c r="AZ66" s="72">
        <v>0.05</v>
      </c>
      <c r="BA66" s="71">
        <v>0.05</v>
      </c>
      <c r="BB66" s="11">
        <v>0.15</v>
      </c>
      <c r="BC66" s="72">
        <v>0.3</v>
      </c>
      <c r="BD66" s="71">
        <v>0.1</v>
      </c>
      <c r="BE66" s="11">
        <v>0.25</v>
      </c>
      <c r="BF66" s="72">
        <v>0.4</v>
      </c>
      <c r="BG66" s="71">
        <v>0.05</v>
      </c>
      <c r="BH66" s="11">
        <v>0.05</v>
      </c>
      <c r="BI66" s="72">
        <v>0.1</v>
      </c>
      <c r="BJ66" s="71">
        <v>0.05</v>
      </c>
      <c r="BK66" s="11">
        <v>0.15</v>
      </c>
      <c r="BL66" s="72">
        <v>0.3</v>
      </c>
      <c r="BM66" s="314">
        <v>-0.05</v>
      </c>
      <c r="BN66" s="269">
        <v>-0.05</v>
      </c>
      <c r="BO66" s="315">
        <v>0.05</v>
      </c>
      <c r="BP66" s="71">
        <v>0.05</v>
      </c>
      <c r="BQ66" s="11">
        <v>0.05</v>
      </c>
      <c r="BR66" s="72">
        <v>0.1</v>
      </c>
      <c r="BS66" s="71">
        <v>0.05</v>
      </c>
      <c r="BT66" s="11">
        <v>0.15</v>
      </c>
      <c r="BU66" s="72">
        <v>0.25</v>
      </c>
      <c r="BV66" s="71">
        <v>0</v>
      </c>
      <c r="BW66" s="11">
        <v>0.05</v>
      </c>
      <c r="BX66" s="72">
        <v>0.1</v>
      </c>
      <c r="BY66" s="71">
        <v>0.1</v>
      </c>
      <c r="BZ66" s="11">
        <v>0.25</v>
      </c>
      <c r="CA66" s="72">
        <v>0.45</v>
      </c>
      <c r="CB66" s="71">
        <v>0.05</v>
      </c>
      <c r="CC66" s="11">
        <v>0.2</v>
      </c>
      <c r="CD66" s="72">
        <v>0.3</v>
      </c>
      <c r="CE66" s="71">
        <v>0</v>
      </c>
      <c r="CF66" s="11">
        <v>0</v>
      </c>
      <c r="CG66" s="72">
        <v>0.05</v>
      </c>
    </row>
    <row r="67" spans="2:85">
      <c r="D67" s="80" t="s">
        <v>35</v>
      </c>
      <c r="E67" s="71">
        <v>0.15</v>
      </c>
      <c r="F67" s="11">
        <v>0.5</v>
      </c>
      <c r="G67" s="72">
        <v>0.85</v>
      </c>
      <c r="H67" s="71">
        <v>0.05</v>
      </c>
      <c r="I67" s="11">
        <v>0.4</v>
      </c>
      <c r="J67" s="72">
        <v>0.65</v>
      </c>
      <c r="K67" s="71">
        <v>0.1</v>
      </c>
      <c r="L67" s="11">
        <v>0.25</v>
      </c>
      <c r="M67" s="72">
        <v>0.4</v>
      </c>
      <c r="N67" s="71">
        <v>0.15</v>
      </c>
      <c r="O67" s="11">
        <v>0.3</v>
      </c>
      <c r="P67" s="72">
        <v>0.6</v>
      </c>
      <c r="Q67" s="71">
        <v>0.15</v>
      </c>
      <c r="R67" s="11">
        <v>0.3</v>
      </c>
      <c r="S67" s="72">
        <v>0.45</v>
      </c>
      <c r="T67" s="71">
        <v>0.1</v>
      </c>
      <c r="U67" s="11">
        <v>0.15</v>
      </c>
      <c r="V67" s="72">
        <v>0.2</v>
      </c>
      <c r="W67" s="71">
        <v>0.1</v>
      </c>
      <c r="X67" s="11">
        <v>0.25</v>
      </c>
      <c r="Y67" s="72">
        <v>0.35</v>
      </c>
      <c r="Z67" s="314">
        <v>0.1</v>
      </c>
      <c r="AA67" s="269">
        <v>0.25</v>
      </c>
      <c r="AB67" s="315">
        <v>0.35</v>
      </c>
      <c r="AC67" s="71">
        <v>0.1</v>
      </c>
      <c r="AD67" s="11">
        <v>0.15</v>
      </c>
      <c r="AE67" s="72">
        <v>0.2</v>
      </c>
      <c r="AF67" s="71">
        <v>0.1</v>
      </c>
      <c r="AG67" s="11">
        <v>0.15</v>
      </c>
      <c r="AH67" s="72">
        <v>0.25</v>
      </c>
      <c r="AI67" s="314">
        <v>0.1</v>
      </c>
      <c r="AJ67" s="269">
        <v>0.25</v>
      </c>
      <c r="AK67" s="315">
        <v>0.4</v>
      </c>
      <c r="AL67" s="314">
        <v>0.05</v>
      </c>
      <c r="AM67" s="269">
        <v>0.1</v>
      </c>
      <c r="AN67" s="315">
        <v>0.2</v>
      </c>
      <c r="AO67" s="71">
        <v>0.1</v>
      </c>
      <c r="AP67" s="11">
        <v>0.25</v>
      </c>
      <c r="AQ67" s="72">
        <v>0.4</v>
      </c>
      <c r="AR67" s="71">
        <v>0.1</v>
      </c>
      <c r="AS67" s="11">
        <v>0.1</v>
      </c>
      <c r="AT67" s="72">
        <v>0.2</v>
      </c>
      <c r="AU67" s="71">
        <v>0.1</v>
      </c>
      <c r="AV67" s="11">
        <v>0.2</v>
      </c>
      <c r="AW67" s="72">
        <v>0.3</v>
      </c>
      <c r="AX67" s="71">
        <v>0.05</v>
      </c>
      <c r="AY67" s="11">
        <v>0.1</v>
      </c>
      <c r="AZ67" s="72">
        <v>0.1</v>
      </c>
      <c r="BA67" s="71">
        <v>0.1</v>
      </c>
      <c r="BB67" s="11">
        <v>0.15</v>
      </c>
      <c r="BC67" s="72">
        <v>0.3</v>
      </c>
      <c r="BD67" s="71">
        <v>0.1</v>
      </c>
      <c r="BE67" s="11">
        <v>0.25</v>
      </c>
      <c r="BF67" s="72">
        <v>0.4</v>
      </c>
      <c r="BG67" s="71">
        <v>0.05</v>
      </c>
      <c r="BH67" s="11">
        <v>0.1</v>
      </c>
      <c r="BI67" s="72">
        <v>0.15</v>
      </c>
      <c r="BJ67" s="71">
        <v>0.1</v>
      </c>
      <c r="BK67" s="11">
        <v>0.15</v>
      </c>
      <c r="BL67" s="72">
        <v>0.35</v>
      </c>
      <c r="BM67" s="314">
        <v>0</v>
      </c>
      <c r="BN67" s="269">
        <v>0</v>
      </c>
      <c r="BO67" s="315">
        <v>0.1</v>
      </c>
      <c r="BP67" s="71">
        <v>0.05</v>
      </c>
      <c r="BQ67" s="11">
        <v>0.05</v>
      </c>
      <c r="BR67" s="72">
        <v>0.15</v>
      </c>
      <c r="BS67" s="71">
        <v>0.1</v>
      </c>
      <c r="BT67" s="11">
        <v>0.15</v>
      </c>
      <c r="BU67" s="72">
        <v>0.3</v>
      </c>
      <c r="BV67" s="71">
        <v>0.1</v>
      </c>
      <c r="BW67" s="11">
        <v>0.1</v>
      </c>
      <c r="BX67" s="72">
        <v>0.15</v>
      </c>
      <c r="BY67" s="71">
        <v>0.1</v>
      </c>
      <c r="BZ67" s="11">
        <v>0.25</v>
      </c>
      <c r="CA67" s="72">
        <v>0.45</v>
      </c>
      <c r="CB67" s="71">
        <v>0.1</v>
      </c>
      <c r="CC67" s="11">
        <v>0.2</v>
      </c>
      <c r="CD67" s="72">
        <v>0.35</v>
      </c>
      <c r="CE67" s="71">
        <v>0.1</v>
      </c>
      <c r="CF67" s="11">
        <v>0.05</v>
      </c>
      <c r="CG67" s="72">
        <v>0.1</v>
      </c>
    </row>
    <row r="68" spans="2:85">
      <c r="D68" s="80" t="s">
        <v>36</v>
      </c>
      <c r="E68" s="71">
        <v>0.1</v>
      </c>
      <c r="F68" s="11">
        <v>0.4</v>
      </c>
      <c r="G68" s="72">
        <v>0.75</v>
      </c>
      <c r="H68" s="71">
        <v>0.05</v>
      </c>
      <c r="I68" s="11">
        <v>0.35</v>
      </c>
      <c r="J68" s="72">
        <v>0.55000000000000004</v>
      </c>
      <c r="K68" s="71">
        <v>0.1</v>
      </c>
      <c r="L68" s="11">
        <v>0.2</v>
      </c>
      <c r="M68" s="72">
        <v>0.35</v>
      </c>
      <c r="N68" s="71">
        <v>0.1</v>
      </c>
      <c r="O68" s="11">
        <v>0.3</v>
      </c>
      <c r="P68" s="72">
        <v>0.6</v>
      </c>
      <c r="Q68" s="71">
        <v>0.1</v>
      </c>
      <c r="R68" s="11">
        <v>0.2</v>
      </c>
      <c r="S68" s="72">
        <v>0.4</v>
      </c>
      <c r="T68" s="71">
        <v>0.1</v>
      </c>
      <c r="U68" s="11">
        <v>0.15</v>
      </c>
      <c r="V68" s="72">
        <v>0.2</v>
      </c>
      <c r="W68" s="71">
        <v>0.1</v>
      </c>
      <c r="X68" s="11">
        <v>0.2</v>
      </c>
      <c r="Y68" s="72">
        <v>0.35</v>
      </c>
      <c r="Z68" s="314">
        <v>0.1</v>
      </c>
      <c r="AA68" s="269">
        <v>0.2</v>
      </c>
      <c r="AB68" s="315">
        <v>0.35</v>
      </c>
      <c r="AC68" s="71">
        <v>0.1</v>
      </c>
      <c r="AD68" s="11">
        <v>0.15</v>
      </c>
      <c r="AE68" s="72">
        <v>0.2</v>
      </c>
      <c r="AF68" s="71">
        <v>0.1</v>
      </c>
      <c r="AG68" s="11">
        <v>0.15</v>
      </c>
      <c r="AH68" s="72">
        <v>0.2</v>
      </c>
      <c r="AI68" s="314">
        <v>0.1</v>
      </c>
      <c r="AJ68" s="269">
        <v>0.25</v>
      </c>
      <c r="AK68" s="315">
        <v>0.4</v>
      </c>
      <c r="AL68" s="314">
        <v>0.1</v>
      </c>
      <c r="AM68" s="269">
        <v>0.1</v>
      </c>
      <c r="AN68" s="315">
        <v>0.15</v>
      </c>
      <c r="AO68" s="71">
        <v>0.05</v>
      </c>
      <c r="AP68" s="11">
        <v>0.2</v>
      </c>
      <c r="AQ68" s="72">
        <v>0.35</v>
      </c>
      <c r="AR68" s="71">
        <v>0.05</v>
      </c>
      <c r="AS68" s="11">
        <v>0.1</v>
      </c>
      <c r="AT68" s="72">
        <v>0.15</v>
      </c>
      <c r="AU68" s="71">
        <v>0.1</v>
      </c>
      <c r="AV68" s="11">
        <v>0.15</v>
      </c>
      <c r="AW68" s="72">
        <v>0.25</v>
      </c>
      <c r="AX68" s="71">
        <v>0.1</v>
      </c>
      <c r="AY68" s="11">
        <v>0.1</v>
      </c>
      <c r="AZ68" s="72">
        <v>0.1</v>
      </c>
      <c r="BA68" s="71">
        <v>0.05</v>
      </c>
      <c r="BB68" s="11">
        <v>0.15</v>
      </c>
      <c r="BC68" s="72">
        <v>0.3</v>
      </c>
      <c r="BD68" s="71">
        <v>0.05</v>
      </c>
      <c r="BE68" s="11">
        <v>0.2</v>
      </c>
      <c r="BF68" s="72">
        <v>0.35</v>
      </c>
      <c r="BG68" s="71">
        <v>0.1</v>
      </c>
      <c r="BH68" s="11">
        <v>0.1</v>
      </c>
      <c r="BI68" s="72">
        <v>0.15</v>
      </c>
      <c r="BJ68" s="71">
        <v>0.1</v>
      </c>
      <c r="BK68" s="11">
        <v>0.15</v>
      </c>
      <c r="BL68" s="72">
        <v>0.3</v>
      </c>
      <c r="BM68" s="314">
        <v>0.05</v>
      </c>
      <c r="BN68" s="269">
        <v>0.05</v>
      </c>
      <c r="BO68" s="315">
        <v>-0.05</v>
      </c>
      <c r="BP68" s="71">
        <v>0.1</v>
      </c>
      <c r="BQ68" s="11">
        <v>0.1</v>
      </c>
      <c r="BR68" s="72">
        <v>0.15</v>
      </c>
      <c r="BS68" s="71">
        <v>0.1</v>
      </c>
      <c r="BT68" s="11">
        <v>0.2</v>
      </c>
      <c r="BU68" s="72">
        <v>0.3</v>
      </c>
      <c r="BV68" s="71">
        <v>0.1</v>
      </c>
      <c r="BW68" s="11">
        <v>0.05</v>
      </c>
      <c r="BX68" s="72">
        <v>0.1</v>
      </c>
      <c r="BY68" s="71">
        <v>0.05</v>
      </c>
      <c r="BZ68" s="11">
        <v>0.2</v>
      </c>
      <c r="CA68" s="72">
        <v>0.4</v>
      </c>
      <c r="CB68" s="71">
        <v>0.05</v>
      </c>
      <c r="CC68" s="11">
        <v>0.15</v>
      </c>
      <c r="CD68" s="72">
        <v>0.3</v>
      </c>
      <c r="CE68" s="71">
        <v>0.05</v>
      </c>
      <c r="CF68" s="11">
        <v>0.05</v>
      </c>
      <c r="CG68" s="72">
        <v>0.05</v>
      </c>
    </row>
    <row r="69" spans="2:85">
      <c r="D69" s="80" t="s">
        <v>42</v>
      </c>
      <c r="E69" s="71">
        <v>-0.05</v>
      </c>
      <c r="F69" s="11">
        <v>0.15</v>
      </c>
      <c r="G69" s="72">
        <v>0.55000000000000004</v>
      </c>
      <c r="H69" s="71">
        <v>-0.1</v>
      </c>
      <c r="I69" s="11">
        <v>0.2</v>
      </c>
      <c r="J69" s="72">
        <v>0.45</v>
      </c>
      <c r="K69" s="71">
        <v>0</v>
      </c>
      <c r="L69" s="11">
        <v>0.15</v>
      </c>
      <c r="M69" s="72">
        <v>0.35</v>
      </c>
      <c r="N69" s="71">
        <v>-0.05</v>
      </c>
      <c r="O69" s="11">
        <v>0.15</v>
      </c>
      <c r="P69" s="72">
        <v>0.45</v>
      </c>
      <c r="Q69" s="71">
        <v>-0.05</v>
      </c>
      <c r="R69" s="11">
        <v>0.1</v>
      </c>
      <c r="S69" s="72">
        <v>0.35</v>
      </c>
      <c r="T69" s="71">
        <v>-0.05</v>
      </c>
      <c r="U69" s="11">
        <v>0</v>
      </c>
      <c r="V69" s="72">
        <v>0.1</v>
      </c>
      <c r="W69" s="71">
        <v>0</v>
      </c>
      <c r="X69" s="11">
        <v>0.1</v>
      </c>
      <c r="Y69" s="72">
        <v>0.25</v>
      </c>
      <c r="Z69" s="314">
        <v>0</v>
      </c>
      <c r="AA69" s="269">
        <v>0.1</v>
      </c>
      <c r="AB69" s="315">
        <v>0.25</v>
      </c>
      <c r="AC69" s="71">
        <v>-0.05</v>
      </c>
      <c r="AD69" s="11">
        <v>0</v>
      </c>
      <c r="AE69" s="72">
        <v>0.1</v>
      </c>
      <c r="AF69" s="71">
        <v>0</v>
      </c>
      <c r="AG69" s="11">
        <v>0.05</v>
      </c>
      <c r="AH69" s="72">
        <v>0.15</v>
      </c>
      <c r="AI69" s="314">
        <v>0</v>
      </c>
      <c r="AJ69" s="269">
        <v>0.2</v>
      </c>
      <c r="AK69" s="315">
        <v>0.35</v>
      </c>
      <c r="AL69" s="314">
        <v>-0.05</v>
      </c>
      <c r="AM69" s="269">
        <v>0</v>
      </c>
      <c r="AN69" s="315">
        <v>0.1</v>
      </c>
      <c r="AO69" s="71">
        <v>0</v>
      </c>
      <c r="AP69" s="11">
        <v>0.15</v>
      </c>
      <c r="AQ69" s="72">
        <v>0.35</v>
      </c>
      <c r="AR69" s="71">
        <v>-0.05</v>
      </c>
      <c r="AS69" s="11">
        <v>0.05</v>
      </c>
      <c r="AT69" s="72">
        <v>0.1</v>
      </c>
      <c r="AU69" s="71">
        <v>-0.05</v>
      </c>
      <c r="AV69" s="11">
        <v>0.1</v>
      </c>
      <c r="AW69" s="72">
        <v>0.2</v>
      </c>
      <c r="AX69" s="71">
        <v>-0.05</v>
      </c>
      <c r="AY69" s="11">
        <v>-0.05</v>
      </c>
      <c r="AZ69" s="72">
        <v>0</v>
      </c>
      <c r="BA69" s="71">
        <v>0</v>
      </c>
      <c r="BB69" s="11">
        <v>0.1</v>
      </c>
      <c r="BC69" s="72">
        <v>0.25</v>
      </c>
      <c r="BD69" s="71">
        <v>0</v>
      </c>
      <c r="BE69" s="11">
        <v>0.15</v>
      </c>
      <c r="BF69" s="72">
        <v>0.3</v>
      </c>
      <c r="BG69" s="71">
        <v>0</v>
      </c>
      <c r="BH69" s="11">
        <v>0.05</v>
      </c>
      <c r="BI69" s="72">
        <v>0.1</v>
      </c>
      <c r="BJ69" s="71">
        <v>-0.05</v>
      </c>
      <c r="BK69" s="11">
        <v>0.1</v>
      </c>
      <c r="BL69" s="72">
        <v>0.25</v>
      </c>
      <c r="BM69" s="314">
        <v>-0.05</v>
      </c>
      <c r="BN69" s="269">
        <v>-0.1</v>
      </c>
      <c r="BO69" s="315">
        <v>0</v>
      </c>
      <c r="BP69" s="71">
        <v>-0.05</v>
      </c>
      <c r="BQ69" s="11">
        <v>0</v>
      </c>
      <c r="BR69" s="72">
        <v>0.05</v>
      </c>
      <c r="BS69" s="71">
        <v>-0.05</v>
      </c>
      <c r="BT69" s="11">
        <v>0.05</v>
      </c>
      <c r="BU69" s="72">
        <v>0.2</v>
      </c>
      <c r="BV69" s="71">
        <v>-0.1</v>
      </c>
      <c r="BW69" s="11">
        <v>-0.05</v>
      </c>
      <c r="BX69" s="72">
        <v>0.05</v>
      </c>
      <c r="BY69" s="71">
        <v>0</v>
      </c>
      <c r="BZ69" s="11">
        <v>0.2</v>
      </c>
      <c r="CA69" s="72">
        <v>0.35</v>
      </c>
      <c r="CB69" s="71">
        <v>0</v>
      </c>
      <c r="CC69" s="11">
        <v>0.1</v>
      </c>
      <c r="CD69" s="72">
        <v>0.25</v>
      </c>
      <c r="CE69" s="71">
        <v>-0.1</v>
      </c>
      <c r="CF69" s="11">
        <v>-0.05</v>
      </c>
      <c r="CG69" s="72">
        <v>0</v>
      </c>
    </row>
    <row r="70" spans="2:85">
      <c r="D70" s="80" t="s">
        <v>41</v>
      </c>
      <c r="E70" s="71">
        <v>0</v>
      </c>
      <c r="F70" s="11">
        <v>0.3</v>
      </c>
      <c r="G70" s="72">
        <v>0.6</v>
      </c>
      <c r="H70" s="71">
        <v>0</v>
      </c>
      <c r="I70" s="11">
        <v>0.2</v>
      </c>
      <c r="J70" s="72">
        <v>0.5</v>
      </c>
      <c r="K70" s="71">
        <v>0</v>
      </c>
      <c r="L70" s="11">
        <v>0.15</v>
      </c>
      <c r="M70" s="72">
        <v>0.3</v>
      </c>
      <c r="N70" s="71">
        <v>0</v>
      </c>
      <c r="O70" s="11">
        <v>0.2</v>
      </c>
      <c r="P70" s="72">
        <v>0.5</v>
      </c>
      <c r="Q70" s="71">
        <v>0</v>
      </c>
      <c r="R70" s="11">
        <v>0.15</v>
      </c>
      <c r="S70" s="72">
        <v>0.35</v>
      </c>
      <c r="T70" s="71">
        <v>0</v>
      </c>
      <c r="U70" s="11">
        <v>0.05</v>
      </c>
      <c r="V70" s="72">
        <v>0.1</v>
      </c>
      <c r="W70" s="71">
        <v>0</v>
      </c>
      <c r="X70" s="11">
        <v>0.15</v>
      </c>
      <c r="Y70" s="72">
        <v>0.25</v>
      </c>
      <c r="Z70" s="314">
        <v>0</v>
      </c>
      <c r="AA70" s="269">
        <v>0.15</v>
      </c>
      <c r="AB70" s="315">
        <v>0.25</v>
      </c>
      <c r="AC70" s="71">
        <v>0</v>
      </c>
      <c r="AD70" s="11">
        <v>0.05</v>
      </c>
      <c r="AE70" s="72">
        <v>0.15</v>
      </c>
      <c r="AF70" s="71">
        <v>0</v>
      </c>
      <c r="AG70" s="11">
        <v>0.05</v>
      </c>
      <c r="AH70" s="72">
        <v>0.15</v>
      </c>
      <c r="AI70" s="314">
        <v>0</v>
      </c>
      <c r="AJ70" s="269">
        <v>0.2</v>
      </c>
      <c r="AK70" s="315">
        <v>0.35</v>
      </c>
      <c r="AL70" s="314">
        <v>0</v>
      </c>
      <c r="AM70" s="269">
        <v>0.05</v>
      </c>
      <c r="AN70" s="315">
        <v>0.15</v>
      </c>
      <c r="AO70" s="71">
        <v>0</v>
      </c>
      <c r="AP70" s="11">
        <v>0.2</v>
      </c>
      <c r="AQ70" s="72">
        <v>0.35</v>
      </c>
      <c r="AR70" s="71">
        <v>0</v>
      </c>
      <c r="AS70" s="11">
        <v>0.05</v>
      </c>
      <c r="AT70" s="72">
        <v>0.15</v>
      </c>
      <c r="AU70" s="71">
        <v>0</v>
      </c>
      <c r="AV70" s="11">
        <v>0.1</v>
      </c>
      <c r="AW70" s="72">
        <v>0.25</v>
      </c>
      <c r="AX70" s="71">
        <v>0</v>
      </c>
      <c r="AY70" s="11">
        <v>0.05</v>
      </c>
      <c r="AZ70" s="72">
        <v>0.05</v>
      </c>
      <c r="BA70" s="71">
        <v>0</v>
      </c>
      <c r="BB70" s="11">
        <v>0.15</v>
      </c>
      <c r="BC70" s="72">
        <v>0.25</v>
      </c>
      <c r="BD70" s="71">
        <v>0</v>
      </c>
      <c r="BE70" s="11">
        <v>0.15</v>
      </c>
      <c r="BF70" s="72">
        <v>0.35</v>
      </c>
      <c r="BG70" s="71">
        <v>0</v>
      </c>
      <c r="BH70" s="11">
        <v>0.05</v>
      </c>
      <c r="BI70" s="72">
        <v>0.1</v>
      </c>
      <c r="BJ70" s="71">
        <v>0</v>
      </c>
      <c r="BK70" s="11">
        <v>0.1</v>
      </c>
      <c r="BL70" s="72">
        <v>0.25</v>
      </c>
      <c r="BM70" s="314">
        <v>0</v>
      </c>
      <c r="BN70" s="269">
        <v>0.1</v>
      </c>
      <c r="BO70" s="315">
        <v>0.05</v>
      </c>
      <c r="BP70" s="71">
        <v>0</v>
      </c>
      <c r="BQ70" s="11">
        <v>0.05</v>
      </c>
      <c r="BR70" s="72">
        <v>0.1</v>
      </c>
      <c r="BS70" s="71">
        <v>0</v>
      </c>
      <c r="BT70" s="11">
        <v>0.1</v>
      </c>
      <c r="BU70" s="72">
        <v>0.2</v>
      </c>
      <c r="BV70" s="71">
        <v>0</v>
      </c>
      <c r="BW70" s="11">
        <v>0</v>
      </c>
      <c r="BX70" s="72">
        <v>0.1</v>
      </c>
      <c r="BY70" s="71">
        <v>0</v>
      </c>
      <c r="BZ70" s="11">
        <v>0.2</v>
      </c>
      <c r="CA70" s="72">
        <v>0.4</v>
      </c>
      <c r="CB70" s="71">
        <v>0</v>
      </c>
      <c r="CC70" s="11">
        <v>0.15</v>
      </c>
      <c r="CD70" s="72">
        <v>0.25</v>
      </c>
      <c r="CE70" s="71">
        <v>0</v>
      </c>
      <c r="CF70" s="11">
        <v>0</v>
      </c>
      <c r="CG70" s="72">
        <v>0.05</v>
      </c>
    </row>
    <row r="71" spans="2:85" ht="17.25">
      <c r="B71" s="8"/>
      <c r="D71" s="80" t="s">
        <v>40</v>
      </c>
      <c r="E71" s="71">
        <v>-0.1</v>
      </c>
      <c r="F71" s="11">
        <v>0.05</v>
      </c>
      <c r="G71" s="72">
        <v>0.35</v>
      </c>
      <c r="H71" s="71">
        <v>-0.15</v>
      </c>
      <c r="I71" s="11">
        <v>0.05</v>
      </c>
      <c r="J71" s="72">
        <v>0.3</v>
      </c>
      <c r="K71" s="71">
        <v>0</v>
      </c>
      <c r="L71" s="11">
        <v>0.05</v>
      </c>
      <c r="M71" s="72">
        <v>0.2</v>
      </c>
      <c r="N71" s="71">
        <v>-0.05</v>
      </c>
      <c r="O71" s="11">
        <v>0.1</v>
      </c>
      <c r="P71" s="72">
        <v>0.35</v>
      </c>
      <c r="Q71" s="71">
        <v>-0.05</v>
      </c>
      <c r="R71" s="11">
        <v>0.05</v>
      </c>
      <c r="S71" s="72">
        <v>0.2</v>
      </c>
      <c r="T71" s="71">
        <v>0</v>
      </c>
      <c r="U71" s="11">
        <v>0</v>
      </c>
      <c r="V71" s="72">
        <v>0.1</v>
      </c>
      <c r="W71" s="71">
        <v>0</v>
      </c>
      <c r="X71" s="11">
        <v>0.1</v>
      </c>
      <c r="Y71" s="72">
        <v>0.2</v>
      </c>
      <c r="Z71" s="314">
        <v>0</v>
      </c>
      <c r="AA71" s="269">
        <v>0.1</v>
      </c>
      <c r="AB71" s="315">
        <v>0.2</v>
      </c>
      <c r="AC71" s="71">
        <v>0.05</v>
      </c>
      <c r="AD71" s="11">
        <v>0.05</v>
      </c>
      <c r="AE71" s="72">
        <v>0.1</v>
      </c>
      <c r="AF71" s="71">
        <v>0</v>
      </c>
      <c r="AG71" s="11">
        <v>0.05</v>
      </c>
      <c r="AH71" s="72">
        <v>0.1</v>
      </c>
      <c r="AI71" s="314">
        <v>-0.05</v>
      </c>
      <c r="AJ71" s="269">
        <v>0.1</v>
      </c>
      <c r="AK71" s="315">
        <v>0.25</v>
      </c>
      <c r="AL71" s="314">
        <v>0.05</v>
      </c>
      <c r="AM71" s="269">
        <v>0.05</v>
      </c>
      <c r="AN71" s="315">
        <v>0.1</v>
      </c>
      <c r="AO71" s="71">
        <v>-0.05</v>
      </c>
      <c r="AP71" s="11">
        <v>0.05</v>
      </c>
      <c r="AQ71" s="72">
        <v>0.2</v>
      </c>
      <c r="AR71" s="71">
        <v>0</v>
      </c>
      <c r="AS71" s="11">
        <v>0.05</v>
      </c>
      <c r="AT71" s="72">
        <v>0.05</v>
      </c>
      <c r="AU71" s="71">
        <v>0</v>
      </c>
      <c r="AV71" s="11">
        <v>0.05</v>
      </c>
      <c r="AW71" s="72">
        <v>0.15</v>
      </c>
      <c r="AX71" s="71">
        <v>0.05</v>
      </c>
      <c r="AY71" s="11">
        <v>0.05</v>
      </c>
      <c r="AZ71" s="72">
        <v>0.05</v>
      </c>
      <c r="BA71" s="71">
        <v>-0.05</v>
      </c>
      <c r="BB71" s="11">
        <v>0.05</v>
      </c>
      <c r="BC71" s="72">
        <v>0.15</v>
      </c>
      <c r="BD71" s="71">
        <v>-0.05</v>
      </c>
      <c r="BE71" s="11">
        <v>0.1</v>
      </c>
      <c r="BF71" s="72">
        <v>0.2</v>
      </c>
      <c r="BG71" s="71">
        <v>0.05</v>
      </c>
      <c r="BH71" s="11">
        <v>0.05</v>
      </c>
      <c r="BI71" s="72">
        <v>0.1</v>
      </c>
      <c r="BJ71" s="71">
        <v>-0.05</v>
      </c>
      <c r="BK71" s="11">
        <v>0.05</v>
      </c>
      <c r="BL71" s="72">
        <v>0.15</v>
      </c>
      <c r="BM71" s="314">
        <v>0</v>
      </c>
      <c r="BN71" s="269">
        <v>0.2</v>
      </c>
      <c r="BO71" s="315">
        <v>0.15</v>
      </c>
      <c r="BP71" s="71">
        <v>0.05</v>
      </c>
      <c r="BQ71" s="11">
        <v>0.05</v>
      </c>
      <c r="BR71" s="72">
        <v>0.05</v>
      </c>
      <c r="BS71" s="71">
        <v>0</v>
      </c>
      <c r="BT71" s="11">
        <v>0.05</v>
      </c>
      <c r="BU71" s="72">
        <v>0.1</v>
      </c>
      <c r="BV71" s="71">
        <v>0</v>
      </c>
      <c r="BW71" s="11">
        <v>-0.05</v>
      </c>
      <c r="BX71" s="72">
        <v>0</v>
      </c>
      <c r="BY71" s="71">
        <v>-0.05</v>
      </c>
      <c r="BZ71" s="11">
        <v>0.1</v>
      </c>
      <c r="CA71" s="72">
        <v>0.25</v>
      </c>
      <c r="CB71" s="71">
        <v>0</v>
      </c>
      <c r="CC71" s="11">
        <v>0.05</v>
      </c>
      <c r="CD71" s="72">
        <v>0.2</v>
      </c>
      <c r="CE71" s="71">
        <v>0.05</v>
      </c>
      <c r="CF71" s="11">
        <v>-0.05</v>
      </c>
      <c r="CG71" s="72">
        <v>0</v>
      </c>
    </row>
    <row r="72" spans="2:85" ht="17.25">
      <c r="B72" s="8"/>
      <c r="D72" s="80" t="s">
        <v>38</v>
      </c>
      <c r="E72" s="71">
        <v>-0.1</v>
      </c>
      <c r="F72" s="11">
        <v>0</v>
      </c>
      <c r="G72" s="72">
        <v>0.25</v>
      </c>
      <c r="H72" s="71">
        <v>-0.1</v>
      </c>
      <c r="I72" s="11">
        <v>0.05</v>
      </c>
      <c r="J72" s="72">
        <v>0.3</v>
      </c>
      <c r="K72" s="71">
        <v>0.15</v>
      </c>
      <c r="L72" s="11">
        <v>0.1</v>
      </c>
      <c r="M72" s="72">
        <v>0.25</v>
      </c>
      <c r="N72" s="71">
        <v>0.4</v>
      </c>
      <c r="O72" s="11">
        <v>0.3</v>
      </c>
      <c r="P72" s="72">
        <v>0.35</v>
      </c>
      <c r="Q72" s="71">
        <v>0.15</v>
      </c>
      <c r="R72" s="11">
        <v>0.1</v>
      </c>
      <c r="S72" s="72">
        <v>0.2</v>
      </c>
      <c r="T72" s="71">
        <v>0.2</v>
      </c>
      <c r="U72" s="11">
        <v>0.1</v>
      </c>
      <c r="V72" s="72">
        <v>0.1</v>
      </c>
      <c r="W72" s="71">
        <v>0.05</v>
      </c>
      <c r="X72" s="11">
        <v>0.15</v>
      </c>
      <c r="Y72" s="72">
        <v>0.25</v>
      </c>
      <c r="Z72" s="314">
        <v>0.05</v>
      </c>
      <c r="AA72" s="269">
        <v>0.15</v>
      </c>
      <c r="AB72" s="315">
        <v>0.25</v>
      </c>
      <c r="AC72" s="71">
        <v>0.15</v>
      </c>
      <c r="AD72" s="11">
        <v>0.15</v>
      </c>
      <c r="AE72" s="72">
        <v>0.15</v>
      </c>
      <c r="AF72" s="71">
        <v>0.1</v>
      </c>
      <c r="AG72" s="11">
        <v>0.1</v>
      </c>
      <c r="AH72" s="72">
        <v>0.15</v>
      </c>
      <c r="AI72" s="314">
        <v>0.05</v>
      </c>
      <c r="AJ72" s="269">
        <v>0.1</v>
      </c>
      <c r="AK72" s="315">
        <v>0.25</v>
      </c>
      <c r="AL72" s="314">
        <v>0.2</v>
      </c>
      <c r="AM72" s="269">
        <v>0.15</v>
      </c>
      <c r="AN72" s="315">
        <v>0.15</v>
      </c>
      <c r="AO72" s="71">
        <v>0.05</v>
      </c>
      <c r="AP72" s="11">
        <v>0.1</v>
      </c>
      <c r="AQ72" s="72">
        <v>0.2</v>
      </c>
      <c r="AR72" s="71">
        <v>0.15</v>
      </c>
      <c r="AS72" s="11">
        <v>0.1</v>
      </c>
      <c r="AT72" s="72">
        <v>0.1</v>
      </c>
      <c r="AU72" s="71">
        <v>0.1</v>
      </c>
      <c r="AV72" s="11">
        <v>0.1</v>
      </c>
      <c r="AW72" s="72">
        <v>0.15</v>
      </c>
      <c r="AX72" s="71">
        <v>0.2</v>
      </c>
      <c r="AY72" s="11">
        <v>0.15</v>
      </c>
      <c r="AZ72" s="72">
        <v>0.1</v>
      </c>
      <c r="BA72" s="71">
        <v>0</v>
      </c>
      <c r="BB72" s="11">
        <v>0.05</v>
      </c>
      <c r="BC72" s="72">
        <v>0.15</v>
      </c>
      <c r="BD72" s="71">
        <v>0</v>
      </c>
      <c r="BE72" s="11">
        <v>0.1</v>
      </c>
      <c r="BF72" s="72">
        <v>0.25</v>
      </c>
      <c r="BG72" s="71">
        <v>0.1</v>
      </c>
      <c r="BH72" s="11">
        <v>0.1</v>
      </c>
      <c r="BI72" s="72">
        <v>0.1</v>
      </c>
      <c r="BJ72" s="71">
        <v>0.1</v>
      </c>
      <c r="BK72" s="11">
        <v>0.15</v>
      </c>
      <c r="BL72" s="72">
        <v>0.2</v>
      </c>
      <c r="BM72" s="314">
        <v>0.1</v>
      </c>
      <c r="BN72" s="269">
        <v>0.25</v>
      </c>
      <c r="BO72" s="315">
        <v>0.15</v>
      </c>
      <c r="BP72" s="71">
        <v>0.15</v>
      </c>
      <c r="BQ72" s="11">
        <v>0.1</v>
      </c>
      <c r="BR72" s="72">
        <v>0.1</v>
      </c>
      <c r="BS72" s="71">
        <v>0.2</v>
      </c>
      <c r="BT72" s="11">
        <v>0.15</v>
      </c>
      <c r="BU72" s="72">
        <v>0.2</v>
      </c>
      <c r="BV72" s="71">
        <v>0.4</v>
      </c>
      <c r="BW72" s="11">
        <v>0.2</v>
      </c>
      <c r="BX72" s="72">
        <v>0.1</v>
      </c>
      <c r="BY72" s="71">
        <v>-0.05</v>
      </c>
      <c r="BZ72" s="11">
        <v>0.05</v>
      </c>
      <c r="CA72" s="72">
        <v>0.2</v>
      </c>
      <c r="CB72" s="71">
        <v>0</v>
      </c>
      <c r="CC72" s="11">
        <v>0.05</v>
      </c>
      <c r="CD72" s="72">
        <v>0.15</v>
      </c>
      <c r="CE72" s="71">
        <v>0.35</v>
      </c>
      <c r="CF72" s="11">
        <v>0.15</v>
      </c>
      <c r="CG72" s="72">
        <v>0.1</v>
      </c>
    </row>
    <row r="73" spans="2:85" ht="17.649999999999999" thickBot="1">
      <c r="B73" s="8"/>
      <c r="D73" s="80" t="s">
        <v>39</v>
      </c>
      <c r="E73" s="81">
        <v>-0.15</v>
      </c>
      <c r="F73" s="82">
        <v>-0.1</v>
      </c>
      <c r="G73" s="83">
        <v>0.15</v>
      </c>
      <c r="H73" s="81">
        <v>-0.15</v>
      </c>
      <c r="I73" s="82">
        <v>-0.1</v>
      </c>
      <c r="J73" s="83">
        <v>0.15</v>
      </c>
      <c r="K73" s="81">
        <v>0.15</v>
      </c>
      <c r="L73" s="82">
        <v>-0.05</v>
      </c>
      <c r="M73" s="83">
        <v>0.1</v>
      </c>
      <c r="N73" s="81">
        <v>0.3</v>
      </c>
      <c r="O73" s="82">
        <v>0.1</v>
      </c>
      <c r="P73" s="83">
        <v>0.15</v>
      </c>
      <c r="Q73" s="81">
        <v>0.05</v>
      </c>
      <c r="R73" s="82">
        <v>0</v>
      </c>
      <c r="S73" s="83">
        <v>0.05</v>
      </c>
      <c r="T73" s="81">
        <v>0.15</v>
      </c>
      <c r="U73" s="82">
        <v>0.05</v>
      </c>
      <c r="V73" s="83">
        <v>0</v>
      </c>
      <c r="W73" s="81">
        <v>0</v>
      </c>
      <c r="X73" s="82">
        <v>0.05</v>
      </c>
      <c r="Y73" s="83">
        <v>0.1</v>
      </c>
      <c r="Z73" s="316">
        <v>0</v>
      </c>
      <c r="AA73" s="317">
        <v>0.05</v>
      </c>
      <c r="AB73" s="318">
        <v>0.1</v>
      </c>
      <c r="AC73" s="81">
        <v>0.1</v>
      </c>
      <c r="AD73" s="82">
        <v>0.1</v>
      </c>
      <c r="AE73" s="83">
        <v>0.05</v>
      </c>
      <c r="AF73" s="81">
        <v>0.1</v>
      </c>
      <c r="AG73" s="82">
        <v>0.05</v>
      </c>
      <c r="AH73" s="83">
        <v>0.05</v>
      </c>
      <c r="AI73" s="316">
        <v>-0.05</v>
      </c>
      <c r="AJ73" s="317">
        <v>0</v>
      </c>
      <c r="AK73" s="318">
        <v>0.15</v>
      </c>
      <c r="AL73" s="316">
        <v>0.15</v>
      </c>
      <c r="AM73" s="317">
        <v>0.05</v>
      </c>
      <c r="AN73" s="318">
        <v>0.05</v>
      </c>
      <c r="AO73" s="81">
        <v>-0.05</v>
      </c>
      <c r="AP73" s="82">
        <v>0</v>
      </c>
      <c r="AQ73" s="83">
        <v>0.05</v>
      </c>
      <c r="AR73" s="81">
        <v>0.1</v>
      </c>
      <c r="AS73" s="82">
        <v>0.05</v>
      </c>
      <c r="AT73" s="83">
        <v>0.05</v>
      </c>
      <c r="AU73" s="81">
        <v>0.05</v>
      </c>
      <c r="AV73" s="82">
        <v>0</v>
      </c>
      <c r="AW73" s="83">
        <v>0.05</v>
      </c>
      <c r="AX73" s="81">
        <v>0.2</v>
      </c>
      <c r="AY73" s="82">
        <v>0.15</v>
      </c>
      <c r="AZ73" s="83">
        <v>0.1</v>
      </c>
      <c r="BA73" s="81">
        <v>-0.05</v>
      </c>
      <c r="BB73" s="82">
        <v>-0.05</v>
      </c>
      <c r="BC73" s="83">
        <v>0.05</v>
      </c>
      <c r="BD73" s="81">
        <v>-0.05</v>
      </c>
      <c r="BE73" s="82">
        <v>-0.05</v>
      </c>
      <c r="BF73" s="83">
        <v>0.1</v>
      </c>
      <c r="BG73" s="81">
        <v>0.1</v>
      </c>
      <c r="BH73" s="82">
        <v>0.05</v>
      </c>
      <c r="BI73" s="83">
        <v>0.05</v>
      </c>
      <c r="BJ73" s="81">
        <v>0.1</v>
      </c>
      <c r="BK73" s="82">
        <v>0.1</v>
      </c>
      <c r="BL73" s="83">
        <v>0.2</v>
      </c>
      <c r="BM73" s="316">
        <v>0.1</v>
      </c>
      <c r="BN73" s="317">
        <v>0</v>
      </c>
      <c r="BO73" s="318">
        <v>0</v>
      </c>
      <c r="BP73" s="81">
        <v>0.15</v>
      </c>
      <c r="BQ73" s="82">
        <v>0.1</v>
      </c>
      <c r="BR73" s="83">
        <v>0.05</v>
      </c>
      <c r="BS73" s="81">
        <v>0.15</v>
      </c>
      <c r="BT73" s="82">
        <v>0.1</v>
      </c>
      <c r="BU73" s="83">
        <v>0.1</v>
      </c>
      <c r="BV73" s="81">
        <v>0.25</v>
      </c>
      <c r="BW73" s="82">
        <v>0.05</v>
      </c>
      <c r="BX73" s="83">
        <v>0</v>
      </c>
      <c r="BY73" s="81">
        <v>-0.15</v>
      </c>
      <c r="BZ73" s="82">
        <v>-0.05</v>
      </c>
      <c r="CA73" s="83">
        <v>0.1</v>
      </c>
      <c r="CB73" s="81">
        <v>-0.05</v>
      </c>
      <c r="CC73" s="82">
        <v>0</v>
      </c>
      <c r="CD73" s="83">
        <v>0.1</v>
      </c>
      <c r="CE73" s="81">
        <v>0.25</v>
      </c>
      <c r="CF73" s="82">
        <v>0.05</v>
      </c>
      <c r="CG73" s="83">
        <v>-0.05</v>
      </c>
    </row>
    <row r="74" spans="2:85" ht="17.25">
      <c r="B74" s="8"/>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row>
    <row r="75" spans="2:85" ht="17.25">
      <c r="B75" s="8"/>
      <c r="D75" s="40" t="str">
        <f>IF(AND(usage=E64,elevation=Calcul_energie!E65,depotpc=Calcul_matiere!E4,OR(zoneclim="H2d",zoneclim="H3")),"oui","non")</f>
        <v>non</v>
      </c>
      <c r="E75" s="309">
        <f>IFERROR(INDEX(E76:E77,MATCH(zoneclim,D76:D77,0),1),"")</f>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row>
    <row r="76" spans="2:85" ht="17.25">
      <c r="B76" s="8"/>
      <c r="D76" s="80" t="s">
        <v>38</v>
      </c>
      <c r="E76" s="294">
        <v>-0.15</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row>
    <row r="77" spans="2:85" ht="17.25">
      <c r="B77" s="8"/>
      <c r="D77" s="80" t="s">
        <v>39</v>
      </c>
      <c r="E77" s="294">
        <v>-0.2</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row>
    <row r="78" spans="2:85" ht="17.649999999999999" thickBot="1">
      <c r="B78" s="8"/>
    </row>
    <row r="79" spans="2:85" ht="17.649999999999999" thickBot="1">
      <c r="B79" s="8"/>
      <c r="D79" s="7" t="s">
        <v>239</v>
      </c>
      <c r="E79" s="506">
        <f>IF(usage=Enumération!C4,(0.4*scombles)/sref,0)</f>
        <v>0</v>
      </c>
      <c r="O79" s="1" t="s">
        <v>183</v>
      </c>
      <c r="T79" s="1" t="s">
        <v>184</v>
      </c>
    </row>
    <row r="80" spans="2:85" ht="17.649999999999999" thickBot="1">
      <c r="B80" s="8"/>
      <c r="E80" s="2"/>
    </row>
    <row r="81" spans="2:42" s="319" customFormat="1" ht="85.9" thickBot="1">
      <c r="B81" s="8"/>
      <c r="D81" s="293" t="s">
        <v>240</v>
      </c>
      <c r="E81" s="505">
        <f>HLOOKUP("ICI",G84:AC85,2,FALSE)</f>
        <v>-1.1904761904761913E-2</v>
      </c>
      <c r="G81" s="320" t="str">
        <f>E64</f>
        <v>Maisons_individuelles_ou_accolées</v>
      </c>
      <c r="H81" s="321" t="str">
        <f>G81</f>
        <v>Maisons_individuelles_ou_accolées</v>
      </c>
      <c r="I81" s="321" t="str">
        <f>H81</f>
        <v>Maisons_individuelles_ou_accolées</v>
      </c>
      <c r="J81" s="322" t="str">
        <f>H64</f>
        <v>Logement_collectif</v>
      </c>
      <c r="K81" s="323" t="str">
        <f>J81</f>
        <v>Logement_collectif</v>
      </c>
      <c r="L81" s="323" t="str">
        <f>K81</f>
        <v>Logement_collectif</v>
      </c>
      <c r="M81" s="324" t="str">
        <f>L81</f>
        <v>Logement_collectif</v>
      </c>
      <c r="N81" s="325" t="str">
        <f>Enumération!E33</f>
        <v>Bureaux</v>
      </c>
      <c r="O81" s="325" t="str">
        <f>Enumération!F33</f>
        <v>Enseignement_primaire_ou_secondaire</v>
      </c>
      <c r="P81" s="325" t="str">
        <f>Enumération!G33</f>
        <v>Médiathèques_et_bibliothèques</v>
      </c>
      <c r="Q81" s="325" t="str">
        <f>Enumération!H33</f>
        <v>Bâtiments_universitaires_d'enseignement_et_de_recherche_et_bâtiments_d’enseignements_atypiques</v>
      </c>
      <c r="R81" s="325" t="str">
        <f>Enumération!I33</f>
        <v>Hôtels</v>
      </c>
      <c r="S81" s="325" t="str">
        <f>Enumération!J33</f>
        <v>Etablissements_d'accueil_de_la_petite_enfance </v>
      </c>
      <c r="T81" s="325" t="str">
        <f>Enumération!K33</f>
        <v>Restaurants</v>
      </c>
      <c r="U81" s="325" t="str">
        <f>Enumération!L33</f>
        <v>Commerces</v>
      </c>
      <c r="V81" s="325" t="str">
        <f>Enumération!M33</f>
        <v>Vestiaires seuls</v>
      </c>
      <c r="W81" s="325" t="str">
        <f>Enumération!N33</f>
        <v>Etablissements_sanitaires_avec_hébergement</v>
      </c>
      <c r="X81" s="325" t="str">
        <f>Enumération!O33</f>
        <v>Etablissements_de_santé</v>
      </c>
      <c r="Y81" s="325" t="str">
        <f>Enumération!P33</f>
        <v>Aérogares</v>
      </c>
      <c r="Z81" s="325" t="str">
        <f>Enumération!Q33</f>
        <v>Industries_ou_artisanats</v>
      </c>
      <c r="AA81" s="325" t="str">
        <f>Enumération!R33</f>
        <v>Etablissements_sportifs_municipaux_ou_scolaires</v>
      </c>
      <c r="AB81" s="325" t="str">
        <f>Enumération!S33</f>
        <v>Restaurants_scolaires</v>
      </c>
      <c r="AC81" s="325" t="str">
        <f>Enumération!T33</f>
        <v>Etablissements_sportifs_privés</v>
      </c>
    </row>
    <row r="82" spans="2:42" ht="17.25">
      <c r="B82" s="8"/>
      <c r="E82" s="2"/>
      <c r="G82" s="90" t="s">
        <v>167</v>
      </c>
      <c r="H82" s="24" t="s">
        <v>168</v>
      </c>
      <c r="I82" s="33" t="s">
        <v>169</v>
      </c>
      <c r="J82" s="90" t="s">
        <v>225</v>
      </c>
      <c r="K82" s="24" t="s">
        <v>274</v>
      </c>
      <c r="L82" s="24" t="s">
        <v>181</v>
      </c>
      <c r="M82" s="91" t="s">
        <v>212</v>
      </c>
      <c r="N82" s="213"/>
      <c r="O82" s="213"/>
      <c r="P82" s="213"/>
      <c r="Q82" s="213"/>
      <c r="R82" s="213"/>
      <c r="S82" s="213"/>
      <c r="T82" s="213"/>
      <c r="U82" s="213"/>
      <c r="V82" s="213"/>
      <c r="W82" s="213"/>
      <c r="X82" s="213"/>
      <c r="Y82" s="213"/>
      <c r="Z82" s="213"/>
      <c r="AA82" s="213"/>
      <c r="AB82" s="213"/>
      <c r="AC82" s="213"/>
    </row>
    <row r="83" spans="2:42" ht="17.25">
      <c r="B83" s="8"/>
      <c r="E83" s="2"/>
      <c r="F83" s="38" t="s">
        <v>234</v>
      </c>
      <c r="G83" s="92" t="b">
        <f>smoylgt&lt;=100</f>
      </c>
      <c r="H83" s="18" t="b">
        <f>AND(NOT(G83),NOT(I83))</f>
        <v>0</v>
      </c>
      <c r="I83" s="34" t="b">
        <f>smoylgt&gt;150</f>
        <v>0</v>
      </c>
      <c r="J83" s="92" t="b">
        <f>smoylgt&lt;=40</f>
        <v>0</v>
      </c>
      <c r="K83" s="18" t="b">
        <f>IF(AND(smoylgt&gt;40,smoylgt&lt;=80),TRUE,FALSE)</f>
        <v>1</v>
      </c>
      <c r="L83" s="18" t="b">
        <f>IF(AND(smoylgt&gt;80,smoylgt&lt;=120),TRUE,FALSE)</f>
        <v>0</v>
      </c>
      <c r="M83" s="93" t="b">
        <f>smoylgt&gt;120</f>
        <v>0</v>
      </c>
      <c r="N83" s="213"/>
      <c r="O83" s="213"/>
      <c r="P83" s="213"/>
      <c r="Q83" s="213"/>
      <c r="R83" s="213"/>
      <c r="S83" s="213"/>
      <c r="T83" s="213"/>
      <c r="U83" s="213"/>
      <c r="V83" s="213"/>
      <c r="W83" s="213"/>
      <c r="X83" s="213"/>
      <c r="Y83" s="213"/>
      <c r="Z83" s="213"/>
      <c r="AA83" s="213"/>
      <c r="AB83" s="213"/>
      <c r="AC83" s="213"/>
    </row>
    <row r="84" spans="2:42" ht="17.25">
      <c r="B84" s="8"/>
      <c r="E84" s="2"/>
      <c r="F84" s="38" t="s">
        <v>233</v>
      </c>
      <c r="G84" s="92" t="str">
        <f>IF(AND(Input_resultats!$E$4=G81,Calcul_energie!G83),"ICI","NON")</f>
        <v>NON</v>
      </c>
      <c r="H84" s="18" t="str">
        <f>IF(AND(Input_resultats!$E$4=H81,Calcul_energie!H83),"ICI","NON")</f>
        <v>NON</v>
      </c>
      <c r="I84" s="34" t="str">
        <f>IF(AND(Input_resultats!$E$4=I81,Calcul_energie!I83),"ICI","NON")</f>
        <v>NON</v>
      </c>
      <c r="J84" s="92" t="str">
        <f>IF(AND(usage=J81,J83),"ICI","NON")</f>
        <v>NON</v>
      </c>
      <c r="K84" s="18" t="str">
        <f>IF(AND(usage=K81,K83),"ICI","NON")</f>
        <v>ICI</v>
      </c>
      <c r="L84" s="18" t="str">
        <f>IF(AND(usage=L81,L83),"ICI","NON")</f>
        <v>NON</v>
      </c>
      <c r="M84" s="93" t="str">
        <f>IF(AND(usage=M81,M83),"ICI","NON")</f>
        <v>NON</v>
      </c>
      <c r="N84" s="209" t="str">
        <f>IF(Input_resultats!$E$4=N81,"ICI","NON")</f>
        <v>NON</v>
      </c>
      <c r="O84" s="209" t="str">
        <f t="shared" ref="O84:AC84" si="6">IF(usage=O81,"ICI","NON")</f>
        <v>NON</v>
      </c>
      <c r="P84" s="209" t="str">
        <f t="shared" si="6"/>
        <v>NON</v>
      </c>
      <c r="Q84" s="209" t="str">
        <f t="shared" si="6"/>
        <v>NON</v>
      </c>
      <c r="R84" s="209" t="str">
        <f t="shared" si="6"/>
        <v>NON</v>
      </c>
      <c r="S84" s="209" t="str">
        <f t="shared" si="6"/>
        <v>NON</v>
      </c>
      <c r="T84" s="209" t="str">
        <f t="shared" si="6"/>
        <v>NON</v>
      </c>
      <c r="U84" s="209" t="str">
        <f t="shared" si="6"/>
        <v>NON</v>
      </c>
      <c r="V84" s="209" t="str">
        <f t="shared" si="6"/>
        <v>NON</v>
      </c>
      <c r="W84" s="209" t="str">
        <f t="shared" si="6"/>
        <v>NON</v>
      </c>
      <c r="X84" s="209" t="str">
        <f t="shared" si="6"/>
        <v>NON</v>
      </c>
      <c r="Y84" s="209" t="str">
        <f t="shared" si="6"/>
        <v>NON</v>
      </c>
      <c r="Z84" s="209" t="str">
        <f t="shared" si="6"/>
        <v>NON</v>
      </c>
      <c r="AA84" s="209" t="str">
        <f t="shared" si="6"/>
        <v>NON</v>
      </c>
      <c r="AB84" s="209" t="str">
        <f t="shared" si="6"/>
        <v>NON</v>
      </c>
      <c r="AC84" s="209" t="str">
        <f t="shared" si="6"/>
        <v>NON</v>
      </c>
    </row>
    <row r="85" spans="2:42" ht="17.649999999999999" thickBot="1">
      <c r="B85" s="8"/>
      <c r="F85" s="38" t="s">
        <v>235</v>
      </c>
      <c r="G85" s="96">
        <f>(49.5-(0.55*smoylgt))/cepnrmaxmoyen</f>
        <v>0.2095238095238095</v>
      </c>
      <c r="H85" s="210">
        <f>(14.5-(0.2*smoylgt))/cepnrmaxmoyen</f>
        <v>2.6190476190476174E-2</v>
      </c>
      <c r="I85" s="211">
        <f>(-15.5)/cepnrmaxmoyen</f>
        <v>-0.22142857142857142</v>
      </c>
      <c r="J85" s="96">
        <f>(45-(1*smoylgt))/cepnrmaxmoyen</f>
        <v>-0.26190476190476192</v>
      </c>
      <c r="K85" s="210">
        <f>(15-(0.25*smoylgt))/cepnrmaxmoyen</f>
        <v>-1.1904761904761913E-2</v>
      </c>
      <c r="L85" s="210">
        <f>(3-(0.1*smoylgt))/cepnrmaxmoyen</f>
        <v>-4.761904761904763E-2</v>
      </c>
      <c r="M85" s="67">
        <f>(-9)/cepnrmaxmoyen</f>
        <v>-0.12857142857142856</v>
      </c>
      <c r="N85" s="212">
        <v>0</v>
      </c>
      <c r="O85" s="212">
        <v>0</v>
      </c>
      <c r="P85" s="212">
        <v>0</v>
      </c>
      <c r="Q85" s="212">
        <v>0</v>
      </c>
      <c r="R85" s="212">
        <v>0</v>
      </c>
      <c r="S85" s="212">
        <v>0</v>
      </c>
      <c r="T85" s="212">
        <v>0</v>
      </c>
      <c r="U85" s="212">
        <v>0</v>
      </c>
      <c r="V85" s="212">
        <v>0</v>
      </c>
      <c r="W85" s="212">
        <v>0</v>
      </c>
      <c r="X85" s="212">
        <v>0</v>
      </c>
      <c r="Y85" s="212">
        <v>0</v>
      </c>
      <c r="Z85" s="212">
        <v>0</v>
      </c>
      <c r="AA85" s="212">
        <v>0</v>
      </c>
      <c r="AB85" s="212">
        <v>0</v>
      </c>
      <c r="AC85" s="212">
        <v>0</v>
      </c>
    </row>
    <row r="86" spans="2:42" s="326" customFormat="1" ht="17.649999999999999" thickBot="1">
      <c r="B86" s="8"/>
      <c r="E86" s="327"/>
    </row>
    <row r="87" spans="2:42" s="326" customFormat="1" ht="71.650000000000006" thickBot="1">
      <c r="B87" s="8"/>
      <c r="D87" s="293" t="s">
        <v>241</v>
      </c>
      <c r="E87" s="505">
        <f>HLOOKUP("ICI",G96:AP97,2,FALSE)</f>
        <v>0</v>
      </c>
      <c r="G87" s="340" t="str">
        <f>G81</f>
        <v>Maisons_individuelles_ou_accolées</v>
      </c>
      <c r="H87" s="322" t="str">
        <f>Enumération!D33</f>
        <v>Logement_collectif</v>
      </c>
      <c r="I87" s="324" t="str">
        <f>H87</f>
        <v>Logement_collectif</v>
      </c>
      <c r="J87" s="322" t="str">
        <f>Enumération!E33</f>
        <v>Bureaux</v>
      </c>
      <c r="K87" s="323" t="str">
        <f>J87</f>
        <v>Bureaux</v>
      </c>
      <c r="L87" s="324" t="str">
        <f>K87</f>
        <v>Bureaux</v>
      </c>
      <c r="M87" s="322" t="str">
        <f>Enumération!F33</f>
        <v>Enseignement_primaire_ou_secondaire</v>
      </c>
      <c r="N87" s="325" t="str">
        <f>M87</f>
        <v>Enseignement_primaire_ou_secondaire</v>
      </c>
      <c r="O87" s="340" t="str">
        <f>P81</f>
        <v>Médiathèques_et_bibliothèques</v>
      </c>
      <c r="P87" s="340" t="str">
        <f>Q81</f>
        <v>Bâtiments_universitaires_d'enseignement_et_de_recherche_et_bâtiments_d’enseignements_atypiques</v>
      </c>
      <c r="Q87" s="322" t="s">
        <v>349</v>
      </c>
      <c r="R87" s="323" t="s">
        <v>351</v>
      </c>
      <c r="S87" s="323" t="s">
        <v>351</v>
      </c>
      <c r="T87" s="323" t="s">
        <v>353</v>
      </c>
      <c r="U87" s="324" t="s">
        <v>355</v>
      </c>
      <c r="V87" s="340" t="str">
        <f>S81</f>
        <v>Etablissements_d'accueil_de_la_petite_enfance </v>
      </c>
      <c r="W87" s="340" t="str">
        <f>T81</f>
        <v>Restaurants</v>
      </c>
      <c r="X87" s="322" t="str">
        <f>U81</f>
        <v>Commerces</v>
      </c>
      <c r="Y87" s="324" t="str">
        <f>X87</f>
        <v>Commerces</v>
      </c>
      <c r="Z87" s="340" t="str">
        <f>V81</f>
        <v>Vestiaires seuls</v>
      </c>
      <c r="AA87" s="340" t="str">
        <f>W81</f>
        <v>Etablissements_sanitaires_avec_hébergement</v>
      </c>
      <c r="AB87" s="322" t="s">
        <v>367</v>
      </c>
      <c r="AC87" s="323" t="s">
        <v>368</v>
      </c>
      <c r="AD87" s="323" t="s">
        <v>368</v>
      </c>
      <c r="AE87" s="324" t="s">
        <v>368</v>
      </c>
      <c r="AF87" s="340" t="str">
        <f>Y81</f>
        <v>Aérogares</v>
      </c>
      <c r="AG87" s="322" t="s">
        <v>369</v>
      </c>
      <c r="AH87" s="323" t="s">
        <v>369</v>
      </c>
      <c r="AI87" s="323" t="s">
        <v>370</v>
      </c>
      <c r="AJ87" s="323" t="s">
        <v>370</v>
      </c>
      <c r="AK87" s="323" t="s">
        <v>370</v>
      </c>
      <c r="AL87" s="323" t="s">
        <v>370</v>
      </c>
      <c r="AM87" s="324" t="s">
        <v>370</v>
      </c>
      <c r="AN87" s="340" t="str">
        <f>AA81</f>
        <v>Etablissements_sportifs_municipaux_ou_scolaires</v>
      </c>
      <c r="AO87" s="340" t="str">
        <f>AB81</f>
        <v>Restaurants_scolaires</v>
      </c>
      <c r="AP87" s="340" t="str">
        <f>AC81</f>
        <v>Etablissements_sportifs_privés</v>
      </c>
    </row>
    <row r="88" spans="2:42" ht="17.25">
      <c r="B88" s="8"/>
      <c r="D88" s="22"/>
      <c r="F88" s="38" t="s">
        <v>234</v>
      </c>
      <c r="G88" s="339"/>
      <c r="H88" s="90" t="s">
        <v>185</v>
      </c>
      <c r="I88" s="91" t="s">
        <v>186</v>
      </c>
      <c r="J88" s="90" t="s">
        <v>187</v>
      </c>
      <c r="K88" s="24" t="s">
        <v>275</v>
      </c>
      <c r="L88" s="91" t="s">
        <v>276</v>
      </c>
      <c r="M88" s="90" t="s">
        <v>187</v>
      </c>
      <c r="N88" s="91" t="s">
        <v>277</v>
      </c>
      <c r="O88" s="339"/>
      <c r="P88" s="339"/>
      <c r="Q88" s="276"/>
      <c r="R88" s="24" t="s">
        <v>379</v>
      </c>
      <c r="S88" s="24" t="s">
        <v>380</v>
      </c>
      <c r="T88" s="337"/>
      <c r="U88" s="338"/>
      <c r="V88" s="339"/>
      <c r="W88" s="339"/>
      <c r="X88" s="90" t="s">
        <v>187</v>
      </c>
      <c r="Y88" s="91" t="s">
        <v>277</v>
      </c>
      <c r="Z88" s="339"/>
      <c r="AA88" s="339"/>
      <c r="AB88" s="276"/>
      <c r="AC88" s="24" t="s">
        <v>376</v>
      </c>
      <c r="AD88" s="24" t="s">
        <v>381</v>
      </c>
      <c r="AE88" s="91" t="s">
        <v>375</v>
      </c>
      <c r="AF88" s="339"/>
      <c r="AG88" s="90" t="s">
        <v>374</v>
      </c>
      <c r="AH88" s="24" t="s">
        <v>375</v>
      </c>
      <c r="AI88" s="24" t="s">
        <v>374</v>
      </c>
      <c r="AJ88" s="24" t="s">
        <v>374</v>
      </c>
      <c r="AK88" s="24" t="s">
        <v>374</v>
      </c>
      <c r="AL88" s="24" t="s">
        <v>374</v>
      </c>
      <c r="AM88" s="91" t="s">
        <v>375</v>
      </c>
      <c r="AN88" s="339"/>
      <c r="AO88" s="339"/>
      <c r="AP88" s="339"/>
    </row>
    <row r="89" spans="2:42">
      <c r="F89" s="38" t="s">
        <v>382</v>
      </c>
      <c r="G89" s="329"/>
      <c r="H89" s="330"/>
      <c r="I89" s="331"/>
      <c r="J89" s="330"/>
      <c r="K89" s="332"/>
      <c r="L89" s="331"/>
      <c r="M89" s="330"/>
      <c r="N89" s="331"/>
      <c r="O89" s="329"/>
      <c r="P89" s="329"/>
      <c r="Q89" s="330"/>
      <c r="R89" s="332"/>
      <c r="S89" s="332"/>
      <c r="T89" s="332"/>
      <c r="U89" s="331"/>
      <c r="V89" s="329"/>
      <c r="W89" s="329"/>
      <c r="X89" s="330"/>
      <c r="Y89" s="331"/>
      <c r="Z89" s="329"/>
      <c r="AA89" s="329"/>
      <c r="AB89" s="330"/>
      <c r="AC89" s="332"/>
      <c r="AD89" s="332"/>
      <c r="AE89" s="331"/>
      <c r="AF89" s="329"/>
      <c r="AG89" s="330"/>
      <c r="AH89" s="332"/>
      <c r="AI89" s="24" t="s">
        <v>383</v>
      </c>
      <c r="AJ89" s="24" t="s">
        <v>383</v>
      </c>
      <c r="AK89" s="24" t="s">
        <v>383</v>
      </c>
      <c r="AL89" s="24" t="s">
        <v>384</v>
      </c>
      <c r="AM89" s="331"/>
      <c r="AN89" s="329"/>
      <c r="AO89" s="329"/>
      <c r="AP89" s="329"/>
    </row>
    <row r="90" spans="2:42">
      <c r="F90" s="38" t="s">
        <v>385</v>
      </c>
      <c r="G90" s="329"/>
      <c r="H90" s="330"/>
      <c r="I90" s="331"/>
      <c r="J90" s="330"/>
      <c r="K90" s="332"/>
      <c r="L90" s="331"/>
      <c r="M90" s="330"/>
      <c r="N90" s="331"/>
      <c r="O90" s="329"/>
      <c r="P90" s="329"/>
      <c r="Q90" s="330"/>
      <c r="R90" s="332"/>
      <c r="S90" s="332"/>
      <c r="T90" s="332"/>
      <c r="U90" s="331"/>
      <c r="V90" s="329"/>
      <c r="W90" s="329"/>
      <c r="X90" s="330"/>
      <c r="Y90" s="331"/>
      <c r="Z90" s="329"/>
      <c r="AA90" s="329"/>
      <c r="AB90" s="330"/>
      <c r="AC90" s="332"/>
      <c r="AD90" s="332"/>
      <c r="AE90" s="331"/>
      <c r="AF90" s="329"/>
      <c r="AG90" s="330"/>
      <c r="AH90" s="332"/>
      <c r="AI90" s="24" t="s">
        <v>386</v>
      </c>
      <c r="AJ90" s="24" t="s">
        <v>386</v>
      </c>
      <c r="AK90" s="24" t="s">
        <v>387</v>
      </c>
      <c r="AL90" s="337"/>
      <c r="AM90" s="331"/>
      <c r="AN90" s="329"/>
      <c r="AO90" s="329"/>
      <c r="AP90" s="329"/>
    </row>
    <row r="91" spans="2:42">
      <c r="F91" s="38" t="s">
        <v>388</v>
      </c>
      <c r="G91" s="329"/>
      <c r="H91" s="330"/>
      <c r="I91" s="331"/>
      <c r="J91" s="330"/>
      <c r="K91" s="332"/>
      <c r="L91" s="331"/>
      <c r="M91" s="330"/>
      <c r="N91" s="331"/>
      <c r="O91" s="329"/>
      <c r="P91" s="329"/>
      <c r="Q91" s="330"/>
      <c r="R91" s="332"/>
      <c r="S91" s="332"/>
      <c r="T91" s="332"/>
      <c r="U91" s="331"/>
      <c r="V91" s="329"/>
      <c r="W91" s="329"/>
      <c r="X91" s="330"/>
      <c r="Y91" s="331"/>
      <c r="Z91" s="329"/>
      <c r="AA91" s="329"/>
      <c r="AB91" s="330"/>
      <c r="AC91" s="332"/>
      <c r="AD91" s="332"/>
      <c r="AE91" s="331"/>
      <c r="AF91" s="329"/>
      <c r="AG91" s="330"/>
      <c r="AH91" s="332"/>
      <c r="AI91" s="24" t="s">
        <v>391</v>
      </c>
      <c r="AJ91" s="24" t="s">
        <v>392</v>
      </c>
      <c r="AK91" s="337"/>
      <c r="AL91" s="337"/>
      <c r="AM91" s="331"/>
      <c r="AN91" s="329"/>
      <c r="AO91" s="329"/>
      <c r="AP91" s="329"/>
    </row>
    <row r="92" spans="2:42" ht="17.25">
      <c r="B92" s="8"/>
      <c r="D92" s="6"/>
      <c r="F92" s="38" t="s">
        <v>234</v>
      </c>
      <c r="G92" s="328"/>
      <c r="H92" s="47" t="b">
        <f>sref&lt;=1300</f>
        <v>0</v>
      </c>
      <c r="I92" s="48" t="b">
        <f>sref&gt;1300</f>
        <v>1</v>
      </c>
      <c r="J92" s="47" t="b">
        <f>sref&lt;=500</f>
        <v>0</v>
      </c>
      <c r="K92" s="17" t="b">
        <f>AND(sref&lt;=1500,sref&gt;500)</f>
        <v>0</v>
      </c>
      <c r="L92" s="48" t="b">
        <f>sref&gt;1500</f>
        <v>1</v>
      </c>
      <c r="M92" s="47" t="b">
        <f>sref&lt;=500</f>
        <v>0</v>
      </c>
      <c r="N92" s="48" t="b">
        <f>sref&gt;500</f>
        <v>1</v>
      </c>
      <c r="O92" s="328"/>
      <c r="P92" s="328"/>
      <c r="Q92" s="333"/>
      <c r="R92" s="17" t="b">
        <f>sref&lt;=1000</f>
        <v>0</v>
      </c>
      <c r="S92" s="17" t="b">
        <f>sref&gt;1000</f>
        <v>1</v>
      </c>
      <c r="T92" s="336"/>
      <c r="U92" s="334"/>
      <c r="V92" s="328"/>
      <c r="W92" s="328"/>
      <c r="X92" s="47" t="b">
        <f>sref&lt;=500</f>
        <v>0</v>
      </c>
      <c r="Y92" s="48" t="b">
        <f>sref&gt;500</f>
        <v>1</v>
      </c>
      <c r="Z92" s="328"/>
      <c r="AA92" s="328"/>
      <c r="AB92" s="333"/>
      <c r="AC92" s="17" t="b">
        <f>sref&lt;=2000</f>
        <v>0</v>
      </c>
      <c r="AD92" s="17" t="b">
        <f>AND(sref&gt;2000,sref&lt;=5000)</f>
        <v>1</v>
      </c>
      <c r="AE92" s="48" t="b">
        <f>sref&gt;5000</f>
        <v>0</v>
      </c>
      <c r="AF92" s="328"/>
      <c r="AG92" s="47" t="b">
        <f>sref&lt;=5000</f>
        <v>1</v>
      </c>
      <c r="AH92" s="17" t="b">
        <f>sref&gt;5000</f>
        <v>0</v>
      </c>
      <c r="AI92" s="17" t="b">
        <f>sref&lt;=5000</f>
        <v>1</v>
      </c>
      <c r="AJ92" s="17" t="b">
        <f>sref&lt;=5000</f>
        <v>1</v>
      </c>
      <c r="AK92" s="17" t="b">
        <f>sref&lt;=5000</f>
        <v>1</v>
      </c>
      <c r="AL92" s="17" t="b">
        <f>sref&lt;=5000</f>
        <v>1</v>
      </c>
      <c r="AM92" s="48" t="b">
        <f>sref&gt;5000</f>
        <v>0</v>
      </c>
      <c r="AN92" s="328"/>
      <c r="AO92" s="328"/>
      <c r="AP92" s="328"/>
    </row>
    <row r="93" spans="2:42" ht="17.25">
      <c r="B93" s="8"/>
      <c r="D93" s="6"/>
      <c r="F93" s="38" t="s">
        <v>382</v>
      </c>
      <c r="G93" s="328"/>
      <c r="H93" s="333"/>
      <c r="I93" s="334"/>
      <c r="J93" s="333"/>
      <c r="K93" s="335"/>
      <c r="L93" s="334"/>
      <c r="M93" s="333"/>
      <c r="N93" s="334"/>
      <c r="O93" s="328"/>
      <c r="P93" s="328"/>
      <c r="Q93" s="333"/>
      <c r="R93" s="335"/>
      <c r="S93" s="335"/>
      <c r="T93" s="335"/>
      <c r="U93" s="334"/>
      <c r="V93" s="328"/>
      <c r="W93" s="328"/>
      <c r="X93" s="333"/>
      <c r="Y93" s="334"/>
      <c r="Z93" s="328"/>
      <c r="AA93" s="328"/>
      <c r="AB93" s="333"/>
      <c r="AC93" s="335"/>
      <c r="AD93" s="335"/>
      <c r="AE93" s="334"/>
      <c r="AF93" s="328"/>
      <c r="AG93" s="333"/>
      <c r="AH93" s="335"/>
      <c r="AI93" s="17" t="b">
        <f>rcu="oui"</f>
        <v>0</v>
      </c>
      <c r="AJ93" s="17" t="b">
        <f>rcu="oui"</f>
        <v>0</v>
      </c>
      <c r="AK93" s="17" t="b">
        <f>rcu="oui"</f>
        <v>0</v>
      </c>
      <c r="AL93" s="17" t="b">
        <f>rcu="non"</f>
        <v>1</v>
      </c>
      <c r="AM93" s="331"/>
      <c r="AN93" s="328"/>
      <c r="AO93" s="328"/>
      <c r="AP93" s="328"/>
    </row>
    <row r="94" spans="2:42" ht="17.25">
      <c r="B94" s="8"/>
      <c r="D94" s="6"/>
      <c r="F94" s="38" t="s">
        <v>385</v>
      </c>
      <c r="G94" s="328"/>
      <c r="H94" s="333"/>
      <c r="I94" s="334"/>
      <c r="J94" s="333"/>
      <c r="K94" s="335"/>
      <c r="L94" s="334"/>
      <c r="M94" s="333"/>
      <c r="N94" s="334"/>
      <c r="O94" s="328"/>
      <c r="P94" s="328"/>
      <c r="Q94" s="333"/>
      <c r="R94" s="335"/>
      <c r="S94" s="335"/>
      <c r="T94" s="335"/>
      <c r="U94" s="334"/>
      <c r="V94" s="328"/>
      <c r="W94" s="328"/>
      <c r="X94" s="333"/>
      <c r="Y94" s="334"/>
      <c r="Z94" s="328"/>
      <c r="AA94" s="328"/>
      <c r="AB94" s="333"/>
      <c r="AC94" s="335"/>
      <c r="AD94" s="335"/>
      <c r="AE94" s="334"/>
      <c r="AF94" s="328"/>
      <c r="AG94" s="333"/>
      <c r="AH94" s="335"/>
      <c r="AI94" s="17" t="b">
        <f>rcu_classe="oui"</f>
        <v>1</v>
      </c>
      <c r="AJ94" s="17" t="b">
        <f>rcu_classe="oui"</f>
        <v>1</v>
      </c>
      <c r="AK94" s="17" t="b">
        <f>rcu_classe="non"</f>
        <v>0</v>
      </c>
      <c r="AL94" s="337"/>
      <c r="AM94" s="331"/>
      <c r="AN94" s="328"/>
      <c r="AO94" s="328"/>
      <c r="AP94" s="328"/>
    </row>
    <row r="95" spans="2:42" ht="17.25">
      <c r="B95" s="8"/>
      <c r="D95" s="6"/>
      <c r="F95" s="38" t="s">
        <v>388</v>
      </c>
      <c r="G95" s="328"/>
      <c r="H95" s="333"/>
      <c r="I95" s="334"/>
      <c r="J95" s="333"/>
      <c r="K95" s="335"/>
      <c r="L95" s="334"/>
      <c r="M95" s="333"/>
      <c r="N95" s="334"/>
      <c r="O95" s="328"/>
      <c r="P95" s="328"/>
      <c r="Q95" s="333"/>
      <c r="R95" s="335"/>
      <c r="S95" s="335"/>
      <c r="T95" s="335"/>
      <c r="U95" s="334"/>
      <c r="V95" s="328"/>
      <c r="W95" s="328"/>
      <c r="X95" s="333"/>
      <c r="Y95" s="334"/>
      <c r="Z95" s="328"/>
      <c r="AA95" s="328"/>
      <c r="AB95" s="333"/>
      <c r="AC95" s="335"/>
      <c r="AD95" s="335"/>
      <c r="AE95" s="334"/>
      <c r="AF95" s="328"/>
      <c r="AG95" s="333"/>
      <c r="AH95" s="335"/>
      <c r="AI95" s="17" t="b">
        <f>AND(depotPC_année&gt;=2025, depotPC_année&lt;2028)</f>
        <v>1</v>
      </c>
      <c r="AJ95" s="17" t="b">
        <f>depotPC_année &gt;= 2028</f>
        <v>0</v>
      </c>
      <c r="AK95" s="337"/>
      <c r="AL95" s="337"/>
      <c r="AM95" s="331"/>
      <c r="AN95" s="328"/>
      <c r="AO95" s="328"/>
      <c r="AP95" s="328"/>
    </row>
    <row r="96" spans="2:42" ht="17.25">
      <c r="B96" s="8"/>
      <c r="F96" s="38" t="s">
        <v>233</v>
      </c>
      <c r="G96" s="43" t="str">
        <f>IF(usage=G87,"ICI","NON")</f>
        <v>NON</v>
      </c>
      <c r="H96" s="92" t="str">
        <f t="shared" ref="H96:N96" si="7">IF(AND(usage=H87,H92),"ICI","NON")</f>
        <v>NON</v>
      </c>
      <c r="I96" s="93" t="str">
        <f t="shared" si="7"/>
        <v>ICI</v>
      </c>
      <c r="J96" s="92" t="str">
        <f t="shared" si="7"/>
        <v>NON</v>
      </c>
      <c r="K96" s="18" t="str">
        <f t="shared" si="7"/>
        <v>NON</v>
      </c>
      <c r="L96" s="93" t="str">
        <f t="shared" si="7"/>
        <v>NON</v>
      </c>
      <c r="M96" s="92" t="str">
        <f t="shared" si="7"/>
        <v>NON</v>
      </c>
      <c r="N96" s="93" t="str">
        <f t="shared" si="7"/>
        <v>NON</v>
      </c>
      <c r="O96" s="43" t="str">
        <f>IF(usage=O87,"ICI","NON")</f>
        <v>NON</v>
      </c>
      <c r="P96" s="43" t="str">
        <f>IF(usage=P87,"ICI","NON")</f>
        <v>NON</v>
      </c>
      <c r="Q96" s="92" t="str">
        <f>IF(usage_detaillé=Q87,"ICI","NON")</f>
        <v>NON</v>
      </c>
      <c r="R96" s="18" t="str">
        <f>IF(AND(usage_detaillé=R87,R92),"ICI","NON")</f>
        <v>NON</v>
      </c>
      <c r="S96" s="18" t="str">
        <f>IF(AND(usage_detaillé=S87,S92),"ICI","NON")</f>
        <v>NON</v>
      </c>
      <c r="T96" s="18" t="str">
        <f>IF(usage_detaillé=T87,"ICI","NON")</f>
        <v>NON</v>
      </c>
      <c r="U96" s="93" t="str">
        <f>IF(usage_detaillé=U87,"ICI","NON")</f>
        <v>NON</v>
      </c>
      <c r="V96" s="43" t="str">
        <f>IF(usage=V87,"ICI","NON")</f>
        <v>NON</v>
      </c>
      <c r="W96" s="43" t="str">
        <f>IF(usage=W87,"ICI","NON")</f>
        <v>NON</v>
      </c>
      <c r="X96" s="92" t="str">
        <f>IF(AND(usage=X87,X92),"ICI","NON")</f>
        <v>NON</v>
      </c>
      <c r="Y96" s="93" t="str">
        <f>IF(AND(usage=Y87,Y92),"ICI","NON")</f>
        <v>NON</v>
      </c>
      <c r="Z96" s="43" t="str">
        <f>IF(usage=Z87,"ICI","NON")</f>
        <v>NON</v>
      </c>
      <c r="AA96" s="43" t="str">
        <f>IF(usage=AA87,"ICI","NON")</f>
        <v>NON</v>
      </c>
      <c r="AB96" s="92" t="str">
        <f>IF(usage_detaillé=AB87,"ICI","NON")</f>
        <v>NON</v>
      </c>
      <c r="AC96" s="18" t="str">
        <f>IF(AND(usage_detaillé=AC87,AC92),"ICI","NON")</f>
        <v>NON</v>
      </c>
      <c r="AD96" s="18" t="str">
        <f>IF(AND(usage_detaillé=AD87,AD92),"ICI","NON")</f>
        <v>NON</v>
      </c>
      <c r="AE96" s="93" t="str">
        <f>IF(AND(usage_detaillé=AE87,AE92),"ICI","NON")</f>
        <v>NON</v>
      </c>
      <c r="AF96" s="43" t="str">
        <f>IF(usage=AF87,"ICI","NON")</f>
        <v>NON</v>
      </c>
      <c r="AG96" s="92" t="str">
        <f>IF(AND(usage_detaillé=AG87,AG92),"ICI","NON")</f>
        <v>NON</v>
      </c>
      <c r="AH96" s="18" t="str">
        <f>IF(AND(usage_detaillé=AH87,AH92),"ICI","NON")</f>
        <v>NON</v>
      </c>
      <c r="AI96" s="18" t="str">
        <f>IF(AND(usage_detaillé=AI87,AI92,AI93,AI94,AI95),"ICI","NON")</f>
        <v>NON</v>
      </c>
      <c r="AJ96" s="18" t="str">
        <f>IF(AND(usage_detaillé=AJ87,AJ92,AJ93,AJ94,AJ95),"ICI","NON")</f>
        <v>NON</v>
      </c>
      <c r="AK96" s="18" t="str">
        <f>IF(AND(usage_detaillé=AK87,AK92,AK93,AK94),"ICI","NON")</f>
        <v>NON</v>
      </c>
      <c r="AL96" s="18" t="str">
        <f>IF(AND(usage_detaillé=AL87,AL92,AL93),"ICI","NON")</f>
        <v>NON</v>
      </c>
      <c r="AM96" s="93" t="str">
        <f>IF(AND(usage_detaillé=AM87,AM92),"ICI","NON")</f>
        <v>NON</v>
      </c>
      <c r="AN96" s="43" t="str">
        <f>IF(usage=AN87,"ICI","NON")</f>
        <v>NON</v>
      </c>
      <c r="AO96" s="43" t="str">
        <f>IF(usage=AO87,"ICI","NON")</f>
        <v>NON</v>
      </c>
      <c r="AP96" s="43" t="str">
        <f>IF(usage=AP87,"ICI","NON")</f>
        <v>NON</v>
      </c>
    </row>
    <row r="97" spans="2:55" ht="17.649999999999999" thickBot="1">
      <c r="B97" s="8"/>
      <c r="F97" s="38" t="s">
        <v>235</v>
      </c>
      <c r="G97" s="342">
        <v>0</v>
      </c>
      <c r="H97" s="51">
        <f>(13-(0.01*sref))/cepnrmaxmoyen</f>
        <v>-0.35714285714285715</v>
      </c>
      <c r="I97" s="343">
        <v>0</v>
      </c>
      <c r="J97" s="51">
        <f>(18-(0.032*sref))/cepnrmaxmoyen</f>
        <v>-1.4800000000000002</v>
      </c>
      <c r="K97" s="55">
        <f>(6-(0.008*sref))/cepnrmaxmoyen</f>
        <v>-0.34857142857142859</v>
      </c>
      <c r="L97" s="56">
        <f>(-6)/cepnrmaxmoyen</f>
        <v>-8.5714285714285715E-2</v>
      </c>
      <c r="M97" s="51">
        <f>(12.5-(0.025*sref))/cepnrmaxmoyen</f>
        <v>-1.1785714285714286</v>
      </c>
      <c r="N97" s="343">
        <v>0</v>
      </c>
      <c r="O97" s="342">
        <v>0</v>
      </c>
      <c r="P97" s="342">
        <v>0</v>
      </c>
      <c r="Q97" s="341">
        <v>0</v>
      </c>
      <c r="R97" s="55">
        <f>(81-0.081*sref)/cepnrmaxmoyen</f>
        <v>-3.24</v>
      </c>
      <c r="S97" s="344">
        <v>0</v>
      </c>
      <c r="T97" s="344">
        <v>0</v>
      </c>
      <c r="U97" s="343">
        <v>0</v>
      </c>
      <c r="V97" s="342">
        <v>0</v>
      </c>
      <c r="W97" s="342">
        <v>0</v>
      </c>
      <c r="X97" s="51">
        <f>(113-0.226*sref)/cepnrmaxmoyen</f>
        <v>-10.654285714285715</v>
      </c>
      <c r="Y97" s="343">
        <v>0</v>
      </c>
      <c r="Z97" s="342">
        <v>0</v>
      </c>
      <c r="AA97" s="342">
        <v>0</v>
      </c>
      <c r="AB97" s="341">
        <v>0</v>
      </c>
      <c r="AC97" s="344">
        <v>0</v>
      </c>
      <c r="AD97" s="55">
        <f>(49-0.026*sref)/cepnrmaxmoyen</f>
        <v>-0.71142857142857141</v>
      </c>
      <c r="AE97" s="56">
        <f>-78/cepnrmaxmoyen</f>
        <v>-1.1142857142857143</v>
      </c>
      <c r="AF97" s="342">
        <v>0</v>
      </c>
      <c r="AG97" s="51">
        <f>(15-0.003*sref)/cepnrmaxmoyen</f>
        <v>5.1428571428571421E-2</v>
      </c>
      <c r="AH97" s="344">
        <v>0</v>
      </c>
      <c r="AI97" s="55">
        <f>(365-0.073*sref)/cepnrmaxmoyen</f>
        <v>1.2514285714285718</v>
      </c>
      <c r="AJ97" s="55">
        <f>(265-0.053*sref)/cepnrmaxmoyen</f>
        <v>0.90857142857142847</v>
      </c>
      <c r="AK97" s="55">
        <f>(265-0.053*sref)/cepnrmaxmoyen</f>
        <v>0.90857142857142847</v>
      </c>
      <c r="AL97" s="55">
        <f>(265-0.053*sref)/cepnrmaxmoyen</f>
        <v>0.90857142857142847</v>
      </c>
      <c r="AM97" s="343">
        <v>0</v>
      </c>
      <c r="AN97" s="342">
        <v>0</v>
      </c>
      <c r="AO97" s="342">
        <v>0</v>
      </c>
      <c r="AP97" s="342">
        <v>0</v>
      </c>
    </row>
    <row r="98" spans="2:55" ht="17.649999999999999" thickBot="1">
      <c r="B98" s="8"/>
    </row>
    <row r="99" spans="2:55" s="3" customFormat="1" ht="17.649999999999999" thickBot="1">
      <c r="B99" s="8"/>
      <c r="D99" s="26" t="s">
        <v>242</v>
      </c>
      <c r="E99" s="370" cm="1">
        <f t="array" ref="E99">INDEX(E102:BC109,MATCH(zoneclim,D102:D109,0),MATCH(categorie,I101:K101,0)+D101)</f>
        <v>0</v>
      </c>
    </row>
    <row r="100" spans="2:55" ht="17.25">
      <c r="B100" s="8"/>
      <c r="E100" s="552" t="str">
        <f>Enumération!C35</f>
        <v>Maisons_individuelles_ou_accolées</v>
      </c>
      <c r="F100" s="553"/>
      <c r="G100" s="552" t="str">
        <f>Enumération!E35</f>
        <v>Logement_collectif</v>
      </c>
      <c r="H100" s="554"/>
      <c r="I100" s="552" t="str">
        <f>Enumération!G35</f>
        <v>Bureaux</v>
      </c>
      <c r="J100" s="556"/>
      <c r="K100" s="553"/>
      <c r="L100" s="552" t="str">
        <f>Enumération!L39</f>
        <v>Enseignement_primaire_ou_secondaire</v>
      </c>
      <c r="M100" s="553"/>
      <c r="N100" s="555" t="str">
        <f>Enumération!O39</f>
        <v>Médiathèques_et_bibliothèques</v>
      </c>
      <c r="O100" s="556"/>
      <c r="P100" s="553"/>
      <c r="Q100" s="552" t="str">
        <f>Enumération!R39</f>
        <v>Bâtiments_universitaires_d'enseignement_et_de_recherche_et_bâtiments_d’enseignements_atypiques</v>
      </c>
      <c r="R100" s="556"/>
      <c r="S100" s="553"/>
      <c r="T100" s="552" t="str">
        <f>Enumération!U39</f>
        <v>Hôtels</v>
      </c>
      <c r="U100" s="556"/>
      <c r="V100" s="553"/>
      <c r="W100" s="552" t="str">
        <f>Enumération!X39</f>
        <v>Etablissements_d'accueil_de_la_petite_enfance </v>
      </c>
      <c r="X100" s="556"/>
      <c r="Y100" s="553"/>
      <c r="Z100" s="552" t="str">
        <f>Enumération!AA39</f>
        <v>Restaurants</v>
      </c>
      <c r="AA100" s="556"/>
      <c r="AB100" s="553"/>
      <c r="AC100" s="552" t="str">
        <f>Enumération!AD39</f>
        <v>Commerces</v>
      </c>
      <c r="AD100" s="556"/>
      <c r="AE100" s="553"/>
      <c r="AF100" s="552" t="str">
        <f>Enumération!AG39</f>
        <v>Vestiaires seuls</v>
      </c>
      <c r="AG100" s="556"/>
      <c r="AH100" s="553"/>
      <c r="AI100" s="552" t="str">
        <f>Enumération!AJ39</f>
        <v>Etablissements_sanitaires_avec_hébergement</v>
      </c>
      <c r="AJ100" s="556"/>
      <c r="AK100" s="553"/>
      <c r="AL100" s="552" t="str">
        <f>Enumération!AM39</f>
        <v>Etablissements_de_santé</v>
      </c>
      <c r="AM100" s="556"/>
      <c r="AN100" s="553"/>
      <c r="AO100" s="552" t="str">
        <f>Enumération!AP39</f>
        <v>Aérogares</v>
      </c>
      <c r="AP100" s="556"/>
      <c r="AQ100" s="553"/>
      <c r="AR100" s="552" t="str">
        <f>Enumération!AS39</f>
        <v>Industries_ou_artisanats</v>
      </c>
      <c r="AS100" s="556"/>
      <c r="AT100" s="553"/>
      <c r="AU100" s="552" t="str">
        <f>Enumération!AV39</f>
        <v>Etablissements_sportifs_municipaux_ou_scolaires</v>
      </c>
      <c r="AV100" s="556"/>
      <c r="AW100" s="553"/>
      <c r="AX100" s="552" t="str">
        <f>Enumération!AY39</f>
        <v>Restaurants_scolaires</v>
      </c>
      <c r="AY100" s="556"/>
      <c r="AZ100" s="553"/>
      <c r="BA100" s="552" t="str">
        <f>Enumération!BB39</f>
        <v>Etablissements_sportifs_privés</v>
      </c>
      <c r="BB100" s="556"/>
      <c r="BC100" s="553"/>
    </row>
    <row r="101" spans="2:55" ht="17.25">
      <c r="B101" s="8"/>
      <c r="D101" s="34">
        <f>VLOOKUP(D5,D6:I33,6,FALSE)</f>
        <v>2</v>
      </c>
      <c r="E101" s="207" t="s">
        <v>267</v>
      </c>
      <c r="F101" s="206" t="s">
        <v>268</v>
      </c>
      <c r="G101" s="207" t="s">
        <v>267</v>
      </c>
      <c r="H101" s="353" t="s">
        <v>268</v>
      </c>
      <c r="I101" s="205" t="s">
        <v>267</v>
      </c>
      <c r="J101" s="23" t="s">
        <v>268</v>
      </c>
      <c r="K101" s="206" t="s">
        <v>395</v>
      </c>
      <c r="L101" s="205" t="s">
        <v>267</v>
      </c>
      <c r="M101" s="206" t="s">
        <v>268</v>
      </c>
      <c r="N101" s="360" t="s">
        <v>267</v>
      </c>
      <c r="O101" s="23" t="s">
        <v>268</v>
      </c>
      <c r="P101" s="206" t="s">
        <v>395</v>
      </c>
      <c r="Q101" s="205" t="s">
        <v>267</v>
      </c>
      <c r="R101" s="23" t="s">
        <v>268</v>
      </c>
      <c r="S101" s="206" t="s">
        <v>395</v>
      </c>
      <c r="T101" s="205" t="s">
        <v>267</v>
      </c>
      <c r="U101" s="23" t="s">
        <v>268</v>
      </c>
      <c r="V101" s="206" t="s">
        <v>395</v>
      </c>
      <c r="W101" s="205" t="s">
        <v>267</v>
      </c>
      <c r="X101" s="23" t="s">
        <v>268</v>
      </c>
      <c r="Y101" s="206" t="s">
        <v>395</v>
      </c>
      <c r="Z101" s="205" t="s">
        <v>267</v>
      </c>
      <c r="AA101" s="23" t="s">
        <v>268</v>
      </c>
      <c r="AB101" s="206" t="s">
        <v>395</v>
      </c>
      <c r="AC101" s="205" t="s">
        <v>267</v>
      </c>
      <c r="AD101" s="23" t="s">
        <v>268</v>
      </c>
      <c r="AE101" s="206" t="s">
        <v>395</v>
      </c>
      <c r="AF101" s="205" t="s">
        <v>267</v>
      </c>
      <c r="AG101" s="23" t="s">
        <v>268</v>
      </c>
      <c r="AH101" s="206" t="s">
        <v>395</v>
      </c>
      <c r="AI101" s="205" t="s">
        <v>267</v>
      </c>
      <c r="AJ101" s="23" t="s">
        <v>268</v>
      </c>
      <c r="AK101" s="206" t="s">
        <v>395</v>
      </c>
      <c r="AL101" s="205" t="s">
        <v>267</v>
      </c>
      <c r="AM101" s="23" t="s">
        <v>268</v>
      </c>
      <c r="AN101" s="206" t="s">
        <v>395</v>
      </c>
      <c r="AO101" s="205" t="s">
        <v>267</v>
      </c>
      <c r="AP101" s="23" t="s">
        <v>268</v>
      </c>
      <c r="AQ101" s="206" t="s">
        <v>395</v>
      </c>
      <c r="AR101" s="205" t="s">
        <v>267</v>
      </c>
      <c r="AS101" s="23" t="s">
        <v>268</v>
      </c>
      <c r="AT101" s="206" t="s">
        <v>395</v>
      </c>
      <c r="AU101" s="205" t="s">
        <v>267</v>
      </c>
      <c r="AV101" s="23" t="s">
        <v>268</v>
      </c>
      <c r="AW101" s="206" t="s">
        <v>395</v>
      </c>
      <c r="AX101" s="205" t="s">
        <v>267</v>
      </c>
      <c r="AY101" s="23" t="s">
        <v>268</v>
      </c>
      <c r="AZ101" s="206" t="s">
        <v>395</v>
      </c>
      <c r="BA101" s="205" t="s">
        <v>267</v>
      </c>
      <c r="BB101" s="23" t="s">
        <v>268</v>
      </c>
      <c r="BC101" s="206" t="s">
        <v>395</v>
      </c>
    </row>
    <row r="102" spans="2:55" ht="17.25">
      <c r="B102" s="8"/>
      <c r="D102" s="80" t="s">
        <v>34</v>
      </c>
      <c r="E102" s="71">
        <v>0</v>
      </c>
      <c r="F102" s="72">
        <v>0</v>
      </c>
      <c r="G102" s="71">
        <v>0</v>
      </c>
      <c r="H102" s="354">
        <v>0</v>
      </c>
      <c r="I102" s="71">
        <v>0</v>
      </c>
      <c r="J102" s="11">
        <v>0</v>
      </c>
      <c r="K102" s="72">
        <v>0</v>
      </c>
      <c r="L102" s="71">
        <v>0</v>
      </c>
      <c r="M102" s="72">
        <v>0.05</v>
      </c>
      <c r="N102" s="233">
        <v>0</v>
      </c>
      <c r="O102" s="11">
        <v>0</v>
      </c>
      <c r="P102" s="72">
        <v>0.05</v>
      </c>
      <c r="Q102" s="71">
        <v>0</v>
      </c>
      <c r="R102" s="11">
        <v>0</v>
      </c>
      <c r="S102" s="72">
        <v>0</v>
      </c>
      <c r="T102" s="71">
        <v>0</v>
      </c>
      <c r="U102" s="11">
        <v>0</v>
      </c>
      <c r="V102" s="72">
        <v>0</v>
      </c>
      <c r="W102" s="71">
        <v>0</v>
      </c>
      <c r="X102" s="11">
        <v>0</v>
      </c>
      <c r="Y102" s="72">
        <v>0</v>
      </c>
      <c r="Z102" s="71">
        <v>0</v>
      </c>
      <c r="AA102" s="11">
        <v>0</v>
      </c>
      <c r="AB102" s="72">
        <v>0</v>
      </c>
      <c r="AC102" s="71">
        <v>0</v>
      </c>
      <c r="AD102" s="11">
        <v>0</v>
      </c>
      <c r="AE102" s="72">
        <v>0.05</v>
      </c>
      <c r="AF102" s="71">
        <v>0</v>
      </c>
      <c r="AG102" s="11">
        <v>0</v>
      </c>
      <c r="AH102" s="72">
        <v>0</v>
      </c>
      <c r="AI102" s="71">
        <v>0</v>
      </c>
      <c r="AJ102" s="11">
        <v>0</v>
      </c>
      <c r="AK102" s="72">
        <v>0</v>
      </c>
      <c r="AL102" s="71">
        <v>0</v>
      </c>
      <c r="AM102" s="11">
        <v>0</v>
      </c>
      <c r="AN102" s="72">
        <v>0</v>
      </c>
      <c r="AO102" s="71">
        <v>0</v>
      </c>
      <c r="AP102" s="11">
        <v>0</v>
      </c>
      <c r="AQ102" s="72">
        <v>0</v>
      </c>
      <c r="AR102" s="71">
        <v>0</v>
      </c>
      <c r="AS102" s="11">
        <v>0</v>
      </c>
      <c r="AT102" s="72">
        <v>0</v>
      </c>
      <c r="AU102" s="71">
        <v>0</v>
      </c>
      <c r="AV102" s="11">
        <v>0</v>
      </c>
      <c r="AW102" s="72">
        <v>0</v>
      </c>
      <c r="AX102" s="71">
        <v>0</v>
      </c>
      <c r="AY102" s="11">
        <v>0</v>
      </c>
      <c r="AZ102" s="72">
        <v>0</v>
      </c>
      <c r="BA102" s="71">
        <v>0</v>
      </c>
      <c r="BB102" s="11">
        <v>0</v>
      </c>
      <c r="BC102" s="72">
        <v>0</v>
      </c>
    </row>
    <row r="103" spans="2:55" ht="17.25">
      <c r="B103" s="8"/>
      <c r="D103" s="80" t="s">
        <v>35</v>
      </c>
      <c r="E103" s="71">
        <v>0</v>
      </c>
      <c r="F103" s="72">
        <v>0</v>
      </c>
      <c r="G103" s="71">
        <v>0</v>
      </c>
      <c r="H103" s="354">
        <v>0</v>
      </c>
      <c r="I103" s="71">
        <v>0</v>
      </c>
      <c r="J103" s="11">
        <v>0</v>
      </c>
      <c r="K103" s="72">
        <v>0</v>
      </c>
      <c r="L103" s="71">
        <v>0</v>
      </c>
      <c r="M103" s="72">
        <v>0.05</v>
      </c>
      <c r="N103" s="233">
        <v>0</v>
      </c>
      <c r="O103" s="11">
        <v>0</v>
      </c>
      <c r="P103" s="72">
        <v>0.05</v>
      </c>
      <c r="Q103" s="71">
        <v>0</v>
      </c>
      <c r="R103" s="11">
        <v>0</v>
      </c>
      <c r="S103" s="72">
        <v>0</v>
      </c>
      <c r="T103" s="71">
        <v>0</v>
      </c>
      <c r="U103" s="11">
        <v>0</v>
      </c>
      <c r="V103" s="72">
        <v>0</v>
      </c>
      <c r="W103" s="71">
        <v>0</v>
      </c>
      <c r="X103" s="11">
        <v>0</v>
      </c>
      <c r="Y103" s="72">
        <v>0.05</v>
      </c>
      <c r="Z103" s="71">
        <v>0</v>
      </c>
      <c r="AA103" s="11">
        <v>0</v>
      </c>
      <c r="AB103" s="72">
        <v>0</v>
      </c>
      <c r="AC103" s="71">
        <v>0</v>
      </c>
      <c r="AD103" s="11">
        <v>0</v>
      </c>
      <c r="AE103" s="72">
        <v>0.05</v>
      </c>
      <c r="AF103" s="71">
        <v>0</v>
      </c>
      <c r="AG103" s="11">
        <v>0</v>
      </c>
      <c r="AH103" s="72">
        <v>0</v>
      </c>
      <c r="AI103" s="71">
        <v>0</v>
      </c>
      <c r="AJ103" s="11">
        <v>0</v>
      </c>
      <c r="AK103" s="72">
        <v>0</v>
      </c>
      <c r="AL103" s="71">
        <v>0</v>
      </c>
      <c r="AM103" s="11">
        <v>0</v>
      </c>
      <c r="AN103" s="72">
        <v>0</v>
      </c>
      <c r="AO103" s="71">
        <v>0</v>
      </c>
      <c r="AP103" s="11">
        <v>0</v>
      </c>
      <c r="AQ103" s="72">
        <v>0</v>
      </c>
      <c r="AR103" s="71">
        <v>0</v>
      </c>
      <c r="AS103" s="11">
        <v>0</v>
      </c>
      <c r="AT103" s="72">
        <v>0</v>
      </c>
      <c r="AU103" s="71">
        <v>0</v>
      </c>
      <c r="AV103" s="11">
        <v>0</v>
      </c>
      <c r="AW103" s="72">
        <v>0</v>
      </c>
      <c r="AX103" s="71">
        <v>0</v>
      </c>
      <c r="AY103" s="11">
        <v>0</v>
      </c>
      <c r="AZ103" s="72">
        <v>0</v>
      </c>
      <c r="BA103" s="71">
        <v>0</v>
      </c>
      <c r="BB103" s="11">
        <v>0</v>
      </c>
      <c r="BC103" s="72">
        <v>0</v>
      </c>
    </row>
    <row r="104" spans="2:55" ht="17.25">
      <c r="B104" s="8"/>
      <c r="D104" s="80" t="s">
        <v>36</v>
      </c>
      <c r="E104" s="71">
        <v>0</v>
      </c>
      <c r="F104" s="72">
        <v>0</v>
      </c>
      <c r="G104" s="71">
        <v>0</v>
      </c>
      <c r="H104" s="354">
        <v>0</v>
      </c>
      <c r="I104" s="71">
        <v>0</v>
      </c>
      <c r="J104" s="11">
        <v>0</v>
      </c>
      <c r="K104" s="72">
        <v>0</v>
      </c>
      <c r="L104" s="71">
        <v>0</v>
      </c>
      <c r="M104" s="72">
        <v>0.05</v>
      </c>
      <c r="N104" s="233">
        <v>0</v>
      </c>
      <c r="O104" s="11">
        <v>0</v>
      </c>
      <c r="P104" s="72">
        <v>0.05</v>
      </c>
      <c r="Q104" s="71">
        <v>0</v>
      </c>
      <c r="R104" s="11">
        <v>0</v>
      </c>
      <c r="S104" s="72">
        <v>0</v>
      </c>
      <c r="T104" s="71">
        <v>0</v>
      </c>
      <c r="U104" s="11">
        <v>0</v>
      </c>
      <c r="V104" s="72">
        <v>0</v>
      </c>
      <c r="W104" s="71">
        <v>0</v>
      </c>
      <c r="X104" s="11">
        <v>0</v>
      </c>
      <c r="Y104" s="72">
        <v>0.05</v>
      </c>
      <c r="Z104" s="71">
        <v>0</v>
      </c>
      <c r="AA104" s="11">
        <v>0</v>
      </c>
      <c r="AB104" s="72">
        <v>0</v>
      </c>
      <c r="AC104" s="71">
        <v>0</v>
      </c>
      <c r="AD104" s="11">
        <v>0</v>
      </c>
      <c r="AE104" s="72">
        <v>0.05</v>
      </c>
      <c r="AF104" s="71">
        <v>0</v>
      </c>
      <c r="AG104" s="11">
        <v>0</v>
      </c>
      <c r="AH104" s="72">
        <v>0</v>
      </c>
      <c r="AI104" s="71">
        <v>0</v>
      </c>
      <c r="AJ104" s="11">
        <v>0</v>
      </c>
      <c r="AK104" s="72">
        <v>0</v>
      </c>
      <c r="AL104" s="71">
        <v>0</v>
      </c>
      <c r="AM104" s="11">
        <v>0</v>
      </c>
      <c r="AN104" s="72">
        <v>0</v>
      </c>
      <c r="AO104" s="71">
        <v>0</v>
      </c>
      <c r="AP104" s="11">
        <v>0</v>
      </c>
      <c r="AQ104" s="72">
        <v>0</v>
      </c>
      <c r="AR104" s="71">
        <v>0</v>
      </c>
      <c r="AS104" s="11">
        <v>0</v>
      </c>
      <c r="AT104" s="72">
        <v>0</v>
      </c>
      <c r="AU104" s="71">
        <v>0</v>
      </c>
      <c r="AV104" s="11">
        <v>0</v>
      </c>
      <c r="AW104" s="72">
        <v>0</v>
      </c>
      <c r="AX104" s="71">
        <v>0</v>
      </c>
      <c r="AY104" s="11">
        <v>0</v>
      </c>
      <c r="AZ104" s="72">
        <v>0</v>
      </c>
      <c r="BA104" s="71">
        <v>0</v>
      </c>
      <c r="BB104" s="11">
        <v>0</v>
      </c>
      <c r="BC104" s="72">
        <v>0</v>
      </c>
    </row>
    <row r="105" spans="2:55" ht="17.25">
      <c r="B105" s="8"/>
      <c r="D105" s="80" t="s">
        <v>42</v>
      </c>
      <c r="E105" s="71">
        <v>0</v>
      </c>
      <c r="F105" s="72">
        <v>0</v>
      </c>
      <c r="G105" s="71">
        <v>0</v>
      </c>
      <c r="H105" s="354">
        <v>0</v>
      </c>
      <c r="I105" s="71">
        <v>0</v>
      </c>
      <c r="J105" s="11">
        <v>0</v>
      </c>
      <c r="K105" s="72">
        <v>0</v>
      </c>
      <c r="L105" s="71">
        <v>0</v>
      </c>
      <c r="M105" s="72">
        <v>0.05</v>
      </c>
      <c r="N105" s="233">
        <v>0</v>
      </c>
      <c r="O105" s="11">
        <v>0</v>
      </c>
      <c r="P105" s="72">
        <v>0.05</v>
      </c>
      <c r="Q105" s="71">
        <v>0</v>
      </c>
      <c r="R105" s="11">
        <v>0</v>
      </c>
      <c r="S105" s="72">
        <v>0</v>
      </c>
      <c r="T105" s="71">
        <v>0</v>
      </c>
      <c r="U105" s="11">
        <v>0</v>
      </c>
      <c r="V105" s="72">
        <v>0</v>
      </c>
      <c r="W105" s="71">
        <v>0</v>
      </c>
      <c r="X105" s="11">
        <v>0</v>
      </c>
      <c r="Y105" s="72">
        <v>0</v>
      </c>
      <c r="Z105" s="71">
        <v>0</v>
      </c>
      <c r="AA105" s="11">
        <v>0</v>
      </c>
      <c r="AB105" s="72">
        <v>0</v>
      </c>
      <c r="AC105" s="71">
        <v>0</v>
      </c>
      <c r="AD105" s="11">
        <v>0</v>
      </c>
      <c r="AE105" s="72">
        <v>0.05</v>
      </c>
      <c r="AF105" s="71">
        <v>0</v>
      </c>
      <c r="AG105" s="11">
        <v>0</v>
      </c>
      <c r="AH105" s="72">
        <v>0</v>
      </c>
      <c r="AI105" s="71">
        <v>0</v>
      </c>
      <c r="AJ105" s="11">
        <v>0</v>
      </c>
      <c r="AK105" s="72">
        <v>0</v>
      </c>
      <c r="AL105" s="71">
        <v>0</v>
      </c>
      <c r="AM105" s="11">
        <v>0</v>
      </c>
      <c r="AN105" s="72">
        <v>0</v>
      </c>
      <c r="AO105" s="71">
        <v>0</v>
      </c>
      <c r="AP105" s="11">
        <v>0</v>
      </c>
      <c r="AQ105" s="72">
        <v>0</v>
      </c>
      <c r="AR105" s="71">
        <v>0</v>
      </c>
      <c r="AS105" s="11">
        <v>0</v>
      </c>
      <c r="AT105" s="72">
        <v>0</v>
      </c>
      <c r="AU105" s="71">
        <v>0</v>
      </c>
      <c r="AV105" s="11">
        <v>0</v>
      </c>
      <c r="AW105" s="72">
        <v>0</v>
      </c>
      <c r="AX105" s="71">
        <v>0</v>
      </c>
      <c r="AY105" s="11">
        <v>0</v>
      </c>
      <c r="AZ105" s="72">
        <v>0</v>
      </c>
      <c r="BA105" s="71">
        <v>0</v>
      </c>
      <c r="BB105" s="11">
        <v>0</v>
      </c>
      <c r="BC105" s="72">
        <v>0</v>
      </c>
    </row>
    <row r="106" spans="2:55" ht="17.25">
      <c r="B106" s="8"/>
      <c r="D106" s="80" t="s">
        <v>41</v>
      </c>
      <c r="E106" s="71">
        <v>0</v>
      </c>
      <c r="F106" s="72">
        <v>0</v>
      </c>
      <c r="G106" s="71">
        <v>0</v>
      </c>
      <c r="H106" s="354">
        <v>0</v>
      </c>
      <c r="I106" s="71">
        <v>0</v>
      </c>
      <c r="J106" s="11">
        <v>0</v>
      </c>
      <c r="K106" s="72">
        <v>0</v>
      </c>
      <c r="L106" s="71">
        <v>0</v>
      </c>
      <c r="M106" s="72">
        <v>0.05</v>
      </c>
      <c r="N106" s="233">
        <v>0</v>
      </c>
      <c r="O106" s="11">
        <v>0</v>
      </c>
      <c r="P106" s="72">
        <v>0.05</v>
      </c>
      <c r="Q106" s="71">
        <v>0</v>
      </c>
      <c r="R106" s="11">
        <v>0</v>
      </c>
      <c r="S106" s="72">
        <v>0</v>
      </c>
      <c r="T106" s="71">
        <v>0</v>
      </c>
      <c r="U106" s="11">
        <v>0</v>
      </c>
      <c r="V106" s="72">
        <v>0</v>
      </c>
      <c r="W106" s="71">
        <v>0</v>
      </c>
      <c r="X106" s="11">
        <v>0</v>
      </c>
      <c r="Y106" s="72">
        <v>0.05</v>
      </c>
      <c r="Z106" s="71">
        <v>0</v>
      </c>
      <c r="AA106" s="11">
        <v>0</v>
      </c>
      <c r="AB106" s="72">
        <v>0</v>
      </c>
      <c r="AC106" s="71">
        <v>0</v>
      </c>
      <c r="AD106" s="11">
        <v>0</v>
      </c>
      <c r="AE106" s="72">
        <v>0.05</v>
      </c>
      <c r="AF106" s="71">
        <v>0</v>
      </c>
      <c r="AG106" s="11">
        <v>0</v>
      </c>
      <c r="AH106" s="72">
        <v>0</v>
      </c>
      <c r="AI106" s="71">
        <v>0</v>
      </c>
      <c r="AJ106" s="11">
        <v>0</v>
      </c>
      <c r="AK106" s="72">
        <v>0</v>
      </c>
      <c r="AL106" s="71">
        <v>0</v>
      </c>
      <c r="AM106" s="11">
        <v>0</v>
      </c>
      <c r="AN106" s="72">
        <v>0</v>
      </c>
      <c r="AO106" s="71">
        <v>0</v>
      </c>
      <c r="AP106" s="11">
        <v>0</v>
      </c>
      <c r="AQ106" s="72">
        <v>0</v>
      </c>
      <c r="AR106" s="71">
        <v>0</v>
      </c>
      <c r="AS106" s="11">
        <v>0</v>
      </c>
      <c r="AT106" s="72">
        <v>0</v>
      </c>
      <c r="AU106" s="71">
        <v>0</v>
      </c>
      <c r="AV106" s="11">
        <v>0</v>
      </c>
      <c r="AW106" s="72">
        <v>0</v>
      </c>
      <c r="AX106" s="71">
        <v>0</v>
      </c>
      <c r="AY106" s="11">
        <v>0</v>
      </c>
      <c r="AZ106" s="72">
        <v>0</v>
      </c>
      <c r="BA106" s="71">
        <v>0</v>
      </c>
      <c r="BB106" s="11">
        <v>0</v>
      </c>
      <c r="BC106" s="72">
        <v>0</v>
      </c>
    </row>
    <row r="107" spans="2:55" ht="17.25">
      <c r="B107" s="8"/>
      <c r="D107" s="80" t="s">
        <v>40</v>
      </c>
      <c r="E107" s="71">
        <v>0</v>
      </c>
      <c r="F107" s="72">
        <v>0</v>
      </c>
      <c r="G107" s="71">
        <v>0</v>
      </c>
      <c r="H107" s="354">
        <v>0</v>
      </c>
      <c r="I107" s="71">
        <v>0</v>
      </c>
      <c r="J107" s="11">
        <v>0</v>
      </c>
      <c r="K107" s="72">
        <v>0</v>
      </c>
      <c r="L107" s="71">
        <v>0</v>
      </c>
      <c r="M107" s="72">
        <v>0.05</v>
      </c>
      <c r="N107" s="233">
        <v>0</v>
      </c>
      <c r="O107" s="11">
        <v>0</v>
      </c>
      <c r="P107" s="72">
        <v>0.1</v>
      </c>
      <c r="Q107" s="71">
        <v>0</v>
      </c>
      <c r="R107" s="11">
        <v>0</v>
      </c>
      <c r="S107" s="72">
        <v>0</v>
      </c>
      <c r="T107" s="71">
        <v>0</v>
      </c>
      <c r="U107" s="11">
        <v>0</v>
      </c>
      <c r="V107" s="72">
        <v>0</v>
      </c>
      <c r="W107" s="71">
        <v>0</v>
      </c>
      <c r="X107" s="11">
        <v>0</v>
      </c>
      <c r="Y107" s="72">
        <v>0.05</v>
      </c>
      <c r="Z107" s="71">
        <v>0</v>
      </c>
      <c r="AA107" s="11">
        <v>0</v>
      </c>
      <c r="AB107" s="72">
        <v>0</v>
      </c>
      <c r="AC107" s="71">
        <v>0</v>
      </c>
      <c r="AD107" s="11">
        <v>0</v>
      </c>
      <c r="AE107" s="72">
        <v>0.05</v>
      </c>
      <c r="AF107" s="71">
        <v>0</v>
      </c>
      <c r="AG107" s="11">
        <v>0</v>
      </c>
      <c r="AH107" s="72">
        <v>0</v>
      </c>
      <c r="AI107" s="71">
        <v>0</v>
      </c>
      <c r="AJ107" s="11">
        <v>0</v>
      </c>
      <c r="AK107" s="72">
        <v>0</v>
      </c>
      <c r="AL107" s="71">
        <v>0</v>
      </c>
      <c r="AM107" s="11">
        <v>0</v>
      </c>
      <c r="AN107" s="72">
        <v>0</v>
      </c>
      <c r="AO107" s="71">
        <v>0</v>
      </c>
      <c r="AP107" s="11">
        <v>0</v>
      </c>
      <c r="AQ107" s="72">
        <v>0</v>
      </c>
      <c r="AR107" s="71">
        <v>0</v>
      </c>
      <c r="AS107" s="11">
        <v>0</v>
      </c>
      <c r="AT107" s="72">
        <v>0</v>
      </c>
      <c r="AU107" s="71">
        <v>0</v>
      </c>
      <c r="AV107" s="11">
        <v>0</v>
      </c>
      <c r="AW107" s="72">
        <v>0</v>
      </c>
      <c r="AX107" s="71">
        <v>0</v>
      </c>
      <c r="AY107" s="11">
        <v>0</v>
      </c>
      <c r="AZ107" s="72">
        <v>0</v>
      </c>
      <c r="BA107" s="71">
        <v>0</v>
      </c>
      <c r="BB107" s="11">
        <v>0</v>
      </c>
      <c r="BC107" s="72">
        <v>0</v>
      </c>
    </row>
    <row r="108" spans="2:55" ht="17.25">
      <c r="B108" s="8"/>
      <c r="D108" s="80" t="s">
        <v>38</v>
      </c>
      <c r="E108" s="71">
        <v>0</v>
      </c>
      <c r="F108" s="72">
        <v>0.1</v>
      </c>
      <c r="G108" s="71">
        <v>0</v>
      </c>
      <c r="H108" s="354">
        <v>0.1</v>
      </c>
      <c r="I108" s="71">
        <v>0</v>
      </c>
      <c r="J108" s="11">
        <v>0</v>
      </c>
      <c r="K108" s="72">
        <v>0</v>
      </c>
      <c r="L108" s="71">
        <v>0</v>
      </c>
      <c r="M108" s="72">
        <v>0.05</v>
      </c>
      <c r="N108" s="233">
        <v>0</v>
      </c>
      <c r="O108" s="11">
        <v>0</v>
      </c>
      <c r="P108" s="72">
        <v>0.2</v>
      </c>
      <c r="Q108" s="71">
        <v>0</v>
      </c>
      <c r="R108" s="11">
        <v>0</v>
      </c>
      <c r="S108" s="72">
        <v>0.05</v>
      </c>
      <c r="T108" s="71">
        <v>0</v>
      </c>
      <c r="U108" s="11">
        <v>0</v>
      </c>
      <c r="V108" s="72">
        <v>0</v>
      </c>
      <c r="W108" s="71">
        <v>0</v>
      </c>
      <c r="X108" s="11">
        <v>0</v>
      </c>
      <c r="Y108" s="72">
        <v>0.2</v>
      </c>
      <c r="Z108" s="71">
        <v>0</v>
      </c>
      <c r="AA108" s="11">
        <v>0</v>
      </c>
      <c r="AB108" s="72">
        <v>0</v>
      </c>
      <c r="AC108" s="71">
        <v>0</v>
      </c>
      <c r="AD108" s="11">
        <v>0</v>
      </c>
      <c r="AE108" s="72">
        <v>0.05</v>
      </c>
      <c r="AF108" s="71">
        <v>0</v>
      </c>
      <c r="AG108" s="11">
        <v>0</v>
      </c>
      <c r="AH108" s="72">
        <v>0</v>
      </c>
      <c r="AI108" s="71">
        <v>0</v>
      </c>
      <c r="AJ108" s="11">
        <v>0</v>
      </c>
      <c r="AK108" s="72">
        <v>0</v>
      </c>
      <c r="AL108" s="71">
        <v>0</v>
      </c>
      <c r="AM108" s="11">
        <v>0</v>
      </c>
      <c r="AN108" s="72">
        <v>0</v>
      </c>
      <c r="AO108" s="71">
        <v>0</v>
      </c>
      <c r="AP108" s="11">
        <v>0</v>
      </c>
      <c r="AQ108" s="72">
        <v>0</v>
      </c>
      <c r="AR108" s="71">
        <v>0</v>
      </c>
      <c r="AS108" s="11">
        <v>0</v>
      </c>
      <c r="AT108" s="72">
        <v>0</v>
      </c>
      <c r="AU108" s="71">
        <v>0</v>
      </c>
      <c r="AV108" s="11">
        <v>0</v>
      </c>
      <c r="AW108" s="72">
        <v>0</v>
      </c>
      <c r="AX108" s="71">
        <v>0</v>
      </c>
      <c r="AY108" s="11">
        <v>0</v>
      </c>
      <c r="AZ108" s="72">
        <v>0</v>
      </c>
      <c r="BA108" s="71">
        <v>0</v>
      </c>
      <c r="BB108" s="11">
        <v>0</v>
      </c>
      <c r="BC108" s="72">
        <v>0</v>
      </c>
    </row>
    <row r="109" spans="2:55" ht="17.649999999999999" thickBot="1">
      <c r="B109" s="8"/>
      <c r="D109" s="80" t="s">
        <v>39</v>
      </c>
      <c r="E109" s="81">
        <v>0</v>
      </c>
      <c r="F109" s="83">
        <v>0.1</v>
      </c>
      <c r="G109" s="81">
        <v>0</v>
      </c>
      <c r="H109" s="355">
        <v>0.1</v>
      </c>
      <c r="I109" s="81">
        <v>0</v>
      </c>
      <c r="J109" s="82">
        <v>0</v>
      </c>
      <c r="K109" s="83">
        <v>0</v>
      </c>
      <c r="L109" s="81">
        <v>0</v>
      </c>
      <c r="M109" s="83">
        <v>0.05</v>
      </c>
      <c r="N109" s="234">
        <v>0</v>
      </c>
      <c r="O109" s="82">
        <v>0</v>
      </c>
      <c r="P109" s="83">
        <v>0.3</v>
      </c>
      <c r="Q109" s="81">
        <v>0</v>
      </c>
      <c r="R109" s="82">
        <v>0</v>
      </c>
      <c r="S109" s="83">
        <v>0.05</v>
      </c>
      <c r="T109" s="81">
        <v>0</v>
      </c>
      <c r="U109" s="82">
        <v>0</v>
      </c>
      <c r="V109" s="83">
        <v>0</v>
      </c>
      <c r="W109" s="81">
        <v>0</v>
      </c>
      <c r="X109" s="82">
        <v>0</v>
      </c>
      <c r="Y109" s="83">
        <v>0.25</v>
      </c>
      <c r="Z109" s="81">
        <v>0</v>
      </c>
      <c r="AA109" s="82">
        <v>0</v>
      </c>
      <c r="AB109" s="83">
        <v>0</v>
      </c>
      <c r="AC109" s="81">
        <v>0</v>
      </c>
      <c r="AD109" s="82">
        <v>0</v>
      </c>
      <c r="AE109" s="83">
        <v>0.05</v>
      </c>
      <c r="AF109" s="81">
        <v>0</v>
      </c>
      <c r="AG109" s="82">
        <v>0</v>
      </c>
      <c r="AH109" s="83">
        <v>0</v>
      </c>
      <c r="AI109" s="81">
        <v>0</v>
      </c>
      <c r="AJ109" s="82">
        <v>0</v>
      </c>
      <c r="AK109" s="83">
        <v>0</v>
      </c>
      <c r="AL109" s="81">
        <v>0</v>
      </c>
      <c r="AM109" s="82">
        <v>0</v>
      </c>
      <c r="AN109" s="83">
        <v>0</v>
      </c>
      <c r="AO109" s="81">
        <v>0</v>
      </c>
      <c r="AP109" s="82">
        <v>0</v>
      </c>
      <c r="AQ109" s="83">
        <v>0</v>
      </c>
      <c r="AR109" s="81">
        <v>0</v>
      </c>
      <c r="AS109" s="82">
        <v>0</v>
      </c>
      <c r="AT109" s="83">
        <v>0</v>
      </c>
      <c r="AU109" s="81">
        <v>0</v>
      </c>
      <c r="AV109" s="82">
        <v>0</v>
      </c>
      <c r="AW109" s="83">
        <v>0</v>
      </c>
      <c r="AX109" s="81">
        <v>0</v>
      </c>
      <c r="AY109" s="82">
        <v>0</v>
      </c>
      <c r="AZ109" s="83">
        <v>0</v>
      </c>
      <c r="BA109" s="81">
        <v>0</v>
      </c>
      <c r="BB109" s="82">
        <v>0</v>
      </c>
      <c r="BC109" s="83">
        <v>0</v>
      </c>
    </row>
    <row r="110" spans="2:55" ht="14.65" thickBot="1">
      <c r="B110" s="10"/>
    </row>
    <row r="111" spans="2:55" s="3" customFormat="1" ht="14.65" thickBot="1">
      <c r="B111" s="482"/>
      <c r="C111" s="1"/>
      <c r="D111" s="483" t="s">
        <v>487</v>
      </c>
      <c r="E111" s="496">
        <f>IF(decret2026,HLOOKUP("ICI",E116:J117,2,FALSE),0)</f>
      </c>
      <c r="K111" s="36" t="s">
        <v>183</v>
      </c>
      <c r="M111" s="14" t="s">
        <v>451</v>
      </c>
    </row>
    <row r="112" spans="2:55" s="3" customFormat="1">
      <c r="E112" s="495" t="str">
        <f>Enumération!C37</f>
        <v>Maisons_individuelles_ou_accolées</v>
      </c>
      <c r="F112" s="495" t="str">
        <f>Enumération!D37</f>
        <v>Maisons_individuelles_ou_accolées</v>
      </c>
      <c r="G112" s="495" t="str">
        <f>Enumération!E37</f>
        <v>Maisons_individuelles_ou_accolées</v>
      </c>
      <c r="H112" s="495" t="str">
        <f>Enumération!F37</f>
        <v>Logement_collectif</v>
      </c>
      <c r="I112" s="495" t="str">
        <f>Enumération!G37</f>
        <v>Logement_collectif</v>
      </c>
      <c r="J112" s="24" t="s">
        <v>468</v>
      </c>
    </row>
    <row r="113" spans="4:10" s="3" customFormat="1">
      <c r="E113" s="24" t="s">
        <v>466</v>
      </c>
      <c r="F113" s="24" t="s">
        <v>467</v>
      </c>
      <c r="G113" s="24" t="s">
        <v>467</v>
      </c>
      <c r="H113" s="24" t="s">
        <v>466</v>
      </c>
      <c r="I113" s="24" t="s">
        <v>467</v>
      </c>
      <c r="J113" s="24"/>
    </row>
    <row r="114" spans="4:10" s="3" customFormat="1">
      <c r="D114" s="38" t="s">
        <v>469</v>
      </c>
      <c r="E114" s="24" t="b">
        <f>HSPmoy&lt;=2.5</f>
        <v>0</v>
      </c>
      <c r="F114" s="24" t="b">
        <f>HSPmoy&gt;2.5</f>
        <v>1</v>
      </c>
      <c r="G114" s="24" t="b">
        <f>HSPmoy&gt;2.5</f>
        <v>1</v>
      </c>
      <c r="H114" s="24" t="b">
        <f>HSPmoy&lt;=2.5</f>
        <v>0</v>
      </c>
      <c r="I114" s="24" t="b">
        <f>HSPmoy&gt;2.5</f>
        <v>1</v>
      </c>
      <c r="J114" s="24"/>
    </row>
    <row r="115" spans="4:10" s="3" customFormat="1">
      <c r="D115" s="38" t="s">
        <v>470</v>
      </c>
      <c r="E115" s="24"/>
      <c r="F115" s="24" t="b">
        <f>sref&lt;=150</f>
        <v>0</v>
      </c>
      <c r="G115" s="24" t="b">
        <f>sref&gt;150</f>
        <v>1</v>
      </c>
      <c r="H115" s="24"/>
      <c r="I115" s="24"/>
      <c r="J115" s="24"/>
    </row>
    <row r="116" spans="4:10" s="3" customFormat="1">
      <c r="D116" s="38" t="s">
        <v>235</v>
      </c>
      <c r="E116" s="24" t="b">
        <f>IF(AND(E114,usage=E112),"ICI",FALSE)</f>
        <v>0</v>
      </c>
      <c r="F116" s="24" t="b">
        <f>IF(AND(F114,F115,usage=F112),"ICI",FALSE)</f>
        <v>0</v>
      </c>
      <c r="G116" s="24" t="b">
        <f>IF(AND(G114,G115,usage=G112),"ICI",FALSE)</f>
        <v>0</v>
      </c>
      <c r="H116" s="24" t="b">
        <f>IF(AND(H114,usage=H112),"ICI",FALSE)</f>
        <v>0</v>
      </c>
      <c r="I116" s="24" t="str">
        <f>IF(AND(I114,usage=I112),"ICI",FALSE)</f>
        <v>ICI</v>
      </c>
      <c r="J116" s="24" t="b">
        <f>IF(COUNTIF(E116:I116,"ICI")&gt;0,FALSE,"ICI")</f>
        <v>0</v>
      </c>
    </row>
    <row r="117" spans="4:10" s="3" customFormat="1">
      <c r="E117" s="24">
        <v>0</v>
      </c>
      <c r="F117" s="24">
        <f>((MIN(HSPmoy,2.9)/2.5)-1)/2</f>
        <v>2.0000000000000018E-2</v>
      </c>
      <c r="G117" s="24">
        <f>((MIN(HSPmoy,2.9)/2.5)-1)/4</f>
        <v>1.0000000000000009E-2</v>
      </c>
      <c r="H117" s="24">
        <v>0</v>
      </c>
      <c r="I117" s="497">
        <f>((MIN(HSPmoy,2.9)/2.5)-1)/4</f>
        <v>1.0000000000000009E-2</v>
      </c>
      <c r="J117" s="472">
        <v>0</v>
      </c>
    </row>
  </sheetData>
  <mergeCells count="45">
    <mergeCell ref="AU100:AW100"/>
    <mergeCell ref="AX100:AZ100"/>
    <mergeCell ref="BA100:BC100"/>
    <mergeCell ref="I100:K100"/>
    <mergeCell ref="L100:M100"/>
    <mergeCell ref="AF100:AH100"/>
    <mergeCell ref="AI100:AK100"/>
    <mergeCell ref="AL100:AN100"/>
    <mergeCell ref="AO100:AQ100"/>
    <mergeCell ref="AR100:AT100"/>
    <mergeCell ref="Q100:S100"/>
    <mergeCell ref="T100:V100"/>
    <mergeCell ref="W100:Y100"/>
    <mergeCell ref="Z100:AB100"/>
    <mergeCell ref="AC100:AE100"/>
    <mergeCell ref="E64:G64"/>
    <mergeCell ref="H64:J64"/>
    <mergeCell ref="K64:M64"/>
    <mergeCell ref="N64:P64"/>
    <mergeCell ref="E100:F100"/>
    <mergeCell ref="G100:H100"/>
    <mergeCell ref="N100:P100"/>
    <mergeCell ref="AR64:AT64"/>
    <mergeCell ref="Q64:S64"/>
    <mergeCell ref="T64:V64"/>
    <mergeCell ref="W64:Y64"/>
    <mergeCell ref="AI64:AK64"/>
    <mergeCell ref="AC64:AE64"/>
    <mergeCell ref="Z64:AB64"/>
    <mergeCell ref="BP64:BR64"/>
    <mergeCell ref="BJ64:BL64"/>
    <mergeCell ref="AF64:AH64"/>
    <mergeCell ref="CE64:CG64"/>
    <mergeCell ref="BY64:CA64"/>
    <mergeCell ref="CB64:CD64"/>
    <mergeCell ref="BM64:BO64"/>
    <mergeCell ref="BG64:BI64"/>
    <mergeCell ref="BV64:BX64"/>
    <mergeCell ref="BS64:BU64"/>
    <mergeCell ref="AU64:AW64"/>
    <mergeCell ref="BA64:BC64"/>
    <mergeCell ref="BD64:BF64"/>
    <mergeCell ref="AX64:AZ64"/>
    <mergeCell ref="AL64:AN64"/>
    <mergeCell ref="AO64:AQ64"/>
  </mergeCells>
  <phoneticPr fontId="5" type="noConversion"/>
  <conditionalFormatting sqref="D6:D33">
    <cfRule type="cellIs" dxfId="85" priority="26" operator="equal">
      <formula>$D$5</formula>
    </cfRule>
  </conditionalFormatting>
  <conditionalFormatting sqref="D66:D77">
    <cfRule type="cellIs" dxfId="83" priority="43" operator="equal">
      <formula>zoneclim</formula>
    </cfRule>
  </conditionalFormatting>
  <conditionalFormatting sqref="D75">
    <cfRule type="cellIs" dxfId="82" priority="15" stopIfTrue="1" operator="equal">
      <formula>"oui"</formula>
    </cfRule>
  </conditionalFormatting>
  <conditionalFormatting sqref="D102:D109">
    <cfRule type="cellIs" dxfId="81" priority="38" operator="equal">
      <formula>zoneclim</formula>
    </cfRule>
  </conditionalFormatting>
  <conditionalFormatting sqref="E112:J112">
    <cfRule type="cellIs" dxfId="80" priority="1" operator="equal">
      <formula>usage</formula>
    </cfRule>
  </conditionalFormatting>
  <conditionalFormatting sqref="E116:J116">
    <cfRule type="cellIs" dxfId="79" priority="2" operator="equal">
      <formula>"ICI"</formula>
    </cfRule>
  </conditionalFormatting>
  <conditionalFormatting sqref="E64:Y64 AC64:AE64 AI64:AK64 AX64:BI64 BM64:BO64 BS64:CA64 CE64:CG64 E100:I100 L100 N100 Q100 T100">
    <cfRule type="cellIs" dxfId="78" priority="30" operator="equal">
      <formula>usage</formula>
    </cfRule>
  </conditionalFormatting>
  <conditionalFormatting sqref="E101:BC101">
    <cfRule type="cellIs" dxfId="77" priority="29" operator="equal">
      <formula>categorie</formula>
    </cfRule>
  </conditionalFormatting>
  <conditionalFormatting sqref="E65:CG65">
    <cfRule type="cellIs" dxfId="75" priority="41" operator="equal">
      <formula>elevation</formula>
    </cfRule>
  </conditionalFormatting>
  <conditionalFormatting sqref="G81:AC81">
    <cfRule type="cellIs" dxfId="74" priority="27" operator="equal">
      <formula>usage</formula>
    </cfRule>
  </conditionalFormatting>
  <conditionalFormatting sqref="G84:AC84">
    <cfRule type="cellIs" dxfId="73" priority="48" operator="equal">
      <formula>"ICI"</formula>
    </cfRule>
  </conditionalFormatting>
  <conditionalFormatting sqref="G87:AP87">
    <cfRule type="cellIs" dxfId="72" priority="28" operator="equal">
      <formula>usage</formula>
    </cfRule>
  </conditionalFormatting>
  <conditionalFormatting sqref="G96:AP96">
    <cfRule type="cellIs" dxfId="71" priority="49" operator="equal">
      <formula>"ICI"</formula>
    </cfRule>
  </conditionalFormatting>
  <conditionalFormatting sqref="K6:K61">
    <cfRule type="cellIs" dxfId="70" priority="25" operator="equal">
      <formula>$K$4</formula>
    </cfRule>
  </conditionalFormatting>
  <conditionalFormatting sqref="L5:N5">
    <cfRule type="cellIs" dxfId="69" priority="78" operator="equal">
      <formula>$J$4</formula>
    </cfRule>
  </conditionalFormatting>
  <conditionalFormatting sqref="Q87:U87">
    <cfRule type="cellIs" dxfId="68" priority="14" operator="equal">
      <formula>$D$5</formula>
    </cfRule>
  </conditionalFormatting>
  <conditionalFormatting sqref="W100 Z100">
    <cfRule type="cellIs" dxfId="67" priority="11" operator="equal">
      <formula>usage</formula>
    </cfRule>
  </conditionalFormatting>
  <conditionalFormatting sqref="W64:CE64">
    <cfRule type="cellIs" dxfId="66" priority="16" operator="equal">
      <formula>$D$5</formula>
    </cfRule>
  </conditionalFormatting>
  <conditionalFormatting sqref="AB87:AE87">
    <cfRule type="cellIs" dxfId="65" priority="13" operator="equal">
      <formula>usage_detaillé</formula>
    </cfRule>
  </conditionalFormatting>
  <conditionalFormatting sqref="AC100">
    <cfRule type="cellIs" dxfId="64" priority="10" operator="equal">
      <formula>usage</formula>
    </cfRule>
  </conditionalFormatting>
  <conditionalFormatting sqref="AF100">
    <cfRule type="cellIs" dxfId="63" priority="9" operator="equal">
      <formula>usage</formula>
    </cfRule>
  </conditionalFormatting>
  <conditionalFormatting sqref="AG87:AM87">
    <cfRule type="cellIs" dxfId="62" priority="12" operator="equal">
      <formula>usage_detaillé</formula>
    </cfRule>
  </conditionalFormatting>
  <conditionalFormatting sqref="AI100">
    <cfRule type="cellIs" dxfId="61" priority="8" operator="equal">
      <formula>usage</formula>
    </cfRule>
  </conditionalFormatting>
  <conditionalFormatting sqref="AL100 AO100">
    <cfRule type="cellIs" dxfId="60" priority="7" operator="equal">
      <formula>usage</formula>
    </cfRule>
  </conditionalFormatting>
  <conditionalFormatting sqref="AR100">
    <cfRule type="cellIs" dxfId="59" priority="6" operator="equal">
      <formula>usage</formula>
    </cfRule>
  </conditionalFormatting>
  <conditionalFormatting sqref="AU100">
    <cfRule type="cellIs" dxfId="58" priority="5" operator="equal">
      <formula>usage</formula>
    </cfRule>
  </conditionalFormatting>
  <conditionalFormatting sqref="AX100">
    <cfRule type="cellIs" dxfId="57" priority="4" operator="equal">
      <formula>usage</formula>
    </cfRule>
  </conditionalFormatting>
  <conditionalFormatting sqref="BA100">
    <cfRule type="cellIs" dxfId="56" priority="3" operator="equal">
      <formula>usage</formula>
    </cfRule>
  </conditionalFormatting>
  <pageMargins left="0.7" right="0.7" top="0.75" bottom="0.75" header="0.3" footer="0.3"/>
  <pageSetup paperSize="9" orientation="portrait" horizontalDpi="1200" verticalDpi="1200" r:id="rId1"/>
  <ignoredErrors>
    <ignoredError sqref="AH92" formula="1"/>
  </ignoredErrors>
  <drawing r:id="rId2"/>
  <extLst>
    <ext xmlns:x14="http://schemas.microsoft.com/office/spreadsheetml/2009/9/main" uri="{78C0D931-6437-407d-A8EE-F0AAD7539E65}">
      <x14:conditionalFormattings>
        <x14:conditionalFormatting xmlns:xm="http://schemas.microsoft.com/office/excel/2006/main">
          <x14:cfRule type="cellIs" priority="47" operator="equal" id="{8C6FF526-9EC9-47CC-A5B0-185C9E115812}">
            <xm:f>Input_resultats!$E$4</xm:f>
            <x14:dxf>
              <fill>
                <patternFill>
                  <bgColor theme="5" tint="0.79998168889431442"/>
                </patternFill>
              </fill>
            </x14:dxf>
          </x14:cfRule>
          <xm:sqref>D34:D35</xm:sqref>
        </x14:conditionalFormatting>
        <x14:conditionalFormatting xmlns:xm="http://schemas.microsoft.com/office/excel/2006/main">
          <x14:cfRule type="cellIs" priority="31" operator="equal" id="{726C860C-13B8-449F-832B-F9BD8DEE7875}">
            <xm:f>Input_resultats!$E$4</xm:f>
            <x14:dxf>
              <fill>
                <patternFill>
                  <bgColor theme="5" tint="0.79998168889431442"/>
                </patternFill>
              </fill>
            </x14:dxf>
          </x14:cfRule>
          <xm:sqref>E101:BC101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BD67-50F9-42E3-A358-B2A59E14CB01}">
  <dimension ref="B2:CG100"/>
  <sheetViews>
    <sheetView topLeftCell="A19" zoomScaleNormal="100" workbookViewId="0">
      <selection activeCell="E37" sqref="E37"/>
    </sheetView>
  </sheetViews>
  <sheetFormatPr baseColWidth="10" defaultColWidth="10.9296875" defaultRowHeight="14.25"/>
  <cols>
    <col min="1" max="1" width="10.9296875" style="1"/>
    <col min="2" max="2" width="61.46484375" style="1" customWidth="1"/>
    <col min="3" max="3" width="10.9296875" style="1"/>
    <col min="4" max="4" width="58.46484375" style="1" customWidth="1"/>
    <col min="5" max="5" width="13.46484375" style="1" customWidth="1"/>
    <col min="6" max="22" width="10.9296875" style="1"/>
    <col min="23" max="23" width="21.59765625" style="1" customWidth="1"/>
    <col min="24" max="16384" width="10.9296875" style="1"/>
  </cols>
  <sheetData>
    <row r="2" spans="2:9" ht="17.649999999999999" thickBot="1">
      <c r="B2" s="8" t="s">
        <v>0</v>
      </c>
    </row>
    <row r="3" spans="2:9" ht="15.4" thickBot="1">
      <c r="B3" s="9"/>
      <c r="D3" s="22" t="s">
        <v>397</v>
      </c>
      <c r="E3" s="7" t="s">
        <v>33</v>
      </c>
    </row>
    <row r="4" spans="2:9" ht="20.65" thickBot="1">
      <c r="B4" s="193" t="s">
        <v>1</v>
      </c>
      <c r="D4" s="40" t="str">
        <f>usage_detaillé</f>
        <v>Logement_collectif</v>
      </c>
      <c r="E4" s="371">
        <f>VLOOKUP(D4,D5:E32,2,FALSE)</f>
        <v>65</v>
      </c>
    </row>
    <row r="5" spans="2:9">
      <c r="B5" s="194"/>
      <c r="D5" s="363" t="str">
        <f>Enumération!C4</f>
        <v>Maisons_individuelles_ou_accolées</v>
      </c>
      <c r="E5" s="57">
        <v>63</v>
      </c>
      <c r="F5" s="372">
        <v>0</v>
      </c>
      <c r="G5" s="126">
        <v>0</v>
      </c>
      <c r="H5" s="36" t="str">
        <f>IF(OR(usage=D4,usage=D5),"logement","")</f>
        <v>logement</v>
      </c>
      <c r="I5" s="374"/>
    </row>
    <row r="6" spans="2:9" ht="20.25">
      <c r="B6" s="195" t="s">
        <v>480</v>
      </c>
      <c r="D6" s="364" t="str">
        <f>Enumération!C5</f>
        <v>Logement_collectif</v>
      </c>
      <c r="E6" s="71">
        <v>65</v>
      </c>
      <c r="F6" s="29">
        <v>3</v>
      </c>
      <c r="G6" s="127">
        <v>2</v>
      </c>
      <c r="I6" s="374"/>
    </row>
    <row r="7" spans="2:9">
      <c r="B7" s="196"/>
      <c r="D7" s="364" t="str">
        <f>Enumération!C6</f>
        <v>Bureaux</v>
      </c>
      <c r="E7" s="71">
        <v>95</v>
      </c>
      <c r="F7" s="29">
        <v>6</v>
      </c>
      <c r="G7" s="127">
        <v>4</v>
      </c>
      <c r="I7" s="374"/>
    </row>
    <row r="8" spans="2:9" ht="20.25">
      <c r="B8" s="197" t="s">
        <v>2</v>
      </c>
      <c r="D8" s="365" t="str">
        <f>_xlfn.CONCAT(Enumération!C$7," - ",Enumération!F4)</f>
        <v xml:space="preserve">Enseignement_primaire_ou_secondaire - Enseignement primaire </v>
      </c>
      <c r="E8" s="71">
        <v>68</v>
      </c>
      <c r="F8" s="312">
        <v>9</v>
      </c>
      <c r="G8" s="127">
        <v>7</v>
      </c>
      <c r="I8" s="374"/>
    </row>
    <row r="9" spans="2:9">
      <c r="B9" s="197" t="s">
        <v>3</v>
      </c>
      <c r="D9" s="365" t="str">
        <f>_xlfn.CONCAT(Enumération!C$7," - ",Enumération!F5)</f>
        <v>Enseignement_primaire_ou_secondaire - Enseignement secondaire</v>
      </c>
      <c r="E9" s="71">
        <f>E8</f>
        <v>68</v>
      </c>
      <c r="F9" s="312">
        <v>9</v>
      </c>
      <c r="G9" s="127"/>
      <c r="I9" s="374"/>
    </row>
    <row r="10" spans="2:9" ht="20.25">
      <c r="B10" s="197" t="s">
        <v>4</v>
      </c>
      <c r="D10" s="366" t="str">
        <f>Enumération!C8</f>
        <v>Médiathèques_et_bibliothèques</v>
      </c>
      <c r="E10" s="71">
        <v>117</v>
      </c>
      <c r="F10" s="29">
        <v>12</v>
      </c>
      <c r="G10" s="127"/>
      <c r="H10" s="14"/>
      <c r="I10" s="374"/>
    </row>
    <row r="11" spans="2:9">
      <c r="B11" s="197" t="s">
        <v>5</v>
      </c>
      <c r="D11" s="367" t="str">
        <f>Enumération!C9</f>
        <v>Bâtiments_universitaires_d'enseignement_et_de_recherche_et_bâtiments_d’enseignements_atypiques</v>
      </c>
      <c r="E11" s="71">
        <v>122</v>
      </c>
      <c r="F11" s="29">
        <v>15</v>
      </c>
      <c r="G11" s="127"/>
      <c r="H11" s="14"/>
      <c r="I11" s="374"/>
    </row>
    <row r="12" spans="2:9">
      <c r="B12" s="197" t="s">
        <v>6</v>
      </c>
      <c r="D12" s="368" t="str">
        <f>_xlfn.CONCAT(Enumération!C$10," - ",Enumération!G4)</f>
        <v>Hôtels - 0, 1 et 2 étoiles (partie nuit)</v>
      </c>
      <c r="E12" s="71">
        <v>76</v>
      </c>
      <c r="F12" s="312">
        <v>18</v>
      </c>
      <c r="G12" s="127"/>
      <c r="H12" s="14"/>
      <c r="I12" s="374"/>
    </row>
    <row r="13" spans="2:9" ht="20.25">
      <c r="B13" s="197" t="s">
        <v>7</v>
      </c>
      <c r="D13" s="368" t="str">
        <f>_xlfn.CONCAT(Enumération!C$10," - ",Enumération!G5)</f>
        <v>Hôtels - 3, 4 et 5 étoiles (partie nuit)</v>
      </c>
      <c r="E13" s="71">
        <v>76</v>
      </c>
      <c r="F13" s="312">
        <v>21</v>
      </c>
      <c r="G13" s="127"/>
      <c r="H13" s="14"/>
      <c r="I13" s="374"/>
    </row>
    <row r="14" spans="2:9">
      <c r="B14" s="197" t="s">
        <v>481</v>
      </c>
      <c r="D14" s="368" t="str">
        <f>_xlfn.CONCAT(Enumération!C$10," - ",Enumération!G6)</f>
        <v>Hôtels - 0, 1 et 2 étoiles (partie jour)</v>
      </c>
      <c r="E14" s="71">
        <v>134</v>
      </c>
      <c r="F14" s="312">
        <v>24</v>
      </c>
      <c r="G14" s="127"/>
      <c r="H14" s="14"/>
      <c r="I14" s="374"/>
    </row>
    <row r="15" spans="2:9">
      <c r="B15" s="197"/>
      <c r="D15" s="368" t="str">
        <f>_xlfn.CONCAT(Enumération!C$10," - ",Enumération!G7)</f>
        <v>Hôtels - 3, 4 et 5 étoiles (partie jour)</v>
      </c>
      <c r="E15" s="71">
        <v>163</v>
      </c>
      <c r="F15" s="312">
        <v>27</v>
      </c>
      <c r="G15" s="127"/>
      <c r="H15" s="14"/>
      <c r="I15" s="374"/>
    </row>
    <row r="16" spans="2:9">
      <c r="B16" s="197"/>
      <c r="D16" s="367" t="str">
        <f>Enumération!C11</f>
        <v>Etablissements_d'accueil_de_la_petite_enfance </v>
      </c>
      <c r="E16" s="71">
        <v>139</v>
      </c>
      <c r="F16" s="29">
        <v>30</v>
      </c>
      <c r="G16" s="127"/>
      <c r="H16" s="14"/>
      <c r="I16" s="374"/>
    </row>
    <row r="17" spans="2:9">
      <c r="B17" s="197"/>
      <c r="D17" s="368" t="str">
        <f>_xlfn.CONCAT(Enumération!C$12," - ",Enumération!H4)</f>
        <v>Restaurants - en continu, 18 heures par jour, 7 jours sur 7</v>
      </c>
      <c r="E17" s="71">
        <v>245</v>
      </c>
      <c r="F17" s="312">
        <v>33</v>
      </c>
      <c r="G17" s="127"/>
      <c r="H17" s="14"/>
      <c r="I17" s="374"/>
    </row>
    <row r="18" spans="2:9">
      <c r="B18" s="197"/>
      <c r="D18" s="368" t="str">
        <f>_xlfn.CONCAT(Enumération!C$12," - ",Enumération!H5)</f>
        <v>Restaurants - 1 repas par jour, 5 jours sur 7</v>
      </c>
      <c r="E18" s="71">
        <v>100</v>
      </c>
      <c r="F18" s="312">
        <v>36</v>
      </c>
      <c r="G18" s="127"/>
      <c r="H18" s="14"/>
      <c r="I18" s="374"/>
    </row>
    <row r="19" spans="2:9">
      <c r="B19" s="197"/>
      <c r="D19" s="368" t="str">
        <f>_xlfn.CONCAT(Enumération!C$12," - ",Enumération!H6)</f>
        <v>Restaurants - 2 repas par jour, 7 jours sur 7</v>
      </c>
      <c r="E19" s="71">
        <v>206</v>
      </c>
      <c r="F19" s="312">
        <v>39</v>
      </c>
      <c r="G19" s="127"/>
      <c r="H19" s="14"/>
      <c r="I19" s="374"/>
    </row>
    <row r="20" spans="2:9">
      <c r="B20" s="197"/>
      <c r="D20" s="368" t="str">
        <f>_xlfn.CONCAT(Enumération!C$12," - ",Enumération!H7)</f>
        <v>Restaurants - 2 repas par jour, 6 jours sur 7</v>
      </c>
      <c r="E20" s="71">
        <v>177</v>
      </c>
      <c r="F20" s="312">
        <v>42</v>
      </c>
      <c r="G20" s="127"/>
      <c r="H20" s="14"/>
      <c r="I20" s="374"/>
    </row>
    <row r="21" spans="2:9">
      <c r="B21" s="197"/>
      <c r="D21" s="367" t="str">
        <f>Enumération!C13</f>
        <v>Commerces</v>
      </c>
      <c r="E21" s="71">
        <v>170</v>
      </c>
      <c r="F21" s="29">
        <v>45</v>
      </c>
      <c r="G21" s="127"/>
      <c r="H21" s="14"/>
      <c r="I21" s="374"/>
    </row>
    <row r="22" spans="2:9">
      <c r="B22" s="197"/>
      <c r="D22" s="367" t="str">
        <f>Enumération!C14</f>
        <v>Vestiaires seuls</v>
      </c>
      <c r="E22" s="71">
        <v>225</v>
      </c>
      <c r="F22" s="29">
        <v>48</v>
      </c>
      <c r="G22" s="127"/>
      <c r="H22" s="14"/>
      <c r="I22" s="374"/>
    </row>
    <row r="23" spans="2:9">
      <c r="B23" s="197"/>
      <c r="D23" s="367" t="str">
        <f>Enumération!C15</f>
        <v>Etablissements_sanitaires_avec_hébergement</v>
      </c>
      <c r="E23" s="71">
        <v>174</v>
      </c>
      <c r="F23" s="29">
        <v>51</v>
      </c>
      <c r="G23" s="127"/>
      <c r="H23" s="14"/>
      <c r="I23" s="374"/>
    </row>
    <row r="24" spans="2:9">
      <c r="B24" s="197"/>
      <c r="D24" s="368" t="str">
        <f>_xlfn.CONCAT(Enumération!C$16," - ",Enumération!I4)</f>
        <v xml:space="preserve">Etablissements_de_santé - partie nuit </v>
      </c>
      <c r="E24" s="71">
        <v>164</v>
      </c>
      <c r="F24" s="312">
        <v>54</v>
      </c>
      <c r="G24" s="127"/>
      <c r="H24" s="14"/>
      <c r="I24" s="374"/>
    </row>
    <row r="25" spans="2:9">
      <c r="B25" s="197"/>
      <c r="D25" s="368" t="str">
        <f>_xlfn.CONCAT(Enumération!C$16," - ",Enumération!I5)</f>
        <v xml:space="preserve">Etablissements_de_santé - partie jour </v>
      </c>
      <c r="E25" s="71">
        <v>133</v>
      </c>
      <c r="F25" s="312">
        <v>57</v>
      </c>
      <c r="G25" s="127"/>
      <c r="H25" s="14"/>
      <c r="I25" s="374"/>
    </row>
    <row r="26" spans="2:9">
      <c r="B26" s="197"/>
      <c r="D26" s="367" t="str">
        <f>Enumération!C17</f>
        <v>Aérogares</v>
      </c>
      <c r="E26" s="71">
        <v>248</v>
      </c>
      <c r="F26" s="29">
        <v>60</v>
      </c>
      <c r="G26" s="127"/>
      <c r="H26" s="14"/>
      <c r="I26" s="374"/>
    </row>
    <row r="27" spans="2:9">
      <c r="B27" s="197"/>
      <c r="D27" s="368" t="str">
        <f>_xlfn.CONCAT(Enumération!C$18," - ",Enumération!J4)</f>
        <v>Industries_ou_artisanats - 3x8h</v>
      </c>
      <c r="E27" s="71">
        <v>257</v>
      </c>
      <c r="F27" s="312">
        <v>63</v>
      </c>
      <c r="G27" s="127"/>
      <c r="H27" s="14"/>
      <c r="I27" s="374"/>
    </row>
    <row r="28" spans="2:9">
      <c r="B28" s="197"/>
      <c r="D28" s="368" t="str">
        <f>_xlfn.CONCAT(Enumération!C$18," - ",Enumération!J5)</f>
        <v>Industries_ou_artisanats - 8h à 18h</v>
      </c>
      <c r="E28" s="71">
        <v>69</v>
      </c>
      <c r="F28" s="312">
        <v>66</v>
      </c>
      <c r="G28" s="127"/>
      <c r="H28" s="14"/>
      <c r="I28" s="374"/>
    </row>
    <row r="29" spans="2:9">
      <c r="B29" s="197"/>
      <c r="D29" s="367" t="str">
        <f>Enumération!C19</f>
        <v>Etablissements_sportifs_municipaux_ou_scolaires</v>
      </c>
      <c r="E29" s="71">
        <v>94</v>
      </c>
      <c r="F29" s="29">
        <v>69</v>
      </c>
      <c r="G29" s="127"/>
      <c r="H29" s="14"/>
      <c r="I29" s="374"/>
    </row>
    <row r="30" spans="2:9">
      <c r="B30" s="197"/>
      <c r="D30" s="368" t="str">
        <f>_xlfn.CONCAT(Enumération!C$20," - ",Enumération!K4)</f>
        <v>Restaurants_scolaires - 1 repas par jour, 5 jours sur 7</v>
      </c>
      <c r="E30" s="71">
        <v>76</v>
      </c>
      <c r="F30" s="312">
        <v>72</v>
      </c>
      <c r="G30" s="127"/>
      <c r="H30" s="14"/>
      <c r="I30" s="374"/>
    </row>
    <row r="31" spans="2:9">
      <c r="B31" s="197"/>
      <c r="D31" s="368" t="str">
        <f>_xlfn.CONCAT(Enumération!C$20," - ",Enumération!K5)</f>
        <v>Restaurants_scolaires - 3 repas par jour, 5 jours sur 7</v>
      </c>
      <c r="E31" s="71">
        <v>116</v>
      </c>
      <c r="F31" s="312">
        <v>75</v>
      </c>
      <c r="G31" s="127"/>
      <c r="H31" s="14"/>
      <c r="I31" s="374"/>
    </row>
    <row r="32" spans="2:9" ht="14.65" thickBot="1">
      <c r="B32" s="197"/>
      <c r="D32" s="369" t="str">
        <f>Enumération!C21</f>
        <v>Etablissements_sportifs_privés</v>
      </c>
      <c r="E32" s="81">
        <f>E29</f>
        <v>94</v>
      </c>
      <c r="F32" s="373">
        <v>78</v>
      </c>
      <c r="G32" s="128"/>
      <c r="H32" s="14"/>
      <c r="I32" s="374"/>
    </row>
    <row r="33" spans="2:85" ht="14.65" thickBot="1">
      <c r="B33" s="197"/>
      <c r="E33" s="2"/>
      <c r="F33" s="361"/>
      <c r="G33" s="361"/>
      <c r="H33" s="14"/>
    </row>
    <row r="34" spans="2:85" ht="14.65" thickBot="1">
      <c r="B34" s="197"/>
      <c r="D34" s="7" t="s">
        <v>179</v>
      </c>
      <c r="E34" s="370" cm="1">
        <f t="array" ref="E34">INDEX(E37:CG44,MATCH(zoneclim,D37:D44,0),MATCH(elevation,E36:G36,0)+D36)</f>
        <v>0.1</v>
      </c>
    </row>
    <row r="35" spans="2:85">
      <c r="E35" s="549" t="str">
        <f>Enumération!C39</f>
        <v>Maisons_individuelles_ou_accolées</v>
      </c>
      <c r="F35" s="550"/>
      <c r="G35" s="551"/>
      <c r="H35" s="549" t="str">
        <f>Enumération!F39</f>
        <v>Logement_collectif</v>
      </c>
      <c r="I35" s="550"/>
      <c r="J35" s="551"/>
      <c r="K35" s="549" t="str">
        <f>Enumération!I39</f>
        <v>Bureaux</v>
      </c>
      <c r="L35" s="550"/>
      <c r="M35" s="551"/>
      <c r="N35" s="549" t="str">
        <f>Enumération!L39</f>
        <v>Enseignement_primaire_ou_secondaire</v>
      </c>
      <c r="O35" s="550"/>
      <c r="P35" s="551"/>
      <c r="Q35" s="540" t="str">
        <f>Enumération!O39</f>
        <v>Médiathèques_et_bibliothèques</v>
      </c>
      <c r="R35" s="541"/>
      <c r="S35" s="542"/>
      <c r="T35" s="540" t="str">
        <f>Enumération!R39</f>
        <v>Bâtiments_universitaires_d'enseignement_et_de_recherche_et_bâtiments_d’enseignements_atypiques</v>
      </c>
      <c r="U35" s="541"/>
      <c r="V35" s="542"/>
      <c r="W35" s="540" t="s">
        <v>349</v>
      </c>
      <c r="X35" s="541"/>
      <c r="Y35" s="542"/>
      <c r="Z35" s="540" t="s">
        <v>351</v>
      </c>
      <c r="AA35" s="541"/>
      <c r="AB35" s="542"/>
      <c r="AC35" s="540" t="s">
        <v>353</v>
      </c>
      <c r="AD35" s="541"/>
      <c r="AE35" s="542"/>
      <c r="AF35" s="540" t="s">
        <v>355</v>
      </c>
      <c r="AG35" s="541"/>
      <c r="AH35" s="542"/>
      <c r="AI35" s="543" t="str">
        <f>Enumération!X39</f>
        <v>Etablissements_d'accueil_de_la_petite_enfance </v>
      </c>
      <c r="AJ35" s="544"/>
      <c r="AK35" s="545"/>
      <c r="AL35" s="540" t="s">
        <v>358</v>
      </c>
      <c r="AM35" s="541"/>
      <c r="AN35" s="542"/>
      <c r="AO35" s="540" t="s">
        <v>360</v>
      </c>
      <c r="AP35" s="541"/>
      <c r="AQ35" s="542"/>
      <c r="AR35" s="540" t="s">
        <v>362</v>
      </c>
      <c r="AS35" s="541"/>
      <c r="AT35" s="542"/>
      <c r="AU35" s="540" t="s">
        <v>364</v>
      </c>
      <c r="AV35" s="541"/>
      <c r="AW35" s="542"/>
      <c r="AX35" s="543" t="str">
        <f>Enumération!AD39</f>
        <v>Commerces</v>
      </c>
      <c r="AY35" s="544"/>
      <c r="AZ35" s="545"/>
      <c r="BA35" s="543" t="str">
        <f>Enumération!AG39</f>
        <v>Vestiaires seuls</v>
      </c>
      <c r="BB35" s="544"/>
      <c r="BC35" s="545"/>
      <c r="BD35" s="543" t="str">
        <f>Enumération!AJ39</f>
        <v>Etablissements_sanitaires_avec_hébergement</v>
      </c>
      <c r="BE35" s="544"/>
      <c r="BF35" s="545"/>
      <c r="BG35" s="537" t="s">
        <v>367</v>
      </c>
      <c r="BH35" s="538"/>
      <c r="BI35" s="539"/>
      <c r="BJ35" s="537" t="s">
        <v>368</v>
      </c>
      <c r="BK35" s="538"/>
      <c r="BL35" s="539"/>
      <c r="BM35" s="543" t="str">
        <f>Enumération!AP39</f>
        <v>Aérogares</v>
      </c>
      <c r="BN35" s="544"/>
      <c r="BO35" s="545"/>
      <c r="BP35" s="537" t="s">
        <v>369</v>
      </c>
      <c r="BQ35" s="538"/>
      <c r="BR35" s="539"/>
      <c r="BS35" s="537" t="s">
        <v>370</v>
      </c>
      <c r="BT35" s="538"/>
      <c r="BU35" s="539"/>
      <c r="BV35" s="543" t="str">
        <f>Enumération!AV39</f>
        <v>Etablissements_sportifs_municipaux_ou_scolaires</v>
      </c>
      <c r="BW35" s="544"/>
      <c r="BX35" s="545"/>
      <c r="BY35" s="537" t="s">
        <v>371</v>
      </c>
      <c r="BZ35" s="538"/>
      <c r="CA35" s="539"/>
      <c r="CB35" s="546" t="s">
        <v>372</v>
      </c>
      <c r="CC35" s="547"/>
      <c r="CD35" s="548"/>
      <c r="CE35" s="543" t="str">
        <f>Enumération!BB39</f>
        <v>Etablissements_sportifs_privés</v>
      </c>
      <c r="CF35" s="544"/>
      <c r="CG35" s="545"/>
    </row>
    <row r="36" spans="2:85">
      <c r="D36" s="34">
        <f>VLOOKUP(D4,Calcul_bbio!D5:F32,3,FALSE)</f>
        <v>3</v>
      </c>
      <c r="E36" s="205" t="s">
        <v>271</v>
      </c>
      <c r="F36" s="23" t="s">
        <v>272</v>
      </c>
      <c r="G36" s="206" t="s">
        <v>273</v>
      </c>
      <c r="H36" s="112" t="str">
        <f t="shared" ref="H36:P36" si="0">E36</f>
        <v>&lt;400m</v>
      </c>
      <c r="I36" s="25" t="str">
        <f t="shared" si="0"/>
        <v>400m-800m</v>
      </c>
      <c r="J36" s="113" t="str">
        <f t="shared" si="0"/>
        <v>&gt;800m</v>
      </c>
      <c r="K36" s="112" t="str">
        <f t="shared" si="0"/>
        <v>&lt;400m</v>
      </c>
      <c r="L36" s="25" t="str">
        <f t="shared" si="0"/>
        <v>400m-800m</v>
      </c>
      <c r="M36" s="113" t="str">
        <f t="shared" si="0"/>
        <v>&gt;800m</v>
      </c>
      <c r="N36" s="112" t="str">
        <f t="shared" si="0"/>
        <v>&lt;400m</v>
      </c>
      <c r="O36" s="25" t="str">
        <f t="shared" si="0"/>
        <v>400m-800m</v>
      </c>
      <c r="P36" s="113" t="str">
        <f t="shared" si="0"/>
        <v>&gt;800m</v>
      </c>
      <c r="Q36" s="112" t="str">
        <f t="shared" ref="Q36:AV36" si="1">N36</f>
        <v>&lt;400m</v>
      </c>
      <c r="R36" s="25" t="str">
        <f t="shared" si="1"/>
        <v>400m-800m</v>
      </c>
      <c r="S36" s="113" t="str">
        <f t="shared" si="1"/>
        <v>&gt;800m</v>
      </c>
      <c r="T36" s="112" t="str">
        <f t="shared" si="1"/>
        <v>&lt;400m</v>
      </c>
      <c r="U36" s="25" t="str">
        <f t="shared" si="1"/>
        <v>400m-800m</v>
      </c>
      <c r="V36" s="113" t="str">
        <f t="shared" si="1"/>
        <v>&gt;800m</v>
      </c>
      <c r="W36" s="112" t="str">
        <f t="shared" si="1"/>
        <v>&lt;400m</v>
      </c>
      <c r="X36" s="25" t="str">
        <f t="shared" si="1"/>
        <v>400m-800m</v>
      </c>
      <c r="Y36" s="113" t="str">
        <f t="shared" si="1"/>
        <v>&gt;800m</v>
      </c>
      <c r="Z36" s="112" t="str">
        <f t="shared" si="1"/>
        <v>&lt;400m</v>
      </c>
      <c r="AA36" s="25" t="str">
        <f t="shared" si="1"/>
        <v>400m-800m</v>
      </c>
      <c r="AB36" s="113" t="str">
        <f t="shared" si="1"/>
        <v>&gt;800m</v>
      </c>
      <c r="AC36" s="112" t="str">
        <f t="shared" si="1"/>
        <v>&lt;400m</v>
      </c>
      <c r="AD36" s="25" t="str">
        <f t="shared" si="1"/>
        <v>400m-800m</v>
      </c>
      <c r="AE36" s="113" t="str">
        <f t="shared" si="1"/>
        <v>&gt;800m</v>
      </c>
      <c r="AF36" s="112" t="str">
        <f t="shared" si="1"/>
        <v>&lt;400m</v>
      </c>
      <c r="AG36" s="25" t="str">
        <f t="shared" si="1"/>
        <v>400m-800m</v>
      </c>
      <c r="AH36" s="113" t="str">
        <f t="shared" si="1"/>
        <v>&gt;800m</v>
      </c>
      <c r="AI36" s="112" t="str">
        <f t="shared" si="1"/>
        <v>&lt;400m</v>
      </c>
      <c r="AJ36" s="25" t="str">
        <f t="shared" si="1"/>
        <v>400m-800m</v>
      </c>
      <c r="AK36" s="113" t="str">
        <f t="shared" si="1"/>
        <v>&gt;800m</v>
      </c>
      <c r="AL36" s="112" t="str">
        <f t="shared" si="1"/>
        <v>&lt;400m</v>
      </c>
      <c r="AM36" s="25" t="str">
        <f t="shared" si="1"/>
        <v>400m-800m</v>
      </c>
      <c r="AN36" s="113" t="str">
        <f t="shared" si="1"/>
        <v>&gt;800m</v>
      </c>
      <c r="AO36" s="112" t="str">
        <f t="shared" si="1"/>
        <v>&lt;400m</v>
      </c>
      <c r="AP36" s="25" t="str">
        <f t="shared" si="1"/>
        <v>400m-800m</v>
      </c>
      <c r="AQ36" s="113" t="str">
        <f t="shared" si="1"/>
        <v>&gt;800m</v>
      </c>
      <c r="AR36" s="112" t="str">
        <f t="shared" si="1"/>
        <v>&lt;400m</v>
      </c>
      <c r="AS36" s="25" t="str">
        <f t="shared" si="1"/>
        <v>400m-800m</v>
      </c>
      <c r="AT36" s="113" t="str">
        <f t="shared" si="1"/>
        <v>&gt;800m</v>
      </c>
      <c r="AU36" s="112" t="str">
        <f t="shared" si="1"/>
        <v>&lt;400m</v>
      </c>
      <c r="AV36" s="25" t="str">
        <f t="shared" si="1"/>
        <v>400m-800m</v>
      </c>
      <c r="AW36" s="113" t="str">
        <f t="shared" ref="AW36:CB36" si="2">AT36</f>
        <v>&gt;800m</v>
      </c>
      <c r="AX36" s="112" t="str">
        <f t="shared" si="2"/>
        <v>&lt;400m</v>
      </c>
      <c r="AY36" s="25" t="str">
        <f t="shared" si="2"/>
        <v>400m-800m</v>
      </c>
      <c r="AZ36" s="113" t="str">
        <f t="shared" si="2"/>
        <v>&gt;800m</v>
      </c>
      <c r="BA36" s="112" t="str">
        <f t="shared" si="2"/>
        <v>&lt;400m</v>
      </c>
      <c r="BB36" s="25" t="str">
        <f t="shared" si="2"/>
        <v>400m-800m</v>
      </c>
      <c r="BC36" s="113" t="str">
        <f t="shared" si="2"/>
        <v>&gt;800m</v>
      </c>
      <c r="BD36" s="112" t="str">
        <f t="shared" si="2"/>
        <v>&lt;400m</v>
      </c>
      <c r="BE36" s="25" t="str">
        <f t="shared" si="2"/>
        <v>400m-800m</v>
      </c>
      <c r="BF36" s="113" t="str">
        <f t="shared" si="2"/>
        <v>&gt;800m</v>
      </c>
      <c r="BG36" s="112" t="str">
        <f t="shared" si="2"/>
        <v>&lt;400m</v>
      </c>
      <c r="BH36" s="25" t="str">
        <f t="shared" si="2"/>
        <v>400m-800m</v>
      </c>
      <c r="BI36" s="113" t="str">
        <f t="shared" si="2"/>
        <v>&gt;800m</v>
      </c>
      <c r="BJ36" s="112" t="str">
        <f t="shared" si="2"/>
        <v>&lt;400m</v>
      </c>
      <c r="BK36" s="25" t="str">
        <f t="shared" si="2"/>
        <v>400m-800m</v>
      </c>
      <c r="BL36" s="113" t="str">
        <f t="shared" si="2"/>
        <v>&gt;800m</v>
      </c>
      <c r="BM36" s="112" t="str">
        <f t="shared" si="2"/>
        <v>&lt;400m</v>
      </c>
      <c r="BN36" s="25" t="str">
        <f t="shared" si="2"/>
        <v>400m-800m</v>
      </c>
      <c r="BO36" s="113" t="str">
        <f t="shared" si="2"/>
        <v>&gt;800m</v>
      </c>
      <c r="BP36" s="112" t="str">
        <f t="shared" si="2"/>
        <v>&lt;400m</v>
      </c>
      <c r="BQ36" s="25" t="str">
        <f t="shared" si="2"/>
        <v>400m-800m</v>
      </c>
      <c r="BR36" s="113" t="str">
        <f t="shared" si="2"/>
        <v>&gt;800m</v>
      </c>
      <c r="BS36" s="112" t="str">
        <f t="shared" si="2"/>
        <v>&lt;400m</v>
      </c>
      <c r="BT36" s="25" t="str">
        <f t="shared" si="2"/>
        <v>400m-800m</v>
      </c>
      <c r="BU36" s="113" t="str">
        <f t="shared" si="2"/>
        <v>&gt;800m</v>
      </c>
      <c r="BV36" s="112" t="str">
        <f t="shared" si="2"/>
        <v>&lt;400m</v>
      </c>
      <c r="BW36" s="25" t="str">
        <f t="shared" si="2"/>
        <v>400m-800m</v>
      </c>
      <c r="BX36" s="113" t="str">
        <f t="shared" si="2"/>
        <v>&gt;800m</v>
      </c>
      <c r="BY36" s="112" t="str">
        <f t="shared" si="2"/>
        <v>&lt;400m</v>
      </c>
      <c r="BZ36" s="25" t="str">
        <f t="shared" si="2"/>
        <v>400m-800m</v>
      </c>
      <c r="CA36" s="113" t="str">
        <f t="shared" si="2"/>
        <v>&gt;800m</v>
      </c>
      <c r="CB36" s="112" t="str">
        <f t="shared" si="2"/>
        <v>&lt;400m</v>
      </c>
      <c r="CC36" s="25" t="str">
        <f t="shared" ref="CC36:CG36" si="3">BZ36</f>
        <v>400m-800m</v>
      </c>
      <c r="CD36" s="113" t="str">
        <f t="shared" si="3"/>
        <v>&gt;800m</v>
      </c>
      <c r="CE36" s="112" t="str">
        <f t="shared" si="3"/>
        <v>&lt;400m</v>
      </c>
      <c r="CF36" s="25" t="str">
        <f t="shared" si="3"/>
        <v>400m-800m</v>
      </c>
      <c r="CG36" s="113" t="str">
        <f t="shared" si="3"/>
        <v>&gt;800m</v>
      </c>
    </row>
    <row r="37" spans="2:85">
      <c r="D37" s="80" t="s">
        <v>34</v>
      </c>
      <c r="E37" s="71">
        <v>0.15</v>
      </c>
      <c r="F37" s="11">
        <v>0.4</v>
      </c>
      <c r="G37" s="72">
        <v>0.75</v>
      </c>
      <c r="H37" s="71">
        <v>0.1</v>
      </c>
      <c r="I37" s="11">
        <v>0.4</v>
      </c>
      <c r="J37" s="72">
        <v>0.8</v>
      </c>
      <c r="K37" s="71">
        <v>0.05</v>
      </c>
      <c r="L37" s="11">
        <v>0.25</v>
      </c>
      <c r="M37" s="72">
        <v>0.45</v>
      </c>
      <c r="N37" s="71">
        <v>0.1</v>
      </c>
      <c r="O37" s="11">
        <v>0.25</v>
      </c>
      <c r="P37" s="72">
        <v>0.45</v>
      </c>
      <c r="Q37" s="71">
        <v>0.05</v>
      </c>
      <c r="R37" s="11">
        <v>0.2</v>
      </c>
      <c r="S37" s="72">
        <v>0.4</v>
      </c>
      <c r="T37" s="71">
        <v>0.1</v>
      </c>
      <c r="U37" s="11">
        <v>0.3</v>
      </c>
      <c r="V37" s="72">
        <v>0.5</v>
      </c>
      <c r="W37" s="71">
        <v>0.15</v>
      </c>
      <c r="X37" s="11">
        <v>0.45</v>
      </c>
      <c r="Y37" s="72">
        <v>0.75</v>
      </c>
      <c r="Z37" s="71">
        <v>0.15</v>
      </c>
      <c r="AA37" s="11">
        <v>0.45</v>
      </c>
      <c r="AB37" s="72">
        <v>0.75</v>
      </c>
      <c r="AC37" s="71">
        <v>0.1</v>
      </c>
      <c r="AD37" s="11">
        <v>0.25</v>
      </c>
      <c r="AE37" s="72">
        <v>0.45</v>
      </c>
      <c r="AF37" s="71">
        <v>0.05</v>
      </c>
      <c r="AG37" s="11">
        <v>0.25</v>
      </c>
      <c r="AH37" s="72">
        <v>0.45</v>
      </c>
      <c r="AI37" s="71">
        <v>0.1</v>
      </c>
      <c r="AJ37" s="11">
        <v>0.25</v>
      </c>
      <c r="AK37" s="72">
        <v>0.45</v>
      </c>
      <c r="AL37" s="71">
        <v>0.05</v>
      </c>
      <c r="AM37" s="11">
        <v>0.15</v>
      </c>
      <c r="AN37" s="72">
        <v>0.3</v>
      </c>
      <c r="AO37" s="71">
        <v>0.1</v>
      </c>
      <c r="AP37" s="11">
        <v>0.3</v>
      </c>
      <c r="AQ37" s="72">
        <v>0.55000000000000004</v>
      </c>
      <c r="AR37" s="71">
        <v>0.05</v>
      </c>
      <c r="AS37" s="11">
        <v>0.2</v>
      </c>
      <c r="AT37" s="72">
        <v>0.35</v>
      </c>
      <c r="AU37" s="71">
        <v>0.05</v>
      </c>
      <c r="AV37" s="11">
        <v>0.2</v>
      </c>
      <c r="AW37" s="72">
        <v>0.35</v>
      </c>
      <c r="AX37" s="71">
        <v>0.05</v>
      </c>
      <c r="AY37" s="11">
        <v>0.1</v>
      </c>
      <c r="AZ37" s="72">
        <v>0.2</v>
      </c>
      <c r="BA37" s="71">
        <v>0.05</v>
      </c>
      <c r="BB37" s="11">
        <v>0.3</v>
      </c>
      <c r="BC37" s="72">
        <v>0.55000000000000004</v>
      </c>
      <c r="BD37" s="71">
        <v>0.1</v>
      </c>
      <c r="BE37" s="11">
        <v>0.25</v>
      </c>
      <c r="BF37" s="72">
        <v>0.45</v>
      </c>
      <c r="BG37" s="71">
        <v>0.05</v>
      </c>
      <c r="BH37" s="11">
        <v>0.25</v>
      </c>
      <c r="BI37" s="72">
        <v>0.45</v>
      </c>
      <c r="BJ37" s="71">
        <v>0.05</v>
      </c>
      <c r="BK37" s="11">
        <v>0.15</v>
      </c>
      <c r="BL37" s="72">
        <v>0.25</v>
      </c>
      <c r="BM37" s="71">
        <v>0.05</v>
      </c>
      <c r="BN37" s="11">
        <v>0.1</v>
      </c>
      <c r="BO37" s="72">
        <v>0.05</v>
      </c>
      <c r="BP37" s="71">
        <v>0.05</v>
      </c>
      <c r="BQ37" s="11">
        <v>0.05</v>
      </c>
      <c r="BR37" s="72">
        <v>0.1</v>
      </c>
      <c r="BS37" s="71">
        <v>0.1</v>
      </c>
      <c r="BT37" s="11">
        <v>0.2</v>
      </c>
      <c r="BU37" s="72">
        <v>0.35</v>
      </c>
      <c r="BV37" s="71">
        <v>0</v>
      </c>
      <c r="BW37" s="11">
        <v>0</v>
      </c>
      <c r="BX37" s="72">
        <v>0.05</v>
      </c>
      <c r="BY37" s="71">
        <v>0.15</v>
      </c>
      <c r="BZ37" s="11">
        <v>0.35</v>
      </c>
      <c r="CA37" s="72">
        <v>0.65</v>
      </c>
      <c r="CB37" s="71">
        <v>0.1</v>
      </c>
      <c r="CC37" s="11">
        <v>0.3</v>
      </c>
      <c r="CD37" s="72">
        <v>0.55000000000000004</v>
      </c>
      <c r="CE37" s="71">
        <v>0</v>
      </c>
      <c r="CF37" s="11">
        <v>0</v>
      </c>
      <c r="CG37" s="72">
        <v>0.05</v>
      </c>
    </row>
    <row r="38" spans="2:85">
      <c r="D38" s="80" t="s">
        <v>35</v>
      </c>
      <c r="E38" s="71">
        <v>0.2</v>
      </c>
      <c r="F38" s="11">
        <v>0.5</v>
      </c>
      <c r="G38" s="72">
        <v>0.85</v>
      </c>
      <c r="H38" s="71">
        <v>0.2</v>
      </c>
      <c r="I38" s="11">
        <v>0.5</v>
      </c>
      <c r="J38" s="72">
        <v>0.85</v>
      </c>
      <c r="K38" s="71">
        <v>0.1</v>
      </c>
      <c r="L38" s="11">
        <v>0.25</v>
      </c>
      <c r="M38" s="72">
        <v>0.45</v>
      </c>
      <c r="N38" s="71">
        <v>0.2</v>
      </c>
      <c r="O38" s="11">
        <v>0.3</v>
      </c>
      <c r="P38" s="72">
        <v>0.45</v>
      </c>
      <c r="Q38" s="71">
        <v>0.2</v>
      </c>
      <c r="R38" s="11">
        <v>0.3</v>
      </c>
      <c r="S38" s="72">
        <v>0.5</v>
      </c>
      <c r="T38" s="71">
        <v>0.2</v>
      </c>
      <c r="U38" s="11">
        <v>0.35</v>
      </c>
      <c r="V38" s="72">
        <v>0.6</v>
      </c>
      <c r="W38" s="71">
        <v>0.2</v>
      </c>
      <c r="X38" s="11">
        <v>0.45</v>
      </c>
      <c r="Y38" s="72">
        <v>0.8</v>
      </c>
      <c r="Z38" s="71">
        <v>0.2</v>
      </c>
      <c r="AA38" s="11">
        <v>0.45</v>
      </c>
      <c r="AB38" s="72">
        <v>0.75</v>
      </c>
      <c r="AC38" s="71">
        <v>0.15</v>
      </c>
      <c r="AD38" s="11">
        <v>0.3</v>
      </c>
      <c r="AE38" s="72">
        <v>0.55000000000000004</v>
      </c>
      <c r="AF38" s="71">
        <v>0.15</v>
      </c>
      <c r="AG38" s="11">
        <v>0.3</v>
      </c>
      <c r="AH38" s="72">
        <v>0.5</v>
      </c>
      <c r="AI38" s="71">
        <v>0.15</v>
      </c>
      <c r="AJ38" s="11">
        <v>0.3</v>
      </c>
      <c r="AK38" s="72">
        <v>0.5</v>
      </c>
      <c r="AL38" s="71">
        <v>0.1</v>
      </c>
      <c r="AM38" s="11">
        <v>0.2</v>
      </c>
      <c r="AN38" s="72">
        <v>0.35</v>
      </c>
      <c r="AO38" s="71">
        <v>0.15</v>
      </c>
      <c r="AP38" s="11">
        <v>0.35</v>
      </c>
      <c r="AQ38" s="72">
        <v>0.55000000000000004</v>
      </c>
      <c r="AR38" s="71">
        <v>0.1</v>
      </c>
      <c r="AS38" s="11">
        <v>0.25</v>
      </c>
      <c r="AT38" s="72">
        <v>0.4</v>
      </c>
      <c r="AU38" s="71">
        <v>0.15</v>
      </c>
      <c r="AV38" s="11">
        <v>0.25</v>
      </c>
      <c r="AW38" s="72">
        <v>0.4</v>
      </c>
      <c r="AX38" s="71">
        <v>0.1</v>
      </c>
      <c r="AY38" s="11">
        <v>0.2</v>
      </c>
      <c r="AZ38" s="72">
        <v>0.3</v>
      </c>
      <c r="BA38" s="71">
        <v>0.1</v>
      </c>
      <c r="BB38" s="11">
        <v>0.3</v>
      </c>
      <c r="BC38" s="72">
        <v>0.55000000000000004</v>
      </c>
      <c r="BD38" s="71">
        <v>0.15</v>
      </c>
      <c r="BE38" s="11">
        <v>0.3</v>
      </c>
      <c r="BF38" s="72">
        <v>0.5</v>
      </c>
      <c r="BG38" s="71">
        <v>0.15</v>
      </c>
      <c r="BH38" s="11">
        <v>0.3</v>
      </c>
      <c r="BI38" s="72">
        <v>0.5</v>
      </c>
      <c r="BJ38" s="71">
        <v>0.15</v>
      </c>
      <c r="BK38" s="11">
        <v>0.2</v>
      </c>
      <c r="BL38" s="72">
        <v>0.3</v>
      </c>
      <c r="BM38" s="71">
        <v>0.1</v>
      </c>
      <c r="BN38" s="11">
        <v>0.15</v>
      </c>
      <c r="BO38" s="72">
        <v>0.15</v>
      </c>
      <c r="BP38" s="71">
        <v>0.05</v>
      </c>
      <c r="BQ38" s="11">
        <v>0.1</v>
      </c>
      <c r="BR38" s="72">
        <v>0.15</v>
      </c>
      <c r="BS38" s="71">
        <v>0.15</v>
      </c>
      <c r="BT38" s="11">
        <v>0.25</v>
      </c>
      <c r="BU38" s="72">
        <v>0.4</v>
      </c>
      <c r="BV38" s="71">
        <v>0.1</v>
      </c>
      <c r="BW38" s="11">
        <v>0.05</v>
      </c>
      <c r="BX38" s="72">
        <v>0.1</v>
      </c>
      <c r="BY38" s="71">
        <v>0.2</v>
      </c>
      <c r="BZ38" s="11">
        <v>0.4</v>
      </c>
      <c r="CA38" s="72">
        <v>0.65</v>
      </c>
      <c r="CB38" s="71">
        <v>0.15</v>
      </c>
      <c r="CC38" s="11">
        <v>0.35</v>
      </c>
      <c r="CD38" s="72">
        <v>0.55000000000000004</v>
      </c>
      <c r="CE38" s="71">
        <v>0.1</v>
      </c>
      <c r="CF38" s="11">
        <v>0.05</v>
      </c>
      <c r="CG38" s="72">
        <v>0.1</v>
      </c>
    </row>
    <row r="39" spans="2:85">
      <c r="D39" s="80" t="s">
        <v>36</v>
      </c>
      <c r="E39" s="71">
        <v>0.2</v>
      </c>
      <c r="F39" s="11">
        <v>0.45</v>
      </c>
      <c r="G39" s="72">
        <v>0.75</v>
      </c>
      <c r="H39" s="71">
        <v>0.15</v>
      </c>
      <c r="I39" s="11">
        <v>0.45</v>
      </c>
      <c r="J39" s="72">
        <v>0.75</v>
      </c>
      <c r="K39" s="71">
        <v>0.2</v>
      </c>
      <c r="L39" s="11">
        <v>0.2</v>
      </c>
      <c r="M39" s="72">
        <v>0.4</v>
      </c>
      <c r="N39" s="71">
        <v>0.25</v>
      </c>
      <c r="O39" s="11">
        <v>0.25</v>
      </c>
      <c r="P39" s="72">
        <v>0.4</v>
      </c>
      <c r="Q39" s="71">
        <v>0.25</v>
      </c>
      <c r="R39" s="11">
        <v>0.3</v>
      </c>
      <c r="S39" s="72">
        <v>0.4</v>
      </c>
      <c r="T39" s="71">
        <v>0.2</v>
      </c>
      <c r="U39" s="11">
        <v>0.35</v>
      </c>
      <c r="V39" s="72">
        <v>0.5</v>
      </c>
      <c r="W39" s="71">
        <v>0.2</v>
      </c>
      <c r="X39" s="11">
        <v>0.4</v>
      </c>
      <c r="Y39" s="72">
        <v>0.7</v>
      </c>
      <c r="Z39" s="71">
        <v>0.2</v>
      </c>
      <c r="AA39" s="11">
        <v>0.4</v>
      </c>
      <c r="AB39" s="72">
        <v>0.65</v>
      </c>
      <c r="AC39" s="71">
        <v>0.25</v>
      </c>
      <c r="AD39" s="11">
        <v>0.35</v>
      </c>
      <c r="AE39" s="72">
        <v>0.5</v>
      </c>
      <c r="AF39" s="71">
        <v>0.2</v>
      </c>
      <c r="AG39" s="11">
        <v>0.3</v>
      </c>
      <c r="AH39" s="72">
        <v>0.45</v>
      </c>
      <c r="AI39" s="71">
        <v>0.1</v>
      </c>
      <c r="AJ39" s="11">
        <v>0.25</v>
      </c>
      <c r="AK39" s="72">
        <v>0.4</v>
      </c>
      <c r="AL39" s="71">
        <v>0.2</v>
      </c>
      <c r="AM39" s="11">
        <v>0.25</v>
      </c>
      <c r="AN39" s="72">
        <v>0.35</v>
      </c>
      <c r="AO39" s="71">
        <v>0.2</v>
      </c>
      <c r="AP39" s="11">
        <v>0.3</v>
      </c>
      <c r="AQ39" s="72">
        <v>0.5</v>
      </c>
      <c r="AR39" s="71">
        <v>0.15</v>
      </c>
      <c r="AS39" s="11">
        <v>0.25</v>
      </c>
      <c r="AT39" s="72">
        <v>0.35</v>
      </c>
      <c r="AU39" s="71">
        <v>0.15</v>
      </c>
      <c r="AV39" s="11">
        <v>0.25</v>
      </c>
      <c r="AW39" s="72">
        <v>0.35</v>
      </c>
      <c r="AX39" s="71">
        <v>0.15</v>
      </c>
      <c r="AY39" s="11">
        <v>0.2</v>
      </c>
      <c r="AZ39" s="72">
        <v>0.25</v>
      </c>
      <c r="BA39" s="71">
        <v>0.1</v>
      </c>
      <c r="BB39" s="11">
        <v>0.25</v>
      </c>
      <c r="BC39" s="72">
        <v>0.5</v>
      </c>
      <c r="BD39" s="71">
        <v>0.15</v>
      </c>
      <c r="BE39" s="11">
        <v>0.25</v>
      </c>
      <c r="BF39" s="72">
        <v>0.45</v>
      </c>
      <c r="BG39" s="71">
        <v>0.2</v>
      </c>
      <c r="BH39" s="11">
        <v>0.3</v>
      </c>
      <c r="BI39" s="72">
        <v>0.45</v>
      </c>
      <c r="BJ39" s="71">
        <v>0.2</v>
      </c>
      <c r="BK39" s="11">
        <v>0.2</v>
      </c>
      <c r="BL39" s="72">
        <v>0.25</v>
      </c>
      <c r="BM39" s="71">
        <v>0.15</v>
      </c>
      <c r="BN39" s="11">
        <v>0.2</v>
      </c>
      <c r="BO39" s="72">
        <v>-0.05</v>
      </c>
      <c r="BP39" s="71">
        <v>0.1</v>
      </c>
      <c r="BQ39" s="11">
        <v>0.1</v>
      </c>
      <c r="BR39" s="72">
        <v>0.15</v>
      </c>
      <c r="BS39" s="71">
        <v>0.25</v>
      </c>
      <c r="BT39" s="11">
        <v>0.3</v>
      </c>
      <c r="BU39" s="72">
        <v>0.45</v>
      </c>
      <c r="BV39" s="71">
        <v>0.25</v>
      </c>
      <c r="BW39" s="11">
        <v>0.15</v>
      </c>
      <c r="BX39" s="72">
        <v>0.15</v>
      </c>
      <c r="BY39" s="71">
        <v>0.15</v>
      </c>
      <c r="BZ39" s="11">
        <v>0.35</v>
      </c>
      <c r="CA39" s="72">
        <v>0.6</v>
      </c>
      <c r="CB39" s="71">
        <v>0.15</v>
      </c>
      <c r="CC39" s="11">
        <v>0.3</v>
      </c>
      <c r="CD39" s="72">
        <v>0.5</v>
      </c>
      <c r="CE39" s="71">
        <v>0.25</v>
      </c>
      <c r="CF39" s="11">
        <v>0.15</v>
      </c>
      <c r="CG39" s="72">
        <v>0.15</v>
      </c>
    </row>
    <row r="40" spans="2:85" ht="17.25">
      <c r="B40" s="8"/>
      <c r="D40" s="80" t="s">
        <v>42</v>
      </c>
      <c r="E40" s="71">
        <v>-0.05</v>
      </c>
      <c r="F40" s="11">
        <v>0.15</v>
      </c>
      <c r="G40" s="72">
        <v>0.55000000000000004</v>
      </c>
      <c r="H40" s="71">
        <v>-0.1</v>
      </c>
      <c r="I40" s="11">
        <v>0.2</v>
      </c>
      <c r="J40" s="72">
        <v>0.6</v>
      </c>
      <c r="K40" s="71">
        <v>-0.05</v>
      </c>
      <c r="L40" s="11">
        <v>0.2</v>
      </c>
      <c r="M40" s="72">
        <v>0.4</v>
      </c>
      <c r="N40" s="71">
        <v>-0.1</v>
      </c>
      <c r="O40" s="11">
        <v>0.05</v>
      </c>
      <c r="P40" s="72">
        <v>0.3</v>
      </c>
      <c r="Q40" s="71">
        <v>-0.1</v>
      </c>
      <c r="R40" s="11">
        <v>0</v>
      </c>
      <c r="S40" s="72">
        <v>0.15</v>
      </c>
      <c r="T40" s="71">
        <v>-0.05</v>
      </c>
      <c r="U40" s="11">
        <v>0.1</v>
      </c>
      <c r="V40" s="72">
        <v>0.3</v>
      </c>
      <c r="W40" s="71">
        <v>0</v>
      </c>
      <c r="X40" s="11">
        <v>0.25</v>
      </c>
      <c r="Y40" s="72">
        <v>0.6</v>
      </c>
      <c r="Z40" s="71">
        <v>0</v>
      </c>
      <c r="AA40" s="11">
        <v>0.25</v>
      </c>
      <c r="AB40" s="72">
        <v>0.6</v>
      </c>
      <c r="AC40" s="71">
        <v>-0.1</v>
      </c>
      <c r="AD40" s="11">
        <v>0.05</v>
      </c>
      <c r="AE40" s="72">
        <v>0.3</v>
      </c>
      <c r="AF40" s="71">
        <v>-0.1</v>
      </c>
      <c r="AG40" s="11">
        <v>0.1</v>
      </c>
      <c r="AH40" s="72">
        <v>0.3</v>
      </c>
      <c r="AI40" s="71">
        <v>0</v>
      </c>
      <c r="AJ40" s="11">
        <v>0.15</v>
      </c>
      <c r="AK40" s="72">
        <v>0.4</v>
      </c>
      <c r="AL40" s="71">
        <v>-0.05</v>
      </c>
      <c r="AM40" s="11">
        <v>0.05</v>
      </c>
      <c r="AN40" s="72">
        <v>0.2</v>
      </c>
      <c r="AO40" s="71">
        <v>0</v>
      </c>
      <c r="AP40" s="11">
        <v>0.2</v>
      </c>
      <c r="AQ40" s="72">
        <v>0.45</v>
      </c>
      <c r="AR40" s="71">
        <v>-0.05</v>
      </c>
      <c r="AS40" s="11">
        <v>0.1</v>
      </c>
      <c r="AT40" s="72">
        <v>0.25</v>
      </c>
      <c r="AU40" s="71">
        <v>-0.05</v>
      </c>
      <c r="AV40" s="11">
        <v>0.05</v>
      </c>
      <c r="AW40" s="72">
        <v>0.25</v>
      </c>
      <c r="AX40" s="71">
        <v>-0.05</v>
      </c>
      <c r="AY40" s="11">
        <v>0</v>
      </c>
      <c r="AZ40" s="72">
        <v>0.15</v>
      </c>
      <c r="BA40" s="71">
        <v>-0.05</v>
      </c>
      <c r="BB40" s="11">
        <v>0.2</v>
      </c>
      <c r="BC40" s="72">
        <v>0.45</v>
      </c>
      <c r="BD40" s="71">
        <v>-0.05</v>
      </c>
      <c r="BE40" s="11">
        <v>0.15</v>
      </c>
      <c r="BF40" s="72">
        <v>0.3</v>
      </c>
      <c r="BG40" s="71">
        <v>-0.05</v>
      </c>
      <c r="BH40" s="11">
        <v>0.15</v>
      </c>
      <c r="BI40" s="72">
        <v>0.35</v>
      </c>
      <c r="BJ40" s="71">
        <v>-0.05</v>
      </c>
      <c r="BK40" s="11">
        <v>0.05</v>
      </c>
      <c r="BL40" s="72">
        <v>0.15</v>
      </c>
      <c r="BM40" s="71">
        <v>-0.05</v>
      </c>
      <c r="BN40" s="11">
        <v>0</v>
      </c>
      <c r="BO40" s="72">
        <v>0</v>
      </c>
      <c r="BP40" s="71">
        <v>-0.05</v>
      </c>
      <c r="BQ40" s="11">
        <v>0</v>
      </c>
      <c r="BR40" s="72">
        <v>0.05</v>
      </c>
      <c r="BS40" s="71">
        <v>-0.05</v>
      </c>
      <c r="BT40" s="11">
        <v>0.05</v>
      </c>
      <c r="BU40" s="72">
        <v>0.2</v>
      </c>
      <c r="BV40" s="71">
        <v>-0.15</v>
      </c>
      <c r="BW40" s="11">
        <v>-0.15</v>
      </c>
      <c r="BX40" s="72">
        <v>-0.05</v>
      </c>
      <c r="BY40" s="71">
        <v>-0.05</v>
      </c>
      <c r="BZ40" s="11">
        <v>0.2</v>
      </c>
      <c r="CA40" s="72">
        <v>0.5</v>
      </c>
      <c r="CB40" s="71">
        <v>-0.05</v>
      </c>
      <c r="CC40" s="11">
        <v>0.15</v>
      </c>
      <c r="CD40" s="72">
        <v>0.45</v>
      </c>
      <c r="CE40" s="71">
        <v>-0.15</v>
      </c>
      <c r="CF40" s="11">
        <v>-0.15</v>
      </c>
      <c r="CG40" s="72">
        <v>-0.05</v>
      </c>
    </row>
    <row r="41" spans="2:85" ht="17.25">
      <c r="B41" s="8"/>
      <c r="D41" s="80" t="s">
        <v>41</v>
      </c>
      <c r="E41" s="71">
        <v>0</v>
      </c>
      <c r="F41" s="11">
        <v>0.3</v>
      </c>
      <c r="G41" s="72">
        <v>0.65</v>
      </c>
      <c r="H41" s="71">
        <v>0</v>
      </c>
      <c r="I41" s="11">
        <v>0.3</v>
      </c>
      <c r="J41" s="72">
        <v>0.65</v>
      </c>
      <c r="K41" s="71">
        <v>0</v>
      </c>
      <c r="L41" s="11">
        <v>0.2</v>
      </c>
      <c r="M41" s="72">
        <v>0.35</v>
      </c>
      <c r="N41" s="71">
        <v>0</v>
      </c>
      <c r="O41" s="11">
        <v>0.1</v>
      </c>
      <c r="P41" s="72">
        <v>0.35</v>
      </c>
      <c r="Q41" s="71">
        <v>0</v>
      </c>
      <c r="R41" s="11">
        <v>0.1</v>
      </c>
      <c r="S41" s="72">
        <v>0.3</v>
      </c>
      <c r="T41" s="71">
        <v>0</v>
      </c>
      <c r="U41" s="11">
        <v>0.2</v>
      </c>
      <c r="V41" s="72">
        <v>0.4</v>
      </c>
      <c r="W41" s="71">
        <v>0</v>
      </c>
      <c r="X41" s="11">
        <v>0.3</v>
      </c>
      <c r="Y41" s="72">
        <v>0.6</v>
      </c>
      <c r="Z41" s="71">
        <v>0</v>
      </c>
      <c r="AA41" s="11">
        <v>0.3</v>
      </c>
      <c r="AB41" s="72">
        <v>0.6</v>
      </c>
      <c r="AC41" s="71">
        <v>0</v>
      </c>
      <c r="AD41" s="11">
        <v>0.15</v>
      </c>
      <c r="AE41" s="72">
        <v>0.35</v>
      </c>
      <c r="AF41" s="71">
        <v>0</v>
      </c>
      <c r="AG41" s="11">
        <v>0.15</v>
      </c>
      <c r="AH41" s="72">
        <v>0.35</v>
      </c>
      <c r="AI41" s="71">
        <v>0</v>
      </c>
      <c r="AJ41" s="11">
        <v>0.2</v>
      </c>
      <c r="AK41" s="72">
        <v>0.4</v>
      </c>
      <c r="AL41" s="71">
        <v>0</v>
      </c>
      <c r="AM41" s="11">
        <v>0.1</v>
      </c>
      <c r="AN41" s="72">
        <v>0.25</v>
      </c>
      <c r="AO41" s="71">
        <v>0</v>
      </c>
      <c r="AP41" s="11">
        <v>0.2</v>
      </c>
      <c r="AQ41" s="72">
        <v>0.45</v>
      </c>
      <c r="AR41" s="71">
        <v>0</v>
      </c>
      <c r="AS41" s="11">
        <v>0.15</v>
      </c>
      <c r="AT41" s="72">
        <v>0.3</v>
      </c>
      <c r="AU41" s="71">
        <v>0</v>
      </c>
      <c r="AV41" s="11">
        <v>0.15</v>
      </c>
      <c r="AW41" s="72">
        <v>0.3</v>
      </c>
      <c r="AX41" s="71">
        <v>0</v>
      </c>
      <c r="AY41" s="11">
        <v>0.1</v>
      </c>
      <c r="AZ41" s="72">
        <v>0.2</v>
      </c>
      <c r="BA41" s="71">
        <v>0</v>
      </c>
      <c r="BB41" s="11">
        <v>0.25</v>
      </c>
      <c r="BC41" s="72">
        <v>0.5</v>
      </c>
      <c r="BD41" s="71">
        <v>0</v>
      </c>
      <c r="BE41" s="11">
        <v>0.15</v>
      </c>
      <c r="BF41" s="72">
        <v>0.35</v>
      </c>
      <c r="BG41" s="71">
        <v>0</v>
      </c>
      <c r="BH41" s="11">
        <v>0.2</v>
      </c>
      <c r="BI41" s="72">
        <v>0.4</v>
      </c>
      <c r="BJ41" s="71">
        <v>0</v>
      </c>
      <c r="BK41" s="11">
        <v>0.05</v>
      </c>
      <c r="BL41" s="72">
        <v>0.2</v>
      </c>
      <c r="BM41" s="71">
        <v>0</v>
      </c>
      <c r="BN41" s="11">
        <v>0.1</v>
      </c>
      <c r="BO41" s="72">
        <v>0.1</v>
      </c>
      <c r="BP41" s="71">
        <v>0</v>
      </c>
      <c r="BQ41" s="11">
        <v>0.05</v>
      </c>
      <c r="BR41" s="72">
        <v>0.1</v>
      </c>
      <c r="BS41" s="71">
        <v>0</v>
      </c>
      <c r="BT41" s="11">
        <v>0.1</v>
      </c>
      <c r="BU41" s="72">
        <v>0.25</v>
      </c>
      <c r="BV41" s="71">
        <v>0</v>
      </c>
      <c r="BW41" s="11">
        <v>-0.05</v>
      </c>
      <c r="BX41" s="72">
        <v>0</v>
      </c>
      <c r="BY41" s="71">
        <v>0</v>
      </c>
      <c r="BZ41" s="11">
        <v>0.25</v>
      </c>
      <c r="CA41" s="72">
        <v>0.55000000000000004</v>
      </c>
      <c r="CB41" s="71">
        <v>0</v>
      </c>
      <c r="CC41" s="11">
        <v>0.2</v>
      </c>
      <c r="CD41" s="72">
        <v>0.45</v>
      </c>
      <c r="CE41" s="71">
        <v>0</v>
      </c>
      <c r="CF41" s="11">
        <v>-0.05</v>
      </c>
      <c r="CG41" s="72">
        <v>0</v>
      </c>
    </row>
    <row r="42" spans="2:85" ht="17.25">
      <c r="B42" s="8"/>
      <c r="D42" s="80" t="s">
        <v>40</v>
      </c>
      <c r="E42" s="71">
        <v>-0.1</v>
      </c>
      <c r="F42" s="11">
        <v>0.05</v>
      </c>
      <c r="G42" s="72">
        <v>0.35</v>
      </c>
      <c r="H42" s="71">
        <v>-0.1</v>
      </c>
      <c r="I42" s="11">
        <v>0.1</v>
      </c>
      <c r="J42" s="72">
        <v>0.4</v>
      </c>
      <c r="K42" s="71">
        <v>0.1</v>
      </c>
      <c r="L42" s="11">
        <v>0.1</v>
      </c>
      <c r="M42" s="72">
        <v>0.25</v>
      </c>
      <c r="N42" s="71">
        <v>0.05</v>
      </c>
      <c r="O42" s="11">
        <v>0</v>
      </c>
      <c r="P42" s="72">
        <v>0.2</v>
      </c>
      <c r="Q42" s="71">
        <v>0</v>
      </c>
      <c r="R42" s="11">
        <v>0</v>
      </c>
      <c r="S42" s="72">
        <v>0.1</v>
      </c>
      <c r="T42" s="71">
        <v>0</v>
      </c>
      <c r="U42" s="11">
        <v>0.05</v>
      </c>
      <c r="V42" s="72">
        <v>0.2</v>
      </c>
      <c r="W42" s="71">
        <v>-0.1</v>
      </c>
      <c r="X42" s="11">
        <v>0.15</v>
      </c>
      <c r="Y42" s="72">
        <v>0.4</v>
      </c>
      <c r="Z42" s="71">
        <v>-0.1</v>
      </c>
      <c r="AA42" s="11">
        <v>0.15</v>
      </c>
      <c r="AB42" s="72">
        <v>0.4</v>
      </c>
      <c r="AC42" s="71">
        <v>0</v>
      </c>
      <c r="AD42" s="11">
        <v>0.05</v>
      </c>
      <c r="AE42" s="72">
        <v>0.2</v>
      </c>
      <c r="AF42" s="71">
        <v>-0.05</v>
      </c>
      <c r="AG42" s="11">
        <v>0.05</v>
      </c>
      <c r="AH42" s="72">
        <v>0.2</v>
      </c>
      <c r="AI42" s="71">
        <v>-0.1</v>
      </c>
      <c r="AJ42" s="11">
        <v>0.05</v>
      </c>
      <c r="AK42" s="72">
        <v>0.25</v>
      </c>
      <c r="AL42" s="71">
        <v>0.05</v>
      </c>
      <c r="AM42" s="11">
        <v>0.05</v>
      </c>
      <c r="AN42" s="72">
        <v>0.15</v>
      </c>
      <c r="AO42" s="71">
        <v>-0.05</v>
      </c>
      <c r="AP42" s="11">
        <v>0.05</v>
      </c>
      <c r="AQ42" s="72">
        <v>0.25</v>
      </c>
      <c r="AR42" s="71">
        <v>0</v>
      </c>
      <c r="AS42" s="11">
        <v>0.05</v>
      </c>
      <c r="AT42" s="72">
        <v>0.15</v>
      </c>
      <c r="AU42" s="71">
        <v>0</v>
      </c>
      <c r="AV42" s="11">
        <v>0.05</v>
      </c>
      <c r="AW42" s="72">
        <v>0.15</v>
      </c>
      <c r="AX42" s="71">
        <v>0.05</v>
      </c>
      <c r="AY42" s="11">
        <v>0</v>
      </c>
      <c r="AZ42" s="72">
        <v>0.1</v>
      </c>
      <c r="BA42" s="71">
        <v>-0.1</v>
      </c>
      <c r="BB42" s="11">
        <v>0.05</v>
      </c>
      <c r="BC42" s="72">
        <v>0.3</v>
      </c>
      <c r="BD42" s="71">
        <v>-0.05</v>
      </c>
      <c r="BE42" s="11">
        <v>0.1</v>
      </c>
      <c r="BF42" s="72">
        <v>0.25</v>
      </c>
      <c r="BG42" s="71">
        <v>0</v>
      </c>
      <c r="BH42" s="11">
        <v>0.1</v>
      </c>
      <c r="BI42" s="72">
        <v>0.25</v>
      </c>
      <c r="BJ42" s="71">
        <v>0</v>
      </c>
      <c r="BK42" s="11">
        <v>0</v>
      </c>
      <c r="BL42" s="72">
        <v>0.1</v>
      </c>
      <c r="BM42" s="71">
        <v>0.05</v>
      </c>
      <c r="BN42" s="11">
        <v>0.05</v>
      </c>
      <c r="BO42" s="72">
        <v>0.25</v>
      </c>
      <c r="BP42" s="71">
        <v>0.05</v>
      </c>
      <c r="BQ42" s="11">
        <v>0.05</v>
      </c>
      <c r="BR42" s="72">
        <v>0.05</v>
      </c>
      <c r="BS42" s="71">
        <v>0.05</v>
      </c>
      <c r="BT42" s="11">
        <v>0.05</v>
      </c>
      <c r="BU42" s="72">
        <v>0.15</v>
      </c>
      <c r="BV42" s="71">
        <v>0.1</v>
      </c>
      <c r="BW42" s="11">
        <v>-0.05</v>
      </c>
      <c r="BX42" s="72">
        <v>-0.05</v>
      </c>
      <c r="BY42" s="71">
        <v>-0.05</v>
      </c>
      <c r="BZ42" s="11">
        <v>0.1</v>
      </c>
      <c r="CA42" s="72">
        <v>0.35</v>
      </c>
      <c r="CB42" s="71">
        <v>-0.05</v>
      </c>
      <c r="CC42" s="11">
        <v>0.1</v>
      </c>
      <c r="CD42" s="72">
        <v>0.3</v>
      </c>
      <c r="CE42" s="71">
        <v>0.1</v>
      </c>
      <c r="CF42" s="11">
        <v>-0.05</v>
      </c>
      <c r="CG42" s="72">
        <v>-0.05</v>
      </c>
    </row>
    <row r="43" spans="2:85" ht="17.25">
      <c r="B43" s="8"/>
      <c r="D43" s="80" t="s">
        <v>38</v>
      </c>
      <c r="E43" s="71">
        <v>0.05</v>
      </c>
      <c r="F43" s="11">
        <v>0.1</v>
      </c>
      <c r="G43" s="72">
        <v>0.25</v>
      </c>
      <c r="H43" s="71">
        <v>0</v>
      </c>
      <c r="I43" s="11">
        <v>0.2</v>
      </c>
      <c r="J43" s="72">
        <v>0.4</v>
      </c>
      <c r="K43" s="71">
        <v>0.3</v>
      </c>
      <c r="L43" s="11">
        <v>0.1</v>
      </c>
      <c r="M43" s="72">
        <v>0.3</v>
      </c>
      <c r="N43" s="71">
        <v>0.5</v>
      </c>
      <c r="O43" s="11">
        <v>0.35</v>
      </c>
      <c r="P43" s="72">
        <v>0.3</v>
      </c>
      <c r="Q43" s="71">
        <v>0.3</v>
      </c>
      <c r="R43" s="11">
        <v>0.25</v>
      </c>
      <c r="S43" s="72">
        <v>0.25</v>
      </c>
      <c r="T43" s="71">
        <v>0.2</v>
      </c>
      <c r="U43" s="11">
        <v>0.25</v>
      </c>
      <c r="V43" s="72">
        <v>0.25</v>
      </c>
      <c r="W43" s="71">
        <v>0</v>
      </c>
      <c r="X43" s="11">
        <v>0.15</v>
      </c>
      <c r="Y43" s="72">
        <v>0.4</v>
      </c>
      <c r="Z43" s="71">
        <v>0</v>
      </c>
      <c r="AA43" s="11">
        <v>0.15</v>
      </c>
      <c r="AB43" s="72">
        <v>0.4</v>
      </c>
      <c r="AC43" s="71">
        <v>0.35</v>
      </c>
      <c r="AD43" s="11">
        <v>0.3</v>
      </c>
      <c r="AE43" s="72">
        <v>0.35</v>
      </c>
      <c r="AF43" s="71">
        <v>0.25</v>
      </c>
      <c r="AG43" s="11">
        <v>0.25</v>
      </c>
      <c r="AH43" s="72">
        <v>0.3</v>
      </c>
      <c r="AI43" s="71">
        <v>0.1</v>
      </c>
      <c r="AJ43" s="11">
        <v>0.1</v>
      </c>
      <c r="AK43" s="72">
        <v>0.25</v>
      </c>
      <c r="AL43" s="71">
        <v>0.25</v>
      </c>
      <c r="AM43" s="11">
        <v>0.25</v>
      </c>
      <c r="AN43" s="72">
        <v>0.3</v>
      </c>
      <c r="AO43" s="71">
        <v>0.2</v>
      </c>
      <c r="AP43" s="11">
        <v>0.2</v>
      </c>
      <c r="AQ43" s="72">
        <v>0.3</v>
      </c>
      <c r="AR43" s="71">
        <v>0.15</v>
      </c>
      <c r="AS43" s="11">
        <v>0.2</v>
      </c>
      <c r="AT43" s="72">
        <v>0.25</v>
      </c>
      <c r="AU43" s="71">
        <v>0.2</v>
      </c>
      <c r="AV43" s="11">
        <v>0.2</v>
      </c>
      <c r="AW43" s="72">
        <v>0.3</v>
      </c>
      <c r="AX43" s="71">
        <v>0.3</v>
      </c>
      <c r="AY43" s="11">
        <v>0.25</v>
      </c>
      <c r="AZ43" s="72">
        <v>0.25</v>
      </c>
      <c r="BA43" s="71">
        <v>0</v>
      </c>
      <c r="BB43" s="11">
        <v>0.1</v>
      </c>
      <c r="BC43" s="72">
        <v>0.25</v>
      </c>
      <c r="BD43" s="71">
        <v>0.05</v>
      </c>
      <c r="BE43" s="11">
        <v>0.1</v>
      </c>
      <c r="BF43" s="72">
        <v>0.2</v>
      </c>
      <c r="BG43" s="71">
        <v>0.2</v>
      </c>
      <c r="BH43" s="11">
        <v>0.25</v>
      </c>
      <c r="BI43" s="72">
        <v>0.35</v>
      </c>
      <c r="BJ43" s="71">
        <v>0.25</v>
      </c>
      <c r="BK43" s="11">
        <v>0.2</v>
      </c>
      <c r="BL43" s="72">
        <v>0.15</v>
      </c>
      <c r="BM43" s="71">
        <v>0.2</v>
      </c>
      <c r="BN43" s="11">
        <v>0.2</v>
      </c>
      <c r="BO43" s="72">
        <v>0.25</v>
      </c>
      <c r="BP43" s="71">
        <v>0.25</v>
      </c>
      <c r="BQ43" s="11">
        <v>0.2</v>
      </c>
      <c r="BR43" s="72">
        <v>0.2</v>
      </c>
      <c r="BS43" s="71">
        <v>0.4</v>
      </c>
      <c r="BT43" s="11">
        <v>0.4</v>
      </c>
      <c r="BU43" s="72">
        <v>0.35</v>
      </c>
      <c r="BV43" s="71">
        <v>0.55000000000000004</v>
      </c>
      <c r="BW43" s="11">
        <v>0.4</v>
      </c>
      <c r="BX43" s="72">
        <v>0.25</v>
      </c>
      <c r="BY43" s="71">
        <v>0.1</v>
      </c>
      <c r="BZ43" s="11">
        <v>0.2</v>
      </c>
      <c r="CA43" s="72">
        <v>0.35</v>
      </c>
      <c r="CB43" s="71">
        <v>0.1</v>
      </c>
      <c r="CC43" s="11">
        <v>0.2</v>
      </c>
      <c r="CD43" s="72">
        <v>0.35</v>
      </c>
      <c r="CE43" s="71">
        <v>0.55000000000000004</v>
      </c>
      <c r="CF43" s="11">
        <v>0.4</v>
      </c>
      <c r="CG43" s="72">
        <v>0.25</v>
      </c>
    </row>
    <row r="44" spans="2:85" ht="17.649999999999999" thickBot="1">
      <c r="B44" s="8"/>
      <c r="D44" s="80" t="s">
        <v>39</v>
      </c>
      <c r="E44" s="81">
        <v>-0.1</v>
      </c>
      <c r="F44" s="82">
        <v>-0.05</v>
      </c>
      <c r="G44" s="83">
        <v>0.1</v>
      </c>
      <c r="H44" s="81">
        <v>-0.1</v>
      </c>
      <c r="I44" s="82">
        <v>-0.05</v>
      </c>
      <c r="J44" s="83">
        <v>0.15</v>
      </c>
      <c r="K44" s="81">
        <v>0.25</v>
      </c>
      <c r="L44" s="82">
        <v>-0.05</v>
      </c>
      <c r="M44" s="83">
        <v>0.1</v>
      </c>
      <c r="N44" s="81">
        <v>0.5</v>
      </c>
      <c r="O44" s="82">
        <v>0.25</v>
      </c>
      <c r="P44" s="83">
        <v>0.2</v>
      </c>
      <c r="Q44" s="81">
        <v>0.2</v>
      </c>
      <c r="R44" s="82">
        <v>0.15</v>
      </c>
      <c r="S44" s="83">
        <v>0.15</v>
      </c>
      <c r="T44" s="81">
        <v>0.2</v>
      </c>
      <c r="U44" s="82">
        <v>0.15</v>
      </c>
      <c r="V44" s="83">
        <v>0.15</v>
      </c>
      <c r="W44" s="81">
        <v>-0.15</v>
      </c>
      <c r="X44" s="82">
        <v>-0.05</v>
      </c>
      <c r="Y44" s="83">
        <v>0.15</v>
      </c>
      <c r="Z44" s="81">
        <v>-0.15</v>
      </c>
      <c r="AA44" s="82">
        <v>-0.05</v>
      </c>
      <c r="AB44" s="83">
        <v>0.15</v>
      </c>
      <c r="AC44" s="81">
        <v>0.25</v>
      </c>
      <c r="AD44" s="82">
        <v>0.15</v>
      </c>
      <c r="AE44" s="83">
        <v>0.15</v>
      </c>
      <c r="AF44" s="81">
        <v>0.1</v>
      </c>
      <c r="AG44" s="82">
        <v>0.1</v>
      </c>
      <c r="AH44" s="83">
        <v>0.15</v>
      </c>
      <c r="AI44" s="81">
        <v>0</v>
      </c>
      <c r="AJ44" s="82">
        <v>0.05</v>
      </c>
      <c r="AK44" s="83">
        <v>0.15</v>
      </c>
      <c r="AL44" s="81">
        <v>0.15</v>
      </c>
      <c r="AM44" s="82">
        <v>0.15</v>
      </c>
      <c r="AN44" s="83">
        <v>0.15</v>
      </c>
      <c r="AO44" s="81">
        <v>0.1</v>
      </c>
      <c r="AP44" s="82">
        <v>0.15</v>
      </c>
      <c r="AQ44" s="83">
        <v>0.2</v>
      </c>
      <c r="AR44" s="81">
        <v>0.1</v>
      </c>
      <c r="AS44" s="82">
        <v>0.1</v>
      </c>
      <c r="AT44" s="83">
        <v>0.15</v>
      </c>
      <c r="AU44" s="81">
        <v>0.1</v>
      </c>
      <c r="AV44" s="82">
        <v>0.15</v>
      </c>
      <c r="AW44" s="83">
        <v>0.2</v>
      </c>
      <c r="AX44" s="81">
        <v>0.25</v>
      </c>
      <c r="AY44" s="82">
        <v>0.2</v>
      </c>
      <c r="AZ44" s="83">
        <v>0.2</v>
      </c>
      <c r="BA44" s="81">
        <v>-0.1</v>
      </c>
      <c r="BB44" s="82">
        <v>0</v>
      </c>
      <c r="BC44" s="83">
        <v>0.15</v>
      </c>
      <c r="BD44" s="81">
        <v>-0.05</v>
      </c>
      <c r="BE44" s="82">
        <v>-0.05</v>
      </c>
      <c r="BF44" s="83">
        <v>0.05</v>
      </c>
      <c r="BG44" s="81">
        <v>0.1</v>
      </c>
      <c r="BH44" s="82">
        <v>0.1</v>
      </c>
      <c r="BI44" s="83">
        <v>0.2</v>
      </c>
      <c r="BJ44" s="81">
        <v>0.2</v>
      </c>
      <c r="BK44" s="82">
        <v>0.1</v>
      </c>
      <c r="BL44" s="83">
        <v>0.1</v>
      </c>
      <c r="BM44" s="81">
        <v>0.2</v>
      </c>
      <c r="BN44" s="82">
        <v>0.15</v>
      </c>
      <c r="BO44" s="83">
        <v>0.05</v>
      </c>
      <c r="BP44" s="81">
        <v>0.25</v>
      </c>
      <c r="BQ44" s="82">
        <v>0.15</v>
      </c>
      <c r="BR44" s="83">
        <v>0.1</v>
      </c>
      <c r="BS44" s="81">
        <v>0.35</v>
      </c>
      <c r="BT44" s="82">
        <v>0.3</v>
      </c>
      <c r="BU44" s="83">
        <v>0.25</v>
      </c>
      <c r="BV44" s="81">
        <v>0.55000000000000004</v>
      </c>
      <c r="BW44" s="82">
        <v>0.3</v>
      </c>
      <c r="BX44" s="83">
        <v>0.15</v>
      </c>
      <c r="BY44" s="81">
        <v>0.1</v>
      </c>
      <c r="BZ44" s="82">
        <v>0.1</v>
      </c>
      <c r="CA44" s="83">
        <v>0.25</v>
      </c>
      <c r="CB44" s="81">
        <v>0.1</v>
      </c>
      <c r="CC44" s="82">
        <v>0.1</v>
      </c>
      <c r="CD44" s="83">
        <v>0.2</v>
      </c>
      <c r="CE44" s="81">
        <v>0.55000000000000004</v>
      </c>
      <c r="CF44" s="82">
        <v>0.3</v>
      </c>
      <c r="CG44" s="83">
        <v>0.15</v>
      </c>
    </row>
    <row r="45" spans="2:85" ht="17.649999999999999" thickBot="1">
      <c r="B45" s="8"/>
    </row>
    <row r="46" spans="2:85" ht="17.649999999999999" thickBot="1">
      <c r="B46" s="8"/>
      <c r="D46" s="7" t="s">
        <v>163</v>
      </c>
      <c r="E46" s="12">
        <f>IF(usage=D5,(0.4*scombles)/sref,0)</f>
        <v>0</v>
      </c>
      <c r="O46" s="1" t="s">
        <v>183</v>
      </c>
      <c r="T46" s="1" t="s">
        <v>184</v>
      </c>
    </row>
    <row r="47" spans="2:85" ht="17.649999999999999" thickBot="1">
      <c r="B47" s="8"/>
      <c r="E47" s="2"/>
    </row>
    <row r="48" spans="2:85" ht="17.649999999999999" thickBot="1">
      <c r="B48" s="8"/>
      <c r="D48" s="7" t="s">
        <v>165</v>
      </c>
      <c r="E48" s="15">
        <f>HLOOKUP("ICI",G51:M52,2,FALSE)</f>
        <v>5.1282051282051377E-3</v>
      </c>
      <c r="G48" s="68" t="str">
        <f>D5</f>
        <v>Maisons_individuelles_ou_accolées</v>
      </c>
      <c r="H48" s="69" t="str">
        <f>G48</f>
        <v>Maisons_individuelles_ou_accolées</v>
      </c>
      <c r="I48" s="70" t="str">
        <f>H48</f>
        <v>Maisons_individuelles_ou_accolées</v>
      </c>
      <c r="J48" s="68" t="str">
        <f>H35</f>
        <v>Logement_collectif</v>
      </c>
      <c r="K48" s="69" t="str">
        <f>J48</f>
        <v>Logement_collectif</v>
      </c>
      <c r="L48" s="70" t="str">
        <f>K48</f>
        <v>Logement_collectif</v>
      </c>
      <c r="M48" s="41" t="s">
        <v>396</v>
      </c>
    </row>
    <row r="49" spans="2:36" ht="17.25">
      <c r="B49" s="8"/>
      <c r="E49" s="2"/>
      <c r="G49" s="71" t="s">
        <v>167</v>
      </c>
      <c r="H49" s="11" t="s">
        <v>168</v>
      </c>
      <c r="I49" s="72" t="s">
        <v>169</v>
      </c>
      <c r="J49" s="71" t="s">
        <v>180</v>
      </c>
      <c r="K49" s="11" t="s">
        <v>181</v>
      </c>
      <c r="L49" s="72" t="s">
        <v>182</v>
      </c>
      <c r="M49" s="42"/>
    </row>
    <row r="50" spans="2:36" ht="17.25">
      <c r="B50" s="8"/>
      <c r="E50" s="2"/>
      <c r="F50" s="38" t="s">
        <v>234</v>
      </c>
      <c r="G50" s="73" t="b">
        <f>smoylgt&lt;=100</f>
      </c>
      <c r="H50" s="16" t="b">
        <f>AND(NOT(G50),NOT(I50))</f>
        <v>0</v>
      </c>
      <c r="I50" s="74" t="b">
        <f>smoylgt&gt;150</f>
        <v>0</v>
      </c>
      <c r="J50" s="73" t="b">
        <f>smoylgt&lt;=80</f>
      </c>
      <c r="K50" s="16" t="b">
        <f>AND(NOT(J50),NOT(L50))</f>
        <v>0</v>
      </c>
      <c r="L50" s="74" t="b">
        <f>smoylgt&gt;120</f>
      </c>
      <c r="M50" s="42"/>
    </row>
    <row r="51" spans="2:36" ht="17.25">
      <c r="B51" s="8"/>
      <c r="E51" s="2"/>
      <c r="F51" s="38" t="s">
        <v>233</v>
      </c>
      <c r="G51" s="49" t="str">
        <f>IF(AND(Input_resultats!$E$4=G48,Calcul_bbio!G50),"ICI","NON")</f>
        <v>NON</v>
      </c>
      <c r="H51" s="13" t="str">
        <f>IF(AND(Input_resultats!$E$4=H48,Calcul_bbio!H50),"ICI","NON")</f>
        <v>NON</v>
      </c>
      <c r="I51" s="50" t="str">
        <f>IF(AND(Input_resultats!$E$4=I48,Calcul_bbio!I50),"ICI","NON")</f>
        <v>NON</v>
      </c>
      <c r="J51" s="49" t="str">
        <f>IF(AND(Input_resultats!$E$4=J48,Calcul_bbio!J50),"ICI","NON")</f>
        <v>ICI</v>
      </c>
      <c r="K51" s="13" t="str">
        <f>IF(AND(Input_resultats!$E$4=K48,Calcul_bbio!K50),"ICI","NON")</f>
        <v>NON</v>
      </c>
      <c r="L51" s="50" t="str">
        <f>IF(AND(Input_resultats!$E$4=L48,Calcul_bbio!L50),"ICI","NON")</f>
        <v>NON</v>
      </c>
      <c r="M51" s="78" t="str">
        <f>IF(ISNUMBER(MATCH("ICI",G51:L51,0)),"NON","ICI")</f>
        <v>NON</v>
      </c>
    </row>
    <row r="52" spans="2:36" ht="17.649999999999999" thickBot="1">
      <c r="B52" s="8"/>
      <c r="F52" s="38" t="s">
        <v>235</v>
      </c>
      <c r="G52" s="75">
        <f>(49-(0.49*smoylgt))/bbiomaxmoyen</f>
        <v>0.27641025641025641</v>
      </c>
      <c r="H52" s="76">
        <f>(18-(0.18*smoylgt))/bbiomaxmoyen</f>
        <v>0.10153846153846154</v>
      </c>
      <c r="I52" s="77">
        <f>(-9)/bbiomaxmoyen</f>
        <v>-0.13846153846153847</v>
      </c>
      <c r="J52" s="75">
        <f>(-6+(0.1*smoylgt))/bbiomaxmoyen</f>
        <v>5.1282051282051377E-3</v>
      </c>
      <c r="K52" s="76">
        <f>(-2+(0.05*smoylgt))/bbiomaxmoyen</f>
        <v>1.7948717948717954E-2</v>
      </c>
      <c r="L52" s="77">
        <f>(4)/bbiomaxmoyen</f>
        <v>6.1538461538461542E-2</v>
      </c>
      <c r="M52" s="79">
        <v>0</v>
      </c>
    </row>
    <row r="53" spans="2:36" ht="17.649999999999999" thickBot="1">
      <c r="B53" s="8"/>
      <c r="E53" s="2"/>
    </row>
    <row r="54" spans="2:36" ht="17.649999999999999" thickBot="1">
      <c r="B54" s="8"/>
      <c r="D54" s="7" t="s">
        <v>174</v>
      </c>
      <c r="E54" s="15">
        <f>HLOOKUP("ICI",G58:AJ59,2,FALSE)</f>
        <v>0</v>
      </c>
      <c r="G54" s="214" t="str">
        <f>G48</f>
        <v>Maisons_individuelles_ou_accolées</v>
      </c>
      <c r="H54" s="59" t="str">
        <f>J48</f>
        <v>Logement_collectif</v>
      </c>
      <c r="I54" s="60" t="str">
        <f>H54</f>
        <v>Logement_collectif</v>
      </c>
      <c r="J54" s="61" t="str">
        <f>K35</f>
        <v>Bureaux</v>
      </c>
      <c r="K54" s="62" t="str">
        <f t="shared" ref="K54:M55" si="4">J54</f>
        <v>Bureaux</v>
      </c>
      <c r="L54" s="62" t="str">
        <f t="shared" si="4"/>
        <v>Bureaux</v>
      </c>
      <c r="M54" s="63" t="str">
        <f t="shared" si="4"/>
        <v>Bureaux</v>
      </c>
      <c r="N54" s="61" t="str">
        <f t="shared" ref="N54:U54" si="5">M54</f>
        <v>Bureaux</v>
      </c>
      <c r="O54" s="62" t="str">
        <f t="shared" si="5"/>
        <v>Bureaux</v>
      </c>
      <c r="P54" s="62" t="str">
        <f t="shared" si="5"/>
        <v>Bureaux</v>
      </c>
      <c r="Q54" s="63" t="str">
        <f t="shared" si="5"/>
        <v>Bureaux</v>
      </c>
      <c r="R54" s="61" t="str">
        <f t="shared" si="5"/>
        <v>Bureaux</v>
      </c>
      <c r="S54" s="62" t="str">
        <f t="shared" si="5"/>
        <v>Bureaux</v>
      </c>
      <c r="T54" s="62" t="str">
        <f t="shared" si="5"/>
        <v>Bureaux</v>
      </c>
      <c r="U54" s="63" t="str">
        <f t="shared" si="5"/>
        <v>Bureaux</v>
      </c>
      <c r="V54" s="375" t="str">
        <f>D8</f>
        <v xml:space="preserve">Enseignement_primaire_ou_secondaire - Enseignement primaire </v>
      </c>
      <c r="W54" s="376" t="str">
        <f>V54</f>
        <v xml:space="preserve">Enseignement_primaire_ou_secondaire - Enseignement primaire </v>
      </c>
      <c r="X54" s="377" t="str">
        <f>W54</f>
        <v xml:space="preserve">Enseignement_primaire_ou_secondaire - Enseignement primaire </v>
      </c>
      <c r="Y54" s="375" t="str">
        <f>D9</f>
        <v>Enseignement_primaire_ou_secondaire - Enseignement secondaire</v>
      </c>
      <c r="Z54" s="376" t="str">
        <f>Y54</f>
        <v>Enseignement_primaire_ou_secondaire - Enseignement secondaire</v>
      </c>
      <c r="AA54" s="377" t="str">
        <f>Z54</f>
        <v>Enseignement_primaire_ou_secondaire - Enseignement secondaire</v>
      </c>
      <c r="AB54" s="59" t="str">
        <f>Enumération!C13</f>
        <v>Commerces</v>
      </c>
      <c r="AC54" s="60" t="str">
        <f>AB54</f>
        <v>Commerces</v>
      </c>
      <c r="AD54" s="59" t="str">
        <f>D25</f>
        <v xml:space="preserve">Etablissements_de_santé - partie jour </v>
      </c>
      <c r="AE54" s="60" t="str">
        <f>AD54</f>
        <v xml:space="preserve">Etablissements_de_santé - partie jour </v>
      </c>
      <c r="AF54" s="59" t="str">
        <f>D27</f>
        <v>Industries_ou_artisanats - 3x8h</v>
      </c>
      <c r="AG54" s="60" t="str">
        <f>AF54</f>
        <v>Industries_ou_artisanats - 3x8h</v>
      </c>
      <c r="AH54" s="59" t="str">
        <f>D28</f>
        <v>Industries_ou_artisanats - 8h à 18h</v>
      </c>
      <c r="AI54" s="60" t="str">
        <f>AH54</f>
        <v>Industries_ou_artisanats - 8h à 18h</v>
      </c>
      <c r="AJ54" s="58" t="s">
        <v>398</v>
      </c>
    </row>
    <row r="55" spans="2:36" ht="17.25">
      <c r="B55" s="8"/>
      <c r="E55" s="378" t="s">
        <v>193</v>
      </c>
      <c r="F55" s="38" t="s">
        <v>237</v>
      </c>
      <c r="G55" s="42"/>
      <c r="H55" s="45"/>
      <c r="I55" s="46"/>
      <c r="J55" s="53" t="str">
        <f>Calcul_matiere!E4</f>
        <v>2022 à 2024</v>
      </c>
      <c r="K55" s="21" t="str">
        <f t="shared" si="4"/>
        <v>2022 à 2024</v>
      </c>
      <c r="L55" s="21" t="str">
        <f t="shared" si="4"/>
        <v>2022 à 2024</v>
      </c>
      <c r="M55" s="54" t="str">
        <f t="shared" si="4"/>
        <v>2022 à 2024</v>
      </c>
      <c r="N55" s="53" t="str">
        <f>Calcul_matiere!F4</f>
        <v>2025 à 2027</v>
      </c>
      <c r="O55" s="21" t="str">
        <f>N55</f>
        <v>2025 à 2027</v>
      </c>
      <c r="P55" s="21" t="str">
        <f>O55</f>
        <v>2025 à 2027</v>
      </c>
      <c r="Q55" s="54" t="str">
        <f>P55</f>
        <v>2025 à 2027</v>
      </c>
      <c r="R55" s="53" t="str">
        <f>E55</f>
        <v>2028 et plus</v>
      </c>
      <c r="S55" s="21" t="str">
        <f>R55</f>
        <v>2028 et plus</v>
      </c>
      <c r="T55" s="21" t="str">
        <f>S55</f>
        <v>2028 et plus</v>
      </c>
      <c r="U55" s="54" t="str">
        <f>T55</f>
        <v>2028 et plus</v>
      </c>
      <c r="V55" s="64"/>
      <c r="W55" s="65"/>
      <c r="X55" s="66"/>
      <c r="Y55" s="64"/>
      <c r="Z55" s="65"/>
      <c r="AA55" s="66"/>
      <c r="AB55" s="45"/>
      <c r="AC55" s="46"/>
      <c r="AD55" s="45"/>
      <c r="AE55" s="46"/>
      <c r="AF55" s="45"/>
      <c r="AG55" s="46"/>
      <c r="AH55" s="45"/>
      <c r="AI55" s="46"/>
      <c r="AJ55" s="42"/>
    </row>
    <row r="56" spans="2:36" ht="17.25">
      <c r="B56" s="8"/>
      <c r="D56" s="22" t="s">
        <v>210</v>
      </c>
      <c r="F56" s="38" t="s">
        <v>234</v>
      </c>
      <c r="G56" s="42"/>
      <c r="H56" s="90" t="s">
        <v>185</v>
      </c>
      <c r="I56" s="91" t="s">
        <v>186</v>
      </c>
      <c r="J56" s="379" t="s">
        <v>187</v>
      </c>
      <c r="K56" s="380" t="s">
        <v>188</v>
      </c>
      <c r="L56" s="380" t="s">
        <v>189</v>
      </c>
      <c r="M56" s="285" t="s">
        <v>190</v>
      </c>
      <c r="N56" s="379" t="s">
        <v>187</v>
      </c>
      <c r="O56" s="380" t="s">
        <v>188</v>
      </c>
      <c r="P56" s="380" t="s">
        <v>189</v>
      </c>
      <c r="Q56" s="285" t="s">
        <v>190</v>
      </c>
      <c r="R56" s="379" t="s">
        <v>187</v>
      </c>
      <c r="S56" s="380" t="s">
        <v>188</v>
      </c>
      <c r="T56" s="380" t="s">
        <v>189</v>
      </c>
      <c r="U56" s="285" t="s">
        <v>190</v>
      </c>
      <c r="V56" s="379" t="s">
        <v>187</v>
      </c>
      <c r="W56" s="380" t="s">
        <v>195</v>
      </c>
      <c r="X56" s="285" t="s">
        <v>196</v>
      </c>
      <c r="Y56" s="379" t="s">
        <v>187</v>
      </c>
      <c r="Z56" s="380" t="s">
        <v>195</v>
      </c>
      <c r="AA56" s="285" t="s">
        <v>196</v>
      </c>
      <c r="AB56" s="90" t="s">
        <v>187</v>
      </c>
      <c r="AC56" s="91" t="s">
        <v>277</v>
      </c>
      <c r="AD56" s="90" t="s">
        <v>376</v>
      </c>
      <c r="AE56" s="91" t="s">
        <v>377</v>
      </c>
      <c r="AF56" s="90" t="s">
        <v>374</v>
      </c>
      <c r="AG56" s="91" t="s">
        <v>375</v>
      </c>
      <c r="AH56" s="90" t="s">
        <v>374</v>
      </c>
      <c r="AI56" s="91" t="s">
        <v>375</v>
      </c>
      <c r="AJ56" s="42"/>
    </row>
    <row r="57" spans="2:36" ht="17.25">
      <c r="B57" s="8"/>
      <c r="D57" s="6" t="str">
        <f>IF(OR(depotpc="2028 à 2030",depotpc="à partir de 2031"),E55,depotpc)</f>
        <v>2025 à 2027</v>
      </c>
      <c r="F57" s="38" t="s">
        <v>234</v>
      </c>
      <c r="G57" s="43"/>
      <c r="H57" s="47" t="b">
        <f>sref&lt;=1300</f>
        <v>0</v>
      </c>
      <c r="I57" s="48" t="b">
        <f>sref&gt;1300</f>
        <v>1</v>
      </c>
      <c r="J57" s="47" t="b">
        <f>sref&lt;=500</f>
        <v>0</v>
      </c>
      <c r="K57" s="17" t="b">
        <f>IF(AND(sref&lt;=4000,sref&gt;500),TRUE,FALSE)</f>
        <v>1</v>
      </c>
      <c r="L57" s="17" t="b">
        <f>IF(AND(sref&lt;=10000,sref&gt;4000),TRUE,FALSE)</f>
        <v>0</v>
      </c>
      <c r="M57" s="48" t="b">
        <f>sref&gt;10000</f>
        <v>0</v>
      </c>
      <c r="N57" s="47" t="b">
        <f>sref&lt;=500</f>
        <v>0</v>
      </c>
      <c r="O57" s="17" t="b">
        <f>IF(AND(sref&lt;=4000,sref&gt;500),TRUE,FALSE)</f>
        <v>1</v>
      </c>
      <c r="P57" s="17" t="b">
        <f>IF(AND(sref&lt;=10000,sref&gt;4000),TRUE,FALSE)</f>
        <v>0</v>
      </c>
      <c r="Q57" s="48" t="b">
        <f>sref&gt;10000</f>
        <v>0</v>
      </c>
      <c r="R57" s="47" t="b">
        <f>sref&lt;=500</f>
        <v>0</v>
      </c>
      <c r="S57" s="17" t="b">
        <f>IF(AND(sref&lt;=4000,sref&gt;500),TRUE,FALSE)</f>
        <v>1</v>
      </c>
      <c r="T57" s="17" t="b">
        <f>IF(AND(sref&lt;=10000,sref&gt;4000),TRUE,FALSE)</f>
        <v>0</v>
      </c>
      <c r="U57" s="48" t="b">
        <f>sref&gt;10000</f>
        <v>0</v>
      </c>
      <c r="V57" s="47" t="b">
        <f>sref&lt;=500</f>
        <v>0</v>
      </c>
      <c r="W57" s="17" t="b">
        <f>IF(AND(sref&lt;=1000,sref&gt;500),TRUE,FALSE)</f>
        <v>0</v>
      </c>
      <c r="X57" s="48" t="b">
        <f>sref&gt;1000</f>
        <v>1</v>
      </c>
      <c r="Y57" s="47" t="b">
        <f>sref&lt;=500</f>
        <v>0</v>
      </c>
      <c r="Z57" s="17" t="b">
        <f>IF(AND(sref&lt;=1000,sref&gt;500),TRUE,FALSE)</f>
        <v>0</v>
      </c>
      <c r="AA57" s="48" t="b">
        <f>sref&gt;1000</f>
        <v>1</v>
      </c>
      <c r="AB57" s="47" t="b">
        <f>sref&lt;=500</f>
        <v>0</v>
      </c>
      <c r="AC57" s="48" t="b">
        <f>sref&gt;500</f>
        <v>1</v>
      </c>
      <c r="AD57" s="47" t="b">
        <f>sref&lt;=2000</f>
        <v>0</v>
      </c>
      <c r="AE57" s="48" t="b">
        <f>sref&gt;2000</f>
        <v>1</v>
      </c>
      <c r="AF57" s="47" t="b">
        <f>sref&lt;=5000</f>
        <v>1</v>
      </c>
      <c r="AG57" s="48" t="b">
        <f>sref&gt;5000</f>
        <v>0</v>
      </c>
      <c r="AH57" s="47" t="b">
        <f>sref&lt;=5000</f>
        <v>1</v>
      </c>
      <c r="AI57" s="48" t="b">
        <f>sref&gt;5000</f>
        <v>0</v>
      </c>
      <c r="AJ57" s="43"/>
    </row>
    <row r="58" spans="2:36" ht="17.25">
      <c r="B58" s="8"/>
      <c r="F58" s="38" t="s">
        <v>233</v>
      </c>
      <c r="G58" s="43" t="str">
        <f>IF(usage=G54,"ICI","NON")</f>
        <v>NON</v>
      </c>
      <c r="H58" s="49" t="str">
        <f>IF(AND(usage=H54,H57),"ICI","NON")</f>
        <v>NON</v>
      </c>
      <c r="I58" s="50" t="str">
        <f>IF(AND(usage=I54,I57),"ICI","NON")</f>
        <v>ICI</v>
      </c>
      <c r="J58" s="49" t="str">
        <f t="shared" ref="J58:U58" si="6">IF(AND(usage=J54,J57,$D$57=J55),"ICI","NON")</f>
        <v>NON</v>
      </c>
      <c r="K58" s="13" t="str">
        <f t="shared" si="6"/>
        <v>NON</v>
      </c>
      <c r="L58" s="13" t="str">
        <f t="shared" si="6"/>
        <v>NON</v>
      </c>
      <c r="M58" s="50" t="str">
        <f t="shared" si="6"/>
        <v>NON</v>
      </c>
      <c r="N58" s="49" t="str">
        <f t="shared" si="6"/>
        <v>NON</v>
      </c>
      <c r="O58" s="13" t="str">
        <f t="shared" si="6"/>
        <v>NON</v>
      </c>
      <c r="P58" s="13" t="str">
        <f t="shared" si="6"/>
        <v>NON</v>
      </c>
      <c r="Q58" s="50" t="str">
        <f t="shared" si="6"/>
        <v>NON</v>
      </c>
      <c r="R58" s="49" t="str">
        <f t="shared" si="6"/>
        <v>NON</v>
      </c>
      <c r="S58" s="13" t="str">
        <f t="shared" si="6"/>
        <v>NON</v>
      </c>
      <c r="T58" s="13" t="str">
        <f t="shared" si="6"/>
        <v>NON</v>
      </c>
      <c r="U58" s="50" t="str">
        <f t="shared" si="6"/>
        <v>NON</v>
      </c>
      <c r="V58" s="49" t="str">
        <f t="shared" ref="V58:AA58" si="7">IF(AND(usage_detaillé=V54,V57),"ICI","NON")</f>
        <v>NON</v>
      </c>
      <c r="W58" s="13" t="str">
        <f t="shared" si="7"/>
        <v>NON</v>
      </c>
      <c r="X58" s="50" t="str">
        <f t="shared" si="7"/>
        <v>NON</v>
      </c>
      <c r="Y58" s="49" t="str">
        <f t="shared" si="7"/>
        <v>NON</v>
      </c>
      <c r="Z58" s="13" t="str">
        <f t="shared" si="7"/>
        <v>NON</v>
      </c>
      <c r="AA58" s="50" t="str">
        <f t="shared" si="7"/>
        <v>NON</v>
      </c>
      <c r="AB58" s="49" t="str">
        <f>IF(AND(usage=AB54,AB57),"ICI","NON")</f>
        <v>NON</v>
      </c>
      <c r="AC58" s="50" t="str">
        <f>IF(AND(usage=AC54,AC57),"ICI","NON")</f>
        <v>NON</v>
      </c>
      <c r="AD58" s="49" t="str">
        <f t="shared" ref="AD58:AI58" si="8">IF(AND(usage_detaillé=AD54,AD57),"ICI","NON")</f>
        <v>NON</v>
      </c>
      <c r="AE58" s="50" t="str">
        <f t="shared" si="8"/>
        <v>NON</v>
      </c>
      <c r="AF58" s="49" t="str">
        <f t="shared" si="8"/>
        <v>NON</v>
      </c>
      <c r="AG58" s="50" t="str">
        <f t="shared" si="8"/>
        <v>NON</v>
      </c>
      <c r="AH58" s="49" t="str">
        <f t="shared" si="8"/>
        <v>NON</v>
      </c>
      <c r="AI58" s="50" t="str">
        <f t="shared" si="8"/>
        <v>NON</v>
      </c>
      <c r="AJ58" s="78" t="str">
        <f>IF(ISNUMBER(MATCH("ICI",G58:AI58,0)),"NON","ICI")</f>
        <v>NON</v>
      </c>
    </row>
    <row r="59" spans="2:36" ht="17.649999999999999" thickBot="1">
      <c r="B59" s="8"/>
      <c r="F59" s="38" t="s">
        <v>235</v>
      </c>
      <c r="G59" s="44">
        <v>0</v>
      </c>
      <c r="H59" s="51">
        <f>(19.5-(0.015*sref))/bbiomaxmoyen</f>
        <v>-0.57692307692307687</v>
      </c>
      <c r="I59" s="52">
        <v>0</v>
      </c>
      <c r="J59" s="51">
        <f>(24-(0.06*sref))/bbiomaxmoyen</f>
        <v>-3.1384615384615384</v>
      </c>
      <c r="K59" s="55">
        <f>(-5.55-(0.0009*sref))/bbiomaxmoyen</f>
        <v>-0.13799999999999998</v>
      </c>
      <c r="L59" s="55">
        <f>(-5.55-(0.0009*sref))/bbiomaxmoyen</f>
        <v>-0.13799999999999998</v>
      </c>
      <c r="M59" s="56">
        <f>(-14.55)/bbiomaxmoyen</f>
        <v>-0.22384615384615386</v>
      </c>
      <c r="N59" s="51">
        <f>(24-(0.06*sref))/bbiomaxmoyen</f>
        <v>-3.1384615384615384</v>
      </c>
      <c r="O59" s="55">
        <f>(-4.9-(0.0022*sref))/bbiomaxmoyen</f>
        <v>-0.20400000000000001</v>
      </c>
      <c r="P59" s="55">
        <f>(-9.7-(0.001*sref))/bbiomaxmoyen</f>
        <v>-0.2076923076923077</v>
      </c>
      <c r="Q59" s="56">
        <f>(-19.7)/bbiomaxmoyen</f>
        <v>-0.30307692307692308</v>
      </c>
      <c r="R59" s="51">
        <f>(24-(0.06*sref))/bbiomaxmoyen</f>
        <v>-3.1384615384615384</v>
      </c>
      <c r="S59" s="55">
        <f>(-3.8-(0.0044*sref))/bbiomaxmoyen</f>
        <v>-0.31569230769230772</v>
      </c>
      <c r="T59" s="55">
        <f>(-21.4)/bbiomaxmoyen</f>
        <v>-0.32923076923076922</v>
      </c>
      <c r="U59" s="56">
        <f>(-21.4)/bbiomaxmoyen</f>
        <v>-0.32923076923076922</v>
      </c>
      <c r="V59" s="51">
        <f>(35-(0.05*sref))/bbiomaxmoyen</f>
        <v>-2.3846153846153846</v>
      </c>
      <c r="W59" s="55">
        <f>(20-(0.02*sref))/bbiomaxmoyen</f>
        <v>-0.86153846153846159</v>
      </c>
      <c r="X59" s="52">
        <v>0</v>
      </c>
      <c r="Y59" s="51">
        <f>(45-(0.045*sref))/bbiomaxmoyen</f>
        <v>-1.9384615384615385</v>
      </c>
      <c r="Z59" s="55">
        <f>(45-(0.045*sref))/bbiomaxmoyen</f>
        <v>-1.9384615384615385</v>
      </c>
      <c r="AA59" s="52">
        <v>0</v>
      </c>
      <c r="AB59" s="51">
        <f>(47.5-(0.095*sref))/bbiomaxmoyen</f>
        <v>-4.8230769230769228</v>
      </c>
      <c r="AC59" s="52">
        <v>0</v>
      </c>
      <c r="AD59" s="51">
        <f>(22-(0.008*sref))/bbiomaxmoyen</f>
        <v>-0.12923076923076926</v>
      </c>
      <c r="AE59" s="52">
        <v>0</v>
      </c>
      <c r="AF59" s="51">
        <f>(50-(0.01*sref))/bbiomaxmoyen</f>
        <v>0.18461538461538463</v>
      </c>
      <c r="AG59" s="52">
        <v>0</v>
      </c>
      <c r="AH59" s="51">
        <f>(65-(0.013*sref))/bbiomaxmoyen</f>
        <v>0.24000000000000002</v>
      </c>
      <c r="AI59" s="52">
        <v>0</v>
      </c>
      <c r="AJ59" s="44">
        <v>0</v>
      </c>
    </row>
    <row r="60" spans="2:36" ht="17.649999999999999" thickBot="1">
      <c r="B60" s="8"/>
    </row>
    <row r="61" spans="2:36" ht="17.649999999999999" thickBot="1">
      <c r="B61" s="8"/>
      <c r="D61" s="7" t="s">
        <v>171</v>
      </c>
      <c r="E61" s="130">
        <f>IF(VLOOKUP(D4,D64:G91,D63,FALSE)="X",I62,VLOOKUP(D4,D64:G91,D63,FALSE))</f>
        <v>0</v>
      </c>
    </row>
    <row r="62" spans="2:36" ht="17.649999999999999" thickBot="1">
      <c r="B62" s="8"/>
      <c r="G62" s="388" t="b">
        <f>IF(categorie="Catégorie 3",TRUE,FALSE)</f>
        <v>0</v>
      </c>
      <c r="H62" s="386" t="str">
        <f>IF(VLOOKUP(D4,D64:G91,D63,FALSE)="X","&gt;&gt;&gt;","")</f>
        <v/>
      </c>
      <c r="I62" s="390">
        <f>VLOOKUP(zoneclim,I64:N71,I63,FALSE)</f>
        <v>0</v>
      </c>
      <c r="J62" s="214" t="str">
        <f>Enumération!C35</f>
        <v>Maisons_individuelles_ou_accolées</v>
      </c>
      <c r="K62" s="107" t="str">
        <f>Enumération!E35</f>
        <v>Logement_collectif</v>
      </c>
      <c r="L62" s="387" t="str">
        <f>Enumération!I35</f>
        <v>Enseignement_primaire_ou_secondaire</v>
      </c>
      <c r="M62" s="387" t="str">
        <f>Enumération!N35</f>
        <v>Bâtiments_universitaires_d'enseignement_et_de_recherche_et_bâtiments_d’enseignements_atypiques</v>
      </c>
      <c r="N62" s="387" t="str">
        <f>AI35</f>
        <v>Etablissements_d'accueil_de_la_petite_enfance </v>
      </c>
    </row>
    <row r="63" spans="2:36" ht="17.649999999999999" thickBot="1">
      <c r="B63" s="8"/>
      <c r="D63" s="40">
        <f>IF(categorie="Catégorie 3",4,IF(expobruit="BR1",2,3))</f>
        <v>2</v>
      </c>
      <c r="E63" s="383" t="s">
        <v>172</v>
      </c>
      <c r="F63" s="384" t="s">
        <v>173</v>
      </c>
      <c r="G63" s="385" t="s">
        <v>194</v>
      </c>
      <c r="I63" s="389">
        <f>VLOOKUP(usage_detaillé,D64:H91,5,FALSE)</f>
        <v>3</v>
      </c>
      <c r="J63" s="86" t="s">
        <v>173</v>
      </c>
      <c r="K63" s="85" t="s">
        <v>173</v>
      </c>
      <c r="L63" s="85" t="s">
        <v>194</v>
      </c>
      <c r="M63" s="85" t="s">
        <v>194</v>
      </c>
      <c r="N63" s="85" t="s">
        <v>194</v>
      </c>
    </row>
    <row r="64" spans="2:36" ht="17.25">
      <c r="B64" s="8"/>
      <c r="D64" s="363" t="str">
        <f>D5</f>
        <v>Maisons_individuelles_ou_accolées</v>
      </c>
      <c r="E64" s="379">
        <v>0</v>
      </c>
      <c r="F64" s="380" t="s">
        <v>399</v>
      </c>
      <c r="G64" s="285" t="s">
        <v>159</v>
      </c>
      <c r="H64" s="231">
        <v>2</v>
      </c>
      <c r="I64" s="42" t="str">
        <f t="shared" ref="I64:I71" si="9">D37</f>
        <v>H1a</v>
      </c>
      <c r="J64" s="87">
        <v>0</v>
      </c>
      <c r="K64" s="72">
        <v>0</v>
      </c>
      <c r="L64" s="72">
        <v>0.15</v>
      </c>
      <c r="M64" s="72">
        <v>0.1</v>
      </c>
      <c r="N64" s="72">
        <v>0.05</v>
      </c>
    </row>
    <row r="65" spans="2:14" ht="17.25">
      <c r="B65" s="8"/>
      <c r="D65" s="364" t="str">
        <f t="shared" ref="D65:D91" si="10">D6</f>
        <v>Logement_collectif</v>
      </c>
      <c r="E65" s="90">
        <v>0</v>
      </c>
      <c r="F65" s="24" t="s">
        <v>399</v>
      </c>
      <c r="G65" s="91" t="s">
        <v>159</v>
      </c>
      <c r="H65" s="231">
        <v>3</v>
      </c>
      <c r="I65" s="42" t="str">
        <f t="shared" si="9"/>
        <v>H1b</v>
      </c>
      <c r="J65" s="87">
        <v>0</v>
      </c>
      <c r="K65" s="72">
        <v>0</v>
      </c>
      <c r="L65" s="72">
        <v>0.1</v>
      </c>
      <c r="M65" s="72">
        <v>0.05</v>
      </c>
      <c r="N65" s="72">
        <v>0.1</v>
      </c>
    </row>
    <row r="66" spans="2:14" ht="17.25">
      <c r="B66" s="8"/>
      <c r="D66" s="364" t="str">
        <f t="shared" si="10"/>
        <v>Bureaux</v>
      </c>
      <c r="E66" s="90">
        <v>0</v>
      </c>
      <c r="F66" s="24">
        <v>0</v>
      </c>
      <c r="G66" s="91">
        <v>0.4</v>
      </c>
      <c r="H66" s="231"/>
      <c r="I66" s="42" t="str">
        <f t="shared" si="9"/>
        <v>H1c</v>
      </c>
      <c r="J66" s="87">
        <v>0</v>
      </c>
      <c r="K66" s="72">
        <v>0.1</v>
      </c>
      <c r="L66" s="72">
        <v>0.1</v>
      </c>
      <c r="M66" s="72">
        <v>0.1</v>
      </c>
      <c r="N66" s="72">
        <v>0.15</v>
      </c>
    </row>
    <row r="67" spans="2:14" ht="17.25">
      <c r="B67" s="8"/>
      <c r="D67" s="365" t="str">
        <f t="shared" si="10"/>
        <v xml:space="preserve">Enseignement_primaire_ou_secondaire - Enseignement primaire </v>
      </c>
      <c r="E67" s="90">
        <v>0</v>
      </c>
      <c r="F67" s="24">
        <v>0</v>
      </c>
      <c r="G67" s="91">
        <v>0</v>
      </c>
      <c r="H67" s="231"/>
      <c r="I67" s="42" t="str">
        <f t="shared" si="9"/>
        <v>H2a</v>
      </c>
      <c r="J67" s="87">
        <v>0</v>
      </c>
      <c r="K67" s="72">
        <v>0</v>
      </c>
      <c r="L67" s="72">
        <v>0.15</v>
      </c>
      <c r="M67" s="72">
        <v>0.1</v>
      </c>
      <c r="N67" s="72">
        <v>0.1</v>
      </c>
    </row>
    <row r="68" spans="2:14" ht="17.25">
      <c r="B68" s="8"/>
      <c r="D68" s="365" t="str">
        <f t="shared" si="10"/>
        <v>Enseignement_primaire_ou_secondaire - Enseignement secondaire</v>
      </c>
      <c r="E68" s="90">
        <v>0</v>
      </c>
      <c r="F68" s="24">
        <v>0</v>
      </c>
      <c r="G68" s="91">
        <v>0</v>
      </c>
      <c r="H68" s="231"/>
      <c r="I68" s="42" t="str">
        <f t="shared" si="9"/>
        <v>H2b</v>
      </c>
      <c r="J68" s="87">
        <v>0</v>
      </c>
      <c r="K68" s="72">
        <v>0</v>
      </c>
      <c r="L68" s="72">
        <v>0.15</v>
      </c>
      <c r="M68" s="72">
        <v>0.15</v>
      </c>
      <c r="N68" s="72">
        <v>0.15</v>
      </c>
    </row>
    <row r="69" spans="2:14" ht="17.25">
      <c r="B69" s="8"/>
      <c r="D69" s="366" t="str">
        <f t="shared" si="10"/>
        <v>Médiathèques_et_bibliothèques</v>
      </c>
      <c r="E69" s="90">
        <v>0</v>
      </c>
      <c r="F69" s="24">
        <v>0</v>
      </c>
      <c r="G69" s="91" t="s">
        <v>399</v>
      </c>
      <c r="H69" s="231">
        <v>4</v>
      </c>
      <c r="I69" s="42" t="str">
        <f t="shared" si="9"/>
        <v>H2c</v>
      </c>
      <c r="J69" s="87">
        <v>0</v>
      </c>
      <c r="K69" s="72">
        <v>0.1</v>
      </c>
      <c r="L69" s="72">
        <v>0.2</v>
      </c>
      <c r="M69" s="72">
        <v>0.2</v>
      </c>
      <c r="N69" s="72">
        <v>0.2</v>
      </c>
    </row>
    <row r="70" spans="2:14" ht="17.25">
      <c r="B70" s="8"/>
      <c r="D70" s="366" t="str">
        <f t="shared" si="10"/>
        <v>Bâtiments_universitaires_d'enseignement_et_de_recherche_et_bâtiments_d’enseignements_atypiques</v>
      </c>
      <c r="E70" s="90">
        <v>0</v>
      </c>
      <c r="F70" s="24">
        <v>0</v>
      </c>
      <c r="G70" s="91" t="s">
        <v>399</v>
      </c>
      <c r="H70" s="231">
        <v>5</v>
      </c>
      <c r="I70" s="42" t="str">
        <f t="shared" si="9"/>
        <v>H2d</v>
      </c>
      <c r="J70" s="87">
        <v>0.1</v>
      </c>
      <c r="K70" s="72">
        <v>0.2</v>
      </c>
      <c r="L70" s="72">
        <v>0.1</v>
      </c>
      <c r="M70" s="72">
        <v>0.1</v>
      </c>
      <c r="N70" s="72">
        <v>0.25</v>
      </c>
    </row>
    <row r="71" spans="2:14" ht="17.649999999999999" thickBot="1">
      <c r="B71" s="8"/>
      <c r="D71" s="381" t="str">
        <f t="shared" si="10"/>
        <v>Hôtels - 0, 1 et 2 étoiles (partie nuit)</v>
      </c>
      <c r="E71" s="90">
        <v>0</v>
      </c>
      <c r="F71" s="24">
        <v>0</v>
      </c>
      <c r="G71" s="91">
        <v>0.05</v>
      </c>
      <c r="H71" s="231"/>
      <c r="I71" s="221" t="str">
        <f t="shared" si="9"/>
        <v>H3</v>
      </c>
      <c r="J71" s="88">
        <v>0.1</v>
      </c>
      <c r="K71" s="83">
        <v>0.2</v>
      </c>
      <c r="L71" s="83">
        <v>0.15</v>
      </c>
      <c r="M71" s="83">
        <v>0.15</v>
      </c>
      <c r="N71" s="83">
        <v>0.3</v>
      </c>
    </row>
    <row r="72" spans="2:14" ht="17.25">
      <c r="B72" s="8"/>
      <c r="D72" s="381" t="str">
        <f t="shared" si="10"/>
        <v>Hôtels - 3, 4 et 5 étoiles (partie nuit)</v>
      </c>
      <c r="E72" s="90">
        <v>0</v>
      </c>
      <c r="F72" s="24">
        <v>0</v>
      </c>
      <c r="G72" s="91">
        <v>0.05</v>
      </c>
      <c r="H72" s="231"/>
    </row>
    <row r="73" spans="2:14" ht="17.25">
      <c r="B73" s="8"/>
      <c r="D73" s="381" t="str">
        <f t="shared" si="10"/>
        <v>Hôtels - 0, 1 et 2 étoiles (partie jour)</v>
      </c>
      <c r="E73" s="90">
        <v>0</v>
      </c>
      <c r="F73" s="24">
        <v>0</v>
      </c>
      <c r="G73" s="91">
        <v>0.3</v>
      </c>
      <c r="H73" s="231"/>
    </row>
    <row r="74" spans="2:14" ht="17.25">
      <c r="B74" s="8"/>
      <c r="D74" s="381" t="str">
        <f t="shared" si="10"/>
        <v>Hôtels - 3, 4 et 5 étoiles (partie jour)</v>
      </c>
      <c r="E74" s="90">
        <v>0</v>
      </c>
      <c r="F74" s="24">
        <v>0</v>
      </c>
      <c r="G74" s="91">
        <v>0.3</v>
      </c>
      <c r="H74" s="231"/>
    </row>
    <row r="75" spans="2:14" ht="17.25">
      <c r="B75" s="8"/>
      <c r="D75" s="366" t="str">
        <f t="shared" si="10"/>
        <v>Etablissements_d'accueil_de_la_petite_enfance </v>
      </c>
      <c r="E75" s="90">
        <v>0</v>
      </c>
      <c r="F75" s="24">
        <v>0</v>
      </c>
      <c r="G75" s="91" t="s">
        <v>399</v>
      </c>
      <c r="H75" s="231">
        <v>6</v>
      </c>
    </row>
    <row r="76" spans="2:14" ht="17.25">
      <c r="B76" s="8"/>
      <c r="D76" s="381" t="str">
        <f t="shared" si="10"/>
        <v>Restaurants - en continu, 18 heures par jour, 7 jours sur 7</v>
      </c>
      <c r="E76" s="90">
        <v>0</v>
      </c>
      <c r="F76" s="24">
        <v>0</v>
      </c>
      <c r="G76" s="91">
        <v>0</v>
      </c>
      <c r="H76" s="231"/>
    </row>
    <row r="77" spans="2:14" ht="17.25">
      <c r="B77" s="8"/>
      <c r="D77" s="381" t="str">
        <f t="shared" si="10"/>
        <v>Restaurants - 1 repas par jour, 5 jours sur 7</v>
      </c>
      <c r="E77" s="90">
        <v>0</v>
      </c>
      <c r="F77" s="24">
        <v>0</v>
      </c>
      <c r="G77" s="91">
        <v>0</v>
      </c>
      <c r="H77" s="231"/>
    </row>
    <row r="78" spans="2:14">
      <c r="B78" s="10"/>
      <c r="D78" s="381" t="str">
        <f t="shared" si="10"/>
        <v>Restaurants - 2 repas par jour, 7 jours sur 7</v>
      </c>
      <c r="E78" s="90">
        <v>0</v>
      </c>
      <c r="F78" s="24">
        <v>0</v>
      </c>
      <c r="G78" s="91">
        <v>0</v>
      </c>
      <c r="H78" s="231"/>
    </row>
    <row r="79" spans="2:14">
      <c r="B79" s="10"/>
      <c r="D79" s="381" t="str">
        <f t="shared" si="10"/>
        <v>Restaurants - 2 repas par jour, 6 jours sur 7</v>
      </c>
      <c r="E79" s="90">
        <v>0</v>
      </c>
      <c r="F79" s="24">
        <v>0</v>
      </c>
      <c r="G79" s="91">
        <v>0</v>
      </c>
      <c r="H79" s="231"/>
    </row>
    <row r="80" spans="2:14">
      <c r="D80" s="366" t="str">
        <f t="shared" si="10"/>
        <v>Commerces</v>
      </c>
      <c r="E80" s="90">
        <v>0</v>
      </c>
      <c r="F80" s="24">
        <v>0</v>
      </c>
      <c r="G80" s="91">
        <v>0.2</v>
      </c>
      <c r="H80" s="231"/>
    </row>
    <row r="81" spans="2:15">
      <c r="D81" s="366" t="str">
        <f t="shared" si="10"/>
        <v>Vestiaires seuls</v>
      </c>
      <c r="E81" s="90">
        <v>0</v>
      </c>
      <c r="F81" s="24">
        <v>0</v>
      </c>
      <c r="G81" s="91">
        <v>0</v>
      </c>
      <c r="H81" s="231"/>
    </row>
    <row r="82" spans="2:15">
      <c r="D82" s="366" t="str">
        <f t="shared" si="10"/>
        <v>Etablissements_sanitaires_avec_hébergement</v>
      </c>
      <c r="E82" s="90">
        <v>0</v>
      </c>
      <c r="F82" s="24">
        <v>0</v>
      </c>
      <c r="G82" s="91">
        <v>0</v>
      </c>
      <c r="H82" s="231"/>
    </row>
    <row r="83" spans="2:15">
      <c r="D83" s="381" t="str">
        <f t="shared" si="10"/>
        <v xml:space="preserve">Etablissements_de_santé - partie nuit </v>
      </c>
      <c r="E83" s="90">
        <v>0</v>
      </c>
      <c r="F83" s="24">
        <v>0</v>
      </c>
      <c r="G83" s="91">
        <v>0</v>
      </c>
      <c r="H83" s="231"/>
    </row>
    <row r="84" spans="2:15">
      <c r="D84" s="381" t="str">
        <f t="shared" si="10"/>
        <v xml:space="preserve">Etablissements_de_santé - partie jour </v>
      </c>
      <c r="E84" s="90">
        <v>0</v>
      </c>
      <c r="F84" s="24">
        <v>0</v>
      </c>
      <c r="G84" s="91">
        <v>0</v>
      </c>
      <c r="H84" s="231"/>
    </row>
    <row r="85" spans="2:15">
      <c r="D85" s="366" t="str">
        <f t="shared" si="10"/>
        <v>Aérogares</v>
      </c>
      <c r="E85" s="90">
        <v>0</v>
      </c>
      <c r="F85" s="24">
        <v>0</v>
      </c>
      <c r="G85" s="91">
        <v>0</v>
      </c>
      <c r="H85" s="231"/>
    </row>
    <row r="86" spans="2:15">
      <c r="D86" s="381" t="str">
        <f t="shared" si="10"/>
        <v>Industries_ou_artisanats - 3x8h</v>
      </c>
      <c r="E86" s="90">
        <v>0</v>
      </c>
      <c r="F86" s="24">
        <v>0</v>
      </c>
      <c r="G86" s="91">
        <v>0</v>
      </c>
      <c r="H86" s="231"/>
    </row>
    <row r="87" spans="2:15">
      <c r="D87" s="381" t="str">
        <f t="shared" si="10"/>
        <v>Industries_ou_artisanats - 8h à 18h</v>
      </c>
      <c r="E87" s="90">
        <v>0</v>
      </c>
      <c r="F87" s="24">
        <v>0</v>
      </c>
      <c r="G87" s="91">
        <v>0</v>
      </c>
      <c r="H87" s="231"/>
    </row>
    <row r="88" spans="2:15">
      <c r="D88" s="366" t="str">
        <f t="shared" si="10"/>
        <v>Etablissements_sportifs_municipaux_ou_scolaires</v>
      </c>
      <c r="E88" s="90">
        <v>0</v>
      </c>
      <c r="F88" s="24">
        <v>0</v>
      </c>
      <c r="G88" s="91">
        <v>0</v>
      </c>
      <c r="H88" s="231"/>
    </row>
    <row r="89" spans="2:15">
      <c r="D89" s="381" t="str">
        <f t="shared" si="10"/>
        <v>Restaurants_scolaires - 1 repas par jour, 5 jours sur 7</v>
      </c>
      <c r="E89" s="90">
        <v>0</v>
      </c>
      <c r="F89" s="24">
        <v>0</v>
      </c>
      <c r="G89" s="91">
        <v>0</v>
      </c>
      <c r="H89" s="231"/>
    </row>
    <row r="90" spans="2:15">
      <c r="D90" s="381" t="str">
        <f t="shared" si="10"/>
        <v>Restaurants_scolaires - 3 repas par jour, 5 jours sur 7</v>
      </c>
      <c r="E90" s="90">
        <v>0</v>
      </c>
      <c r="F90" s="24">
        <v>0</v>
      </c>
      <c r="G90" s="91">
        <v>0</v>
      </c>
      <c r="H90" s="231"/>
    </row>
    <row r="91" spans="2:15" ht="14.65" thickBot="1">
      <c r="D91" s="382" t="str">
        <f t="shared" si="10"/>
        <v>Etablissements_sportifs_privés</v>
      </c>
      <c r="E91" s="114">
        <v>0</v>
      </c>
      <c r="F91" s="115">
        <v>0</v>
      </c>
      <c r="G91" s="116">
        <v>0</v>
      </c>
      <c r="H91" s="231"/>
    </row>
    <row r="93" spans="2:15" ht="14.65" thickBot="1"/>
    <row r="94" spans="2:15" s="3" customFormat="1" ht="14.65" thickBot="1">
      <c r="B94" s="482"/>
      <c r="C94" s="1"/>
      <c r="D94" s="483" t="s">
        <v>472</v>
      </c>
      <c r="E94" s="496">
        <f>IF(decret2026,HLOOKUP("ICI",E99:J100,2,FALSE),0)</f>
      </c>
      <c r="M94" s="36" t="s">
        <v>183</v>
      </c>
      <c r="O94" s="14" t="s">
        <v>451</v>
      </c>
    </row>
    <row r="95" spans="2:15" s="3" customFormat="1">
      <c r="E95" s="495" t="str">
        <f>Enumération!C35</f>
        <v>Maisons_individuelles_ou_accolées</v>
      </c>
      <c r="F95" s="495" t="str">
        <f>Enumération!D35</f>
        <v>Maisons_individuelles_ou_accolées</v>
      </c>
      <c r="G95" s="495" t="str">
        <f>F95</f>
        <v>Maisons_individuelles_ou_accolées</v>
      </c>
      <c r="H95" s="495" t="str">
        <f>Enumération!E35</f>
        <v>Logement_collectif</v>
      </c>
      <c r="I95" s="495" t="str">
        <f>Enumération!F35</f>
        <v>Logement_collectif</v>
      </c>
      <c r="J95" s="24" t="s">
        <v>468</v>
      </c>
    </row>
    <row r="96" spans="2:15" s="3" customFormat="1">
      <c r="E96" s="24" t="s">
        <v>466</v>
      </c>
      <c r="F96" s="24" t="s">
        <v>467</v>
      </c>
      <c r="G96" s="24" t="s">
        <v>467</v>
      </c>
      <c r="H96" s="24" t="s">
        <v>466</v>
      </c>
      <c r="I96" s="24" t="s">
        <v>467</v>
      </c>
      <c r="J96" s="24"/>
    </row>
    <row r="97" spans="4:10" s="3" customFormat="1">
      <c r="D97" s="38" t="s">
        <v>469</v>
      </c>
      <c r="E97" s="24" t="b">
        <f>HSPmoy&lt;=2.5</f>
        <v>0</v>
      </c>
      <c r="F97" s="24" t="b">
        <f>HSPmoy&gt;2.5</f>
        <v>1</v>
      </c>
      <c r="G97" s="24" t="b">
        <f>HSPmoy&gt;2.5</f>
        <v>1</v>
      </c>
      <c r="H97" s="24" t="b">
        <f>HSPmoy&lt;=2.5</f>
        <v>0</v>
      </c>
      <c r="I97" s="24" t="b">
        <f>HSPmoy&gt;2.5</f>
        <v>1</v>
      </c>
      <c r="J97" s="24"/>
    </row>
    <row r="98" spans="4:10" s="3" customFormat="1">
      <c r="D98" s="38" t="s">
        <v>470</v>
      </c>
      <c r="E98" s="24"/>
      <c r="F98" s="24" t="b">
        <f>sref&lt;=150</f>
        <v>0</v>
      </c>
      <c r="G98" s="24" t="b">
        <f>sref&gt;150</f>
        <v>1</v>
      </c>
      <c r="H98" s="24"/>
      <c r="I98" s="24"/>
      <c r="J98" s="24"/>
    </row>
    <row r="99" spans="4:10" s="3" customFormat="1">
      <c r="D99" s="38" t="s">
        <v>235</v>
      </c>
      <c r="E99" s="24" t="b">
        <f>IF(AND(E97,usage=E95),"ICI",FALSE)</f>
        <v>0</v>
      </c>
      <c r="F99" s="24" t="b">
        <f>IF(AND(F97,F98,usage=F95),"ICI",FALSE)</f>
        <v>0</v>
      </c>
      <c r="G99" s="24" t="b">
        <f>IF(AND(G97,G98,usage=G95),"ICI",FALSE)</f>
        <v>0</v>
      </c>
      <c r="H99" s="24" t="b">
        <f>IF(AND(H97,usage=H95),"ICI",FALSE)</f>
        <v>0</v>
      </c>
      <c r="I99" s="24" t="str">
        <f>IF(AND(I97,usage=I95),"ICI",FALSE)</f>
        <v>ICI</v>
      </c>
      <c r="J99" s="24" t="b">
        <f>IF(COUNTIF(E99:I99,"ICI")&gt;0,FALSE,"ICI")</f>
        <v>0</v>
      </c>
    </row>
    <row r="100" spans="4:10" s="3" customFormat="1">
      <c r="E100" s="24">
        <v>0</v>
      </c>
      <c r="F100" s="24">
        <f>((MIN(HSPmoy,2.9)/2.5)-1)</f>
        <v>4.0000000000000036E-2</v>
      </c>
      <c r="G100" s="24">
        <f>((MIN(HSPmoy,2.9)/2.5)-1)/2</f>
        <v>2.0000000000000018E-2</v>
      </c>
      <c r="H100" s="24">
        <v>0</v>
      </c>
      <c r="I100" s="497">
        <f>((MIN(HSPmoy,2.9)/2.5)-1)/1.5</f>
        <v>2.6666666666666689E-2</v>
      </c>
      <c r="J100" s="472">
        <v>0</v>
      </c>
    </row>
  </sheetData>
  <mergeCells count="27">
    <mergeCell ref="BY35:CA35"/>
    <mergeCell ref="CB35:CD35"/>
    <mergeCell ref="CE35:CG35"/>
    <mergeCell ref="BG35:BI35"/>
    <mergeCell ref="BJ35:BL35"/>
    <mergeCell ref="BM35:BO35"/>
    <mergeCell ref="BP35:BR35"/>
    <mergeCell ref="BS35:BU35"/>
    <mergeCell ref="BV35:BX35"/>
    <mergeCell ref="AX35:AZ35"/>
    <mergeCell ref="BA35:BC35"/>
    <mergeCell ref="BD35:BF35"/>
    <mergeCell ref="AF35:AH35"/>
    <mergeCell ref="AI35:AK35"/>
    <mergeCell ref="AL35:AN35"/>
    <mergeCell ref="AO35:AQ35"/>
    <mergeCell ref="AR35:AT35"/>
    <mergeCell ref="K35:M35"/>
    <mergeCell ref="N35:P35"/>
    <mergeCell ref="E35:G35"/>
    <mergeCell ref="H35:J35"/>
    <mergeCell ref="AU35:AW35"/>
    <mergeCell ref="Q35:S35"/>
    <mergeCell ref="T35:V35"/>
    <mergeCell ref="W35:Y35"/>
    <mergeCell ref="Z35:AB35"/>
    <mergeCell ref="AC35:AE35"/>
  </mergeCells>
  <phoneticPr fontId="5" type="noConversion"/>
  <conditionalFormatting sqref="D5:D32">
    <cfRule type="cellIs" dxfId="55" priority="17" operator="equal">
      <formula>$D$4</formula>
    </cfRule>
  </conditionalFormatting>
  <conditionalFormatting sqref="D37:D44">
    <cfRule type="cellIs" dxfId="54" priority="24" operator="equal">
      <formula>zoneclim</formula>
    </cfRule>
  </conditionalFormatting>
  <conditionalFormatting sqref="D64:D91">
    <cfRule type="cellIs" dxfId="53" priority="6" operator="equal">
      <formula>$D$4</formula>
    </cfRule>
  </conditionalFormatting>
  <conditionalFormatting sqref="E63:F63">
    <cfRule type="cellIs" dxfId="52" priority="5" operator="equal">
      <formula>expobruit</formula>
    </cfRule>
  </conditionalFormatting>
  <conditionalFormatting sqref="E95:J95">
    <cfRule type="cellIs" dxfId="51" priority="1" operator="equal">
      <formula>usage</formula>
    </cfRule>
  </conditionalFormatting>
  <conditionalFormatting sqref="E99:J99">
    <cfRule type="cellIs" dxfId="50" priority="2" operator="equal">
      <formula>"ICI"</formula>
    </cfRule>
  </conditionalFormatting>
  <conditionalFormatting sqref="E35:Y35">
    <cfRule type="cellIs" dxfId="49" priority="16" operator="equal">
      <formula>usage</formula>
    </cfRule>
  </conditionalFormatting>
  <conditionalFormatting sqref="E35:CG35">
    <cfRule type="cellIs" dxfId="48" priority="12" operator="equal">
      <formula>$D$4</formula>
    </cfRule>
  </conditionalFormatting>
  <conditionalFormatting sqref="E36:CG36">
    <cfRule type="cellIs" dxfId="47" priority="20" operator="equal">
      <formula>elevation</formula>
    </cfRule>
  </conditionalFormatting>
  <conditionalFormatting sqref="G63">
    <cfRule type="expression" dxfId="46" priority="4">
      <formula>$G$62</formula>
    </cfRule>
  </conditionalFormatting>
  <conditionalFormatting sqref="G51:M51">
    <cfRule type="cellIs" dxfId="45" priority="26" operator="equal">
      <formula>"ICI"</formula>
    </cfRule>
  </conditionalFormatting>
  <conditionalFormatting sqref="G54:U54">
    <cfRule type="cellIs" dxfId="44" priority="11" operator="equal">
      <formula>usage</formula>
    </cfRule>
  </conditionalFormatting>
  <conditionalFormatting sqref="G58:AJ58">
    <cfRule type="cellIs" dxfId="43" priority="8" operator="equal">
      <formula>"ICI"</formula>
    </cfRule>
  </conditionalFormatting>
  <conditionalFormatting sqref="I62">
    <cfRule type="expression" dxfId="42" priority="3">
      <formula>$H$62="&gt;&gt;&gt;"</formula>
    </cfRule>
  </conditionalFormatting>
  <conditionalFormatting sqref="I64:I71">
    <cfRule type="cellIs" dxfId="41" priority="23" operator="equal">
      <formula>zoneclim</formula>
    </cfRule>
  </conditionalFormatting>
  <conditionalFormatting sqref="J62:N62">
    <cfRule type="cellIs" dxfId="40" priority="22" operator="equal">
      <formula>usage</formula>
    </cfRule>
  </conditionalFormatting>
  <conditionalFormatting sqref="V54:AA54">
    <cfRule type="cellIs" dxfId="39" priority="10" operator="equal">
      <formula>usage_detaillé</formula>
    </cfRule>
  </conditionalFormatting>
  <conditionalFormatting sqref="AB54:AJ54">
    <cfRule type="cellIs" dxfId="38" priority="7" operator="equal">
      <formula>usage</formula>
    </cfRule>
  </conditionalFormatting>
  <conditionalFormatting sqref="AC35:AE35 AI35:AK35 AX35:BI35 BM35:BO35 BS35:CA35 CE35:CG35">
    <cfRule type="cellIs" dxfId="37" priority="14" operator="equal">
      <formula>usage</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BA5EF-E04A-43EF-BEA5-69956959081B}">
  <dimension ref="B2:BF90"/>
  <sheetViews>
    <sheetView topLeftCell="B18" zoomScale="85" zoomScaleNormal="85" workbookViewId="0">
      <selection activeCell="I50" sqref="I50"/>
    </sheetView>
  </sheetViews>
  <sheetFormatPr baseColWidth="10" defaultColWidth="10.9296875" defaultRowHeight="14.25"/>
  <cols>
    <col min="1" max="1" width="10.9296875" style="3"/>
    <col min="2" max="2" width="61.46484375" style="3" customWidth="1"/>
    <col min="3" max="3" width="10.9296875" style="3"/>
    <col min="4" max="4" width="31" style="3" bestFit="1" customWidth="1"/>
    <col min="5" max="5" width="13.46484375" style="3" customWidth="1"/>
    <col min="6" max="7" width="10.9296875" style="3"/>
    <col min="8" max="8" width="13.73046875" style="3" customWidth="1"/>
    <col min="9" max="16384" width="10.9296875" style="3"/>
  </cols>
  <sheetData>
    <row r="2" spans="2:13" ht="17.649999999999999" thickBot="1">
      <c r="B2" s="8" t="s">
        <v>16</v>
      </c>
    </row>
    <row r="3" spans="2:13" ht="15.4" thickBot="1">
      <c r="B3" s="9"/>
      <c r="D3" s="26" t="s">
        <v>199</v>
      </c>
      <c r="E3" s="130">
        <f>INDEX(E5:H22,MATCH(usage,D5:D22,0),MATCH(depotpc,E4:H4,0))</f>
        <v>650</v>
      </c>
      <c r="G3" s="565" t="s">
        <v>494</v>
      </c>
      <c r="H3" s="565"/>
      <c r="L3" s="563" t="s">
        <v>443</v>
      </c>
      <c r="M3" s="564"/>
    </row>
    <row r="4" spans="2:13" ht="20.25">
      <c r="B4" s="193" t="s">
        <v>17</v>
      </c>
      <c r="E4" s="117" t="s">
        <v>191</v>
      </c>
      <c r="F4" s="118" t="s">
        <v>192</v>
      </c>
      <c r="G4" s="118" t="s">
        <v>208</v>
      </c>
      <c r="H4" s="119" t="s">
        <v>209</v>
      </c>
      <c r="L4" s="117" t="s">
        <v>208</v>
      </c>
      <c r="M4" s="119" t="s">
        <v>209</v>
      </c>
    </row>
    <row r="5" spans="2:13">
      <c r="B5" s="198"/>
      <c r="D5" s="27" t="str">
        <f>Enumération!C4</f>
        <v>Maisons_individuelles_ou_accolées</v>
      </c>
      <c r="E5" s="90">
        <v>640</v>
      </c>
      <c r="F5" s="24">
        <v>530</v>
      </c>
      <c r="G5" s="472">
        <f t="shared" ref="G5:G22" si="0">IF(est_igh="OUI",F5*G$23,L5)</f>
        <v>475</v>
      </c>
      <c r="H5" s="473">
        <f t="shared" ref="H5:H22" si="1">IF(est_igh="OUI",L5*$H$23,M5)</f>
        <v>415</v>
      </c>
      <c r="I5" s="28">
        <v>0</v>
      </c>
      <c r="J5" s="29">
        <v>0</v>
      </c>
      <c r="L5" s="90">
        <v>475</v>
      </c>
      <c r="M5" s="91">
        <v>415</v>
      </c>
    </row>
    <row r="6" spans="2:13" ht="30.4">
      <c r="B6" s="195" t="s">
        <v>447</v>
      </c>
      <c r="D6" s="27" t="str">
        <f>Enumération!C5</f>
        <v>Logement_collectif</v>
      </c>
      <c r="E6" s="90">
        <v>740</v>
      </c>
      <c r="F6" s="24">
        <v>650</v>
      </c>
      <c r="G6" s="472">
        <f t="shared" si="0"/>
        <v>580</v>
      </c>
      <c r="H6" s="473">
        <f t="shared" si="1"/>
        <v>490</v>
      </c>
      <c r="I6" s="28">
        <v>3</v>
      </c>
      <c r="J6" s="29">
        <v>2</v>
      </c>
      <c r="L6" s="90">
        <v>580</v>
      </c>
      <c r="M6" s="91">
        <v>490</v>
      </c>
    </row>
    <row r="7" spans="2:13">
      <c r="B7" s="131"/>
      <c r="D7" s="27" t="str">
        <f>Enumération!C6</f>
        <v>Bureaux</v>
      </c>
      <c r="E7" s="90">
        <v>980</v>
      </c>
      <c r="F7" s="24">
        <v>810</v>
      </c>
      <c r="G7" s="472">
        <f t="shared" si="0"/>
        <v>710</v>
      </c>
      <c r="H7" s="473">
        <f t="shared" si="1"/>
        <v>600</v>
      </c>
      <c r="I7" s="28">
        <v>6</v>
      </c>
      <c r="J7" s="29">
        <v>4</v>
      </c>
      <c r="K7" s="30"/>
      <c r="L7" s="90">
        <v>710</v>
      </c>
      <c r="M7" s="91">
        <v>600</v>
      </c>
    </row>
    <row r="8" spans="2:13" ht="20.65" thickBot="1">
      <c r="B8" s="199" t="s">
        <v>18</v>
      </c>
      <c r="D8" s="27" t="str">
        <f>Enumération!C7</f>
        <v>Enseignement_primaire_ou_secondaire</v>
      </c>
      <c r="E8" s="114">
        <v>900</v>
      </c>
      <c r="F8" s="115">
        <v>770</v>
      </c>
      <c r="G8" s="344">
        <f t="shared" si="0"/>
        <v>680</v>
      </c>
      <c r="H8" s="343">
        <f t="shared" si="1"/>
        <v>590</v>
      </c>
      <c r="I8" s="28">
        <v>9</v>
      </c>
      <c r="J8" s="29">
        <v>7</v>
      </c>
      <c r="K8" s="30"/>
      <c r="L8" s="114">
        <v>680</v>
      </c>
      <c r="M8" s="116">
        <v>590</v>
      </c>
    </row>
    <row r="9" spans="2:13" ht="20.25">
      <c r="B9" s="199" t="s">
        <v>19</v>
      </c>
      <c r="D9" s="286" t="str">
        <f>Enumération!C8</f>
        <v>Médiathèques_et_bibliothèques</v>
      </c>
      <c r="E9" s="275" t="s">
        <v>159</v>
      </c>
      <c r="F9" s="103">
        <v>940</v>
      </c>
      <c r="G9" s="474">
        <f t="shared" si="0"/>
        <v>785</v>
      </c>
      <c r="H9" s="475">
        <f t="shared" si="1"/>
        <v>630</v>
      </c>
      <c r="I9" s="28">
        <f t="shared" ref="I9:I15" si="2">I8+3</f>
        <v>12</v>
      </c>
      <c r="J9" s="274"/>
      <c r="K9" s="30"/>
      <c r="L9" s="59">
        <v>785</v>
      </c>
      <c r="M9" s="60">
        <v>630</v>
      </c>
    </row>
    <row r="10" spans="2:13">
      <c r="B10" s="199" t="s">
        <v>20</v>
      </c>
      <c r="D10" s="286" t="str">
        <f>Enumération!C9</f>
        <v>Bâtiments_universitaires_d'enseignement_et_de_recherche_et_bâtiments_d’enseignements_atypiques</v>
      </c>
      <c r="E10" s="276" t="s">
        <v>159</v>
      </c>
      <c r="F10" s="24">
        <v>940</v>
      </c>
      <c r="G10" s="472">
        <f t="shared" si="0"/>
        <v>790</v>
      </c>
      <c r="H10" s="473">
        <f t="shared" si="1"/>
        <v>640</v>
      </c>
      <c r="I10" s="28">
        <f t="shared" si="2"/>
        <v>15</v>
      </c>
      <c r="J10" s="274"/>
      <c r="K10" s="30"/>
      <c r="L10" s="90">
        <v>790</v>
      </c>
      <c r="M10" s="91">
        <v>640</v>
      </c>
    </row>
    <row r="11" spans="2:13">
      <c r="B11" s="199" t="s">
        <v>21</v>
      </c>
      <c r="D11" s="286" t="str">
        <f>Enumération!C10</f>
        <v>Hôtels</v>
      </c>
      <c r="E11" s="276" t="s">
        <v>159</v>
      </c>
      <c r="F11" s="24">
        <v>820</v>
      </c>
      <c r="G11" s="472">
        <f t="shared" si="0"/>
        <v>680</v>
      </c>
      <c r="H11" s="473">
        <f t="shared" si="1"/>
        <v>540</v>
      </c>
      <c r="I11" s="28">
        <f t="shared" si="2"/>
        <v>18</v>
      </c>
      <c r="J11" s="274"/>
      <c r="K11" s="30"/>
      <c r="L11" s="90">
        <v>680</v>
      </c>
      <c r="M11" s="91">
        <v>540</v>
      </c>
    </row>
    <row r="12" spans="2:13">
      <c r="B12" s="199" t="s">
        <v>22</v>
      </c>
      <c r="D12" s="286" t="str">
        <f>Enumération!C11</f>
        <v>Etablissements_d'accueil_de_la_petite_enfance </v>
      </c>
      <c r="E12" s="276" t="s">
        <v>159</v>
      </c>
      <c r="F12" s="24">
        <v>950</v>
      </c>
      <c r="G12" s="472">
        <f t="shared" si="0"/>
        <v>780</v>
      </c>
      <c r="H12" s="473">
        <f t="shared" si="1"/>
        <v>630</v>
      </c>
      <c r="I12" s="28">
        <f t="shared" si="2"/>
        <v>21</v>
      </c>
      <c r="J12" s="274"/>
      <c r="K12" s="30"/>
      <c r="L12" s="90">
        <v>780</v>
      </c>
      <c r="M12" s="91">
        <v>630</v>
      </c>
    </row>
    <row r="13" spans="2:13" ht="20.25">
      <c r="B13" s="199" t="s">
        <v>23</v>
      </c>
      <c r="D13" s="286" t="str">
        <f>Enumération!C12</f>
        <v>Restaurants</v>
      </c>
      <c r="E13" s="276" t="s">
        <v>159</v>
      </c>
      <c r="F13" s="24">
        <v>800</v>
      </c>
      <c r="G13" s="472">
        <f t="shared" si="0"/>
        <v>670</v>
      </c>
      <c r="H13" s="473">
        <f t="shared" si="1"/>
        <v>540</v>
      </c>
      <c r="I13" s="28">
        <f t="shared" si="2"/>
        <v>24</v>
      </c>
      <c r="J13" s="274"/>
      <c r="K13" s="30"/>
      <c r="L13" s="90">
        <v>670</v>
      </c>
      <c r="M13" s="91">
        <v>540</v>
      </c>
    </row>
    <row r="14" spans="2:13">
      <c r="B14" s="199" t="s">
        <v>24</v>
      </c>
      <c r="D14" s="286" t="str">
        <f>Enumération!C13</f>
        <v>Commerces</v>
      </c>
      <c r="E14" s="276" t="s">
        <v>159</v>
      </c>
      <c r="F14" s="24">
        <v>800</v>
      </c>
      <c r="G14" s="472">
        <f t="shared" si="0"/>
        <v>670</v>
      </c>
      <c r="H14" s="473">
        <f t="shared" si="1"/>
        <v>540</v>
      </c>
      <c r="I14" s="28">
        <f t="shared" si="2"/>
        <v>27</v>
      </c>
      <c r="J14" s="274"/>
      <c r="K14" s="30"/>
      <c r="L14" s="90">
        <v>670</v>
      </c>
      <c r="M14" s="91">
        <v>540</v>
      </c>
    </row>
    <row r="15" spans="2:13">
      <c r="B15" s="199" t="s">
        <v>25</v>
      </c>
      <c r="D15" s="286" t="str">
        <f>Enumération!C14</f>
        <v>Vestiaires seuls</v>
      </c>
      <c r="E15" s="276" t="s">
        <v>159</v>
      </c>
      <c r="F15" s="24">
        <v>1050</v>
      </c>
      <c r="G15" s="472">
        <f t="shared" si="0"/>
        <v>900</v>
      </c>
      <c r="H15" s="473">
        <f t="shared" si="1"/>
        <v>750</v>
      </c>
      <c r="I15" s="28">
        <f t="shared" si="2"/>
        <v>30</v>
      </c>
      <c r="J15" s="274"/>
      <c r="K15" s="30"/>
      <c r="L15" s="90">
        <v>900</v>
      </c>
      <c r="M15" s="91">
        <v>750</v>
      </c>
    </row>
    <row r="16" spans="2:13" ht="20.25">
      <c r="B16" s="199" t="s">
        <v>26</v>
      </c>
      <c r="D16" s="286" t="str">
        <f>Enumération!C15</f>
        <v>Etablissements_sanitaires_avec_hébergement</v>
      </c>
      <c r="E16" s="276" t="s">
        <v>159</v>
      </c>
      <c r="F16" s="24">
        <v>880</v>
      </c>
      <c r="G16" s="472">
        <f t="shared" si="0"/>
        <v>760</v>
      </c>
      <c r="H16" s="473">
        <f t="shared" si="1"/>
        <v>620</v>
      </c>
      <c r="I16" s="28">
        <f>I15+3</f>
        <v>33</v>
      </c>
      <c r="J16" s="274"/>
      <c r="K16" s="30"/>
      <c r="L16" s="90">
        <v>760</v>
      </c>
      <c r="M16" s="91">
        <v>620</v>
      </c>
    </row>
    <row r="17" spans="2:58" ht="20.25">
      <c r="B17" s="199" t="s">
        <v>448</v>
      </c>
      <c r="D17" s="286" t="str">
        <f>Enumération!C16</f>
        <v>Etablissements_de_santé</v>
      </c>
      <c r="E17" s="276" t="s">
        <v>159</v>
      </c>
      <c r="F17" s="24">
        <v>880</v>
      </c>
      <c r="G17" s="472">
        <f t="shared" si="0"/>
        <v>760</v>
      </c>
      <c r="H17" s="473">
        <f t="shared" si="1"/>
        <v>620</v>
      </c>
      <c r="I17" s="28">
        <f t="shared" ref="I17:I22" si="3">I16+3</f>
        <v>36</v>
      </c>
      <c r="J17" s="274"/>
      <c r="K17" s="30"/>
      <c r="L17" s="90">
        <v>760</v>
      </c>
      <c r="M17" s="91">
        <v>620</v>
      </c>
    </row>
    <row r="18" spans="2:58">
      <c r="B18" s="199" t="s">
        <v>449</v>
      </c>
      <c r="D18" s="286" t="str">
        <f>Enumération!C17</f>
        <v>Aérogares</v>
      </c>
      <c r="E18" s="276" t="s">
        <v>159</v>
      </c>
      <c r="F18" s="24">
        <v>1120</v>
      </c>
      <c r="G18" s="472">
        <f t="shared" si="0"/>
        <v>950</v>
      </c>
      <c r="H18" s="473">
        <f t="shared" si="1"/>
        <v>780</v>
      </c>
      <c r="I18" s="28">
        <f t="shared" si="3"/>
        <v>39</v>
      </c>
      <c r="J18" s="274"/>
      <c r="K18" s="30"/>
      <c r="L18" s="90">
        <v>950</v>
      </c>
      <c r="M18" s="91">
        <v>780</v>
      </c>
    </row>
    <row r="19" spans="2:58" ht="20.25">
      <c r="B19" s="199" t="s">
        <v>450</v>
      </c>
      <c r="D19" s="286" t="str">
        <f>Enumération!C18</f>
        <v>Industries_ou_artisanats</v>
      </c>
      <c r="E19" s="276" t="s">
        <v>159</v>
      </c>
      <c r="F19" s="24">
        <v>840</v>
      </c>
      <c r="G19" s="472">
        <f t="shared" si="0"/>
        <v>695</v>
      </c>
      <c r="H19" s="473">
        <f t="shared" si="1"/>
        <v>550</v>
      </c>
      <c r="I19" s="28">
        <f t="shared" si="3"/>
        <v>42</v>
      </c>
      <c r="J19" s="274"/>
      <c r="K19" s="30"/>
      <c r="L19" s="90">
        <v>695</v>
      </c>
      <c r="M19" s="91">
        <v>550</v>
      </c>
    </row>
    <row r="20" spans="2:58">
      <c r="B20" s="199"/>
      <c r="D20" s="286" t="str">
        <f>Enumération!C19</f>
        <v>Etablissements_sportifs_municipaux_ou_scolaires</v>
      </c>
      <c r="E20" s="276" t="s">
        <v>159</v>
      </c>
      <c r="F20" s="24">
        <v>900</v>
      </c>
      <c r="G20" s="472">
        <f t="shared" si="0"/>
        <v>760</v>
      </c>
      <c r="H20" s="473">
        <f t="shared" si="1"/>
        <v>620</v>
      </c>
      <c r="I20" s="28">
        <f t="shared" si="3"/>
        <v>45</v>
      </c>
      <c r="J20" s="274"/>
      <c r="K20" s="30"/>
      <c r="L20" s="90">
        <v>760</v>
      </c>
      <c r="M20" s="91">
        <v>620</v>
      </c>
    </row>
    <row r="21" spans="2:58">
      <c r="B21" s="199"/>
      <c r="D21" s="286" t="str">
        <f>Enumération!C20</f>
        <v>Restaurants_scolaires</v>
      </c>
      <c r="E21" s="276" t="s">
        <v>159</v>
      </c>
      <c r="F21" s="24">
        <v>800</v>
      </c>
      <c r="G21" s="472">
        <f t="shared" si="0"/>
        <v>670</v>
      </c>
      <c r="H21" s="473">
        <f t="shared" si="1"/>
        <v>540</v>
      </c>
      <c r="I21" s="28">
        <f t="shared" si="3"/>
        <v>48</v>
      </c>
      <c r="J21" s="274"/>
      <c r="K21" s="30"/>
      <c r="L21" s="90">
        <v>670</v>
      </c>
      <c r="M21" s="91">
        <v>540</v>
      </c>
    </row>
    <row r="22" spans="2:58" ht="14.65" thickBot="1">
      <c r="B22" s="199"/>
      <c r="D22" s="286" t="str">
        <f>Enumération!C21</f>
        <v>Etablissements_sportifs_privés</v>
      </c>
      <c r="E22" s="277" t="s">
        <v>159</v>
      </c>
      <c r="F22" s="115">
        <v>900</v>
      </c>
      <c r="G22" s="344">
        <f t="shared" si="0"/>
        <v>760</v>
      </c>
      <c r="H22" s="343">
        <f t="shared" si="1"/>
        <v>620</v>
      </c>
      <c r="I22" s="28">
        <f t="shared" si="3"/>
        <v>51</v>
      </c>
      <c r="J22" s="274"/>
      <c r="K22" s="30"/>
      <c r="L22" s="114">
        <v>760</v>
      </c>
      <c r="M22" s="116">
        <v>620</v>
      </c>
    </row>
    <row r="23" spans="2:58">
      <c r="B23" s="199"/>
      <c r="D23" s="469" t="s">
        <v>442</v>
      </c>
      <c r="E23" s="470"/>
      <c r="F23" s="470"/>
      <c r="G23" s="471">
        <f>IF(est_igh="OUI",0.95,1)</f>
        <v>1</v>
      </c>
      <c r="H23" s="471">
        <f>IF(est_igh="OUI",0.95,1)</f>
        <v>1</v>
      </c>
      <c r="I23" s="274"/>
      <c r="J23" s="274"/>
      <c r="K23" s="30"/>
    </row>
    <row r="24" spans="2:58" ht="14.65" thickBot="1">
      <c r="D24" s="32"/>
      <c r="E24" s="6"/>
    </row>
    <row r="25" spans="2:58" ht="14.65" thickBot="1">
      <c r="D25" s="26" t="s">
        <v>203</v>
      </c>
      <c r="E25" s="130" cm="1">
        <f t="array" ref="E25">INDEX(E28:BF35,MATCH(zoneclim,D28:D35,0),MATCH(elevation,E27:G27,0)+D27)</f>
        <v>0</v>
      </c>
    </row>
    <row r="26" spans="2:58">
      <c r="E26" s="560" t="str">
        <f>Enumération!C37</f>
        <v>Maisons_individuelles_ou_accolées</v>
      </c>
      <c r="F26" s="561"/>
      <c r="G26" s="562"/>
      <c r="H26" s="560" t="str">
        <f>Enumération!$D$33</f>
        <v>Logement_collectif</v>
      </c>
      <c r="I26" s="561"/>
      <c r="J26" s="562"/>
      <c r="K26" s="560" t="str">
        <f>Enumération!$E$33</f>
        <v>Bureaux</v>
      </c>
      <c r="L26" s="561"/>
      <c r="M26" s="562"/>
      <c r="N26" s="560" t="str">
        <f>Enumération!$F$33</f>
        <v>Enseignement_primaire_ou_secondaire</v>
      </c>
      <c r="O26" s="561"/>
      <c r="P26" s="562"/>
      <c r="Q26" s="557" t="str">
        <f>Enumération!$G$33</f>
        <v>Médiathèques_et_bibliothèques</v>
      </c>
      <c r="R26" s="558"/>
      <c r="S26" s="559"/>
      <c r="T26" s="557" t="str">
        <f>Enumération!$H$33</f>
        <v>Bâtiments_universitaires_d'enseignement_et_de_recherche_et_bâtiments_d’enseignements_atypiques</v>
      </c>
      <c r="U26" s="558"/>
      <c r="V26" s="559"/>
      <c r="W26" s="557" t="str">
        <f>Enumération!$I$33</f>
        <v>Hôtels</v>
      </c>
      <c r="X26" s="558"/>
      <c r="Y26" s="559"/>
      <c r="Z26" s="557" t="str">
        <f>Enumération!$J$33</f>
        <v>Etablissements_d'accueil_de_la_petite_enfance </v>
      </c>
      <c r="AA26" s="558"/>
      <c r="AB26" s="559"/>
      <c r="AC26" s="557" t="str">
        <f>Enumération!$K$33</f>
        <v>Restaurants</v>
      </c>
      <c r="AD26" s="558"/>
      <c r="AE26" s="559"/>
      <c r="AF26" s="557" t="str">
        <f>Enumération!$L$33</f>
        <v>Commerces</v>
      </c>
      <c r="AG26" s="558"/>
      <c r="AH26" s="559"/>
      <c r="AI26" s="557" t="str">
        <f>Enumération!$M$33</f>
        <v>Vestiaires seuls</v>
      </c>
      <c r="AJ26" s="558"/>
      <c r="AK26" s="559"/>
      <c r="AL26" s="557" t="str">
        <f>Enumération!$N$33</f>
        <v>Etablissements_sanitaires_avec_hébergement</v>
      </c>
      <c r="AM26" s="558"/>
      <c r="AN26" s="559"/>
      <c r="AO26" s="557" t="str">
        <f>Enumération!$O$33</f>
        <v>Etablissements_de_santé</v>
      </c>
      <c r="AP26" s="558"/>
      <c r="AQ26" s="559"/>
      <c r="AR26" s="557" t="str">
        <f>Enumération!$P$33</f>
        <v>Aérogares</v>
      </c>
      <c r="AS26" s="558"/>
      <c r="AT26" s="559"/>
      <c r="AU26" s="557" t="str">
        <f>Enumération!$Q$33</f>
        <v>Industries_ou_artisanats</v>
      </c>
      <c r="AV26" s="558"/>
      <c r="AW26" s="559"/>
      <c r="AX26" s="557" t="str">
        <f>Enumération!$R$33</f>
        <v>Etablissements_sportifs_municipaux_ou_scolaires</v>
      </c>
      <c r="AY26" s="558"/>
      <c r="AZ26" s="559"/>
      <c r="BA26" s="557" t="str">
        <f>Enumération!$S$33</f>
        <v>Restaurants_scolaires</v>
      </c>
      <c r="BB26" s="558"/>
      <c r="BC26" s="559"/>
      <c r="BD26" s="557" t="str">
        <f>Enumération!$T$33</f>
        <v>Etablissements_sportifs_privés</v>
      </c>
      <c r="BE26" s="558"/>
      <c r="BF26" s="559"/>
    </row>
    <row r="27" spans="2:58">
      <c r="D27" s="34">
        <f>VLOOKUP(Input_resultats!E4,D5:J22,6,FALSE)</f>
        <v>3</v>
      </c>
      <c r="E27" s="112" t="str">
        <f>Calcul_bbio!E36</f>
        <v>&lt;400m</v>
      </c>
      <c r="F27" s="25" t="str">
        <f>Calcul_bbio!F36</f>
        <v>400m-800m</v>
      </c>
      <c r="G27" s="113" t="str">
        <f>Calcul_bbio!G36</f>
        <v>&gt;800m</v>
      </c>
      <c r="H27" s="112" t="str">
        <f t="shared" ref="H27:P27" si="4">E27</f>
        <v>&lt;400m</v>
      </c>
      <c r="I27" s="25" t="str">
        <f t="shared" si="4"/>
        <v>400m-800m</v>
      </c>
      <c r="J27" s="113" t="str">
        <f t="shared" si="4"/>
        <v>&gt;800m</v>
      </c>
      <c r="K27" s="112" t="str">
        <f t="shared" si="4"/>
        <v>&lt;400m</v>
      </c>
      <c r="L27" s="25" t="str">
        <f t="shared" si="4"/>
        <v>400m-800m</v>
      </c>
      <c r="M27" s="113" t="str">
        <f t="shared" si="4"/>
        <v>&gt;800m</v>
      </c>
      <c r="N27" s="112" t="str">
        <f t="shared" si="4"/>
        <v>&lt;400m</v>
      </c>
      <c r="O27" s="25" t="str">
        <f t="shared" si="4"/>
        <v>400m-800m</v>
      </c>
      <c r="P27" s="113" t="str">
        <f t="shared" si="4"/>
        <v>&gt;800m</v>
      </c>
      <c r="Q27" s="25" t="s">
        <v>271</v>
      </c>
      <c r="R27" s="25" t="s">
        <v>373</v>
      </c>
      <c r="S27" s="25" t="s">
        <v>273</v>
      </c>
      <c r="T27" s="25" t="s">
        <v>271</v>
      </c>
      <c r="U27" s="25" t="s">
        <v>272</v>
      </c>
      <c r="V27" s="25" t="s">
        <v>273</v>
      </c>
      <c r="W27" s="25" t="s">
        <v>271</v>
      </c>
      <c r="X27" s="25" t="s">
        <v>272</v>
      </c>
      <c r="Y27" s="25" t="s">
        <v>273</v>
      </c>
      <c r="Z27" s="25" t="s">
        <v>271</v>
      </c>
      <c r="AA27" s="25" t="s">
        <v>272</v>
      </c>
      <c r="AB27" s="25" t="s">
        <v>273</v>
      </c>
      <c r="AC27" s="25" t="s">
        <v>271</v>
      </c>
      <c r="AD27" s="25" t="s">
        <v>272</v>
      </c>
      <c r="AE27" s="25" t="s">
        <v>273</v>
      </c>
      <c r="AF27" s="25" t="s">
        <v>271</v>
      </c>
      <c r="AG27" s="25" t="s">
        <v>272</v>
      </c>
      <c r="AH27" s="25" t="s">
        <v>273</v>
      </c>
      <c r="AI27" s="25" t="s">
        <v>271</v>
      </c>
      <c r="AJ27" s="25" t="s">
        <v>272</v>
      </c>
      <c r="AK27" s="25" t="s">
        <v>273</v>
      </c>
      <c r="AL27" s="25" t="s">
        <v>271</v>
      </c>
      <c r="AM27" s="25" t="s">
        <v>272</v>
      </c>
      <c r="AN27" s="25" t="s">
        <v>273</v>
      </c>
      <c r="AO27" s="25" t="s">
        <v>271</v>
      </c>
      <c r="AP27" s="25" t="s">
        <v>272</v>
      </c>
      <c r="AQ27" s="25" t="s">
        <v>273</v>
      </c>
      <c r="AR27" s="25" t="s">
        <v>271</v>
      </c>
      <c r="AS27" s="25" t="s">
        <v>272</v>
      </c>
      <c r="AT27" s="25" t="s">
        <v>273</v>
      </c>
      <c r="AU27" s="25" t="s">
        <v>271</v>
      </c>
      <c r="AV27" s="25" t="s">
        <v>272</v>
      </c>
      <c r="AW27" s="25" t="s">
        <v>273</v>
      </c>
      <c r="AX27" s="25" t="s">
        <v>271</v>
      </c>
      <c r="AY27" s="25" t="s">
        <v>272</v>
      </c>
      <c r="AZ27" s="25" t="s">
        <v>273</v>
      </c>
      <c r="BA27" s="25" t="s">
        <v>271</v>
      </c>
      <c r="BB27" s="25" t="s">
        <v>272</v>
      </c>
      <c r="BC27" s="25" t="s">
        <v>273</v>
      </c>
      <c r="BD27" s="25" t="s">
        <v>271</v>
      </c>
      <c r="BE27" s="25" t="s">
        <v>272</v>
      </c>
      <c r="BF27" s="25" t="s">
        <v>273</v>
      </c>
    </row>
    <row r="28" spans="2:58">
      <c r="D28" s="33" t="s">
        <v>34</v>
      </c>
      <c r="E28" s="90">
        <v>0</v>
      </c>
      <c r="F28" s="24">
        <v>0</v>
      </c>
      <c r="G28" s="91">
        <v>0</v>
      </c>
      <c r="H28" s="90">
        <v>0</v>
      </c>
      <c r="I28" s="24">
        <v>0</v>
      </c>
      <c r="J28" s="91">
        <v>0</v>
      </c>
      <c r="K28" s="90">
        <v>0</v>
      </c>
      <c r="L28" s="24">
        <v>0</v>
      </c>
      <c r="M28" s="91">
        <v>0</v>
      </c>
      <c r="N28" s="90">
        <v>0</v>
      </c>
      <c r="O28" s="24">
        <v>0</v>
      </c>
      <c r="P28" s="91">
        <v>0</v>
      </c>
      <c r="Q28" s="279">
        <v>0</v>
      </c>
      <c r="R28" s="279">
        <v>0</v>
      </c>
      <c r="S28" s="279">
        <v>0</v>
      </c>
      <c r="T28" s="279">
        <v>0</v>
      </c>
      <c r="U28" s="279">
        <v>0</v>
      </c>
      <c r="V28" s="279">
        <v>0</v>
      </c>
      <c r="W28" s="279">
        <v>0</v>
      </c>
      <c r="X28" s="279">
        <v>0</v>
      </c>
      <c r="Y28" s="279">
        <v>0</v>
      </c>
      <c r="Z28" s="279">
        <v>0</v>
      </c>
      <c r="AA28" s="279">
        <v>0</v>
      </c>
      <c r="AB28" s="279">
        <v>0</v>
      </c>
      <c r="AC28" s="279">
        <v>0</v>
      </c>
      <c r="AD28" s="279">
        <v>0</v>
      </c>
      <c r="AE28" s="279">
        <v>0</v>
      </c>
      <c r="AF28" s="279">
        <v>0</v>
      </c>
      <c r="AG28" s="279">
        <v>0</v>
      </c>
      <c r="AH28" s="279">
        <v>0</v>
      </c>
      <c r="AI28" s="279">
        <v>0</v>
      </c>
      <c r="AJ28" s="279">
        <v>0</v>
      </c>
      <c r="AK28" s="279">
        <v>0</v>
      </c>
      <c r="AL28" s="279">
        <v>0</v>
      </c>
      <c r="AM28" s="279">
        <v>0</v>
      </c>
      <c r="AN28" s="279">
        <v>0</v>
      </c>
      <c r="AO28" s="279">
        <v>0</v>
      </c>
      <c r="AP28" s="279">
        <v>0</v>
      </c>
      <c r="AQ28" s="279">
        <v>0</v>
      </c>
      <c r="AR28" s="279">
        <v>0</v>
      </c>
      <c r="AS28" s="279">
        <v>0</v>
      </c>
      <c r="AT28" s="279">
        <v>0</v>
      </c>
      <c r="AU28" s="279">
        <v>0</v>
      </c>
      <c r="AV28" s="279">
        <v>0</v>
      </c>
      <c r="AW28" s="279">
        <v>0</v>
      </c>
      <c r="AX28" s="279">
        <v>0</v>
      </c>
      <c r="AY28" s="279">
        <v>0</v>
      </c>
      <c r="AZ28" s="279">
        <v>0</v>
      </c>
      <c r="BA28" s="279">
        <v>0</v>
      </c>
      <c r="BB28" s="279">
        <v>0</v>
      </c>
      <c r="BC28" s="279">
        <v>0</v>
      </c>
      <c r="BD28" s="279">
        <v>0</v>
      </c>
      <c r="BE28" s="279">
        <v>0</v>
      </c>
      <c r="BF28" s="279">
        <v>0</v>
      </c>
    </row>
    <row r="29" spans="2:58">
      <c r="D29" s="33" t="s">
        <v>35</v>
      </c>
      <c r="E29" s="90">
        <v>0</v>
      </c>
      <c r="F29" s="24">
        <v>0</v>
      </c>
      <c r="G29" s="91">
        <v>0</v>
      </c>
      <c r="H29" s="90">
        <v>0</v>
      </c>
      <c r="I29" s="24">
        <v>0</v>
      </c>
      <c r="J29" s="91">
        <v>0</v>
      </c>
      <c r="K29" s="90">
        <v>0</v>
      </c>
      <c r="L29" s="24">
        <v>0</v>
      </c>
      <c r="M29" s="91">
        <v>0</v>
      </c>
      <c r="N29" s="90">
        <v>0</v>
      </c>
      <c r="O29" s="24">
        <v>0</v>
      </c>
      <c r="P29" s="91">
        <v>0</v>
      </c>
      <c r="Q29" s="279">
        <v>0</v>
      </c>
      <c r="R29" s="279">
        <v>0</v>
      </c>
      <c r="S29" s="279">
        <v>0</v>
      </c>
      <c r="T29" s="279">
        <v>0</v>
      </c>
      <c r="U29" s="279">
        <v>0</v>
      </c>
      <c r="V29" s="279">
        <v>0</v>
      </c>
      <c r="W29" s="279">
        <v>0</v>
      </c>
      <c r="X29" s="279">
        <v>0</v>
      </c>
      <c r="Y29" s="279">
        <v>0</v>
      </c>
      <c r="Z29" s="279">
        <v>0</v>
      </c>
      <c r="AA29" s="279">
        <v>0</v>
      </c>
      <c r="AB29" s="279">
        <v>0</v>
      </c>
      <c r="AC29" s="279">
        <v>0</v>
      </c>
      <c r="AD29" s="279">
        <v>0</v>
      </c>
      <c r="AE29" s="279">
        <v>0</v>
      </c>
      <c r="AF29" s="279">
        <v>0</v>
      </c>
      <c r="AG29" s="279">
        <v>0</v>
      </c>
      <c r="AH29" s="279">
        <v>0</v>
      </c>
      <c r="AI29" s="279">
        <v>0</v>
      </c>
      <c r="AJ29" s="279">
        <v>0</v>
      </c>
      <c r="AK29" s="279">
        <v>0</v>
      </c>
      <c r="AL29" s="279">
        <v>0</v>
      </c>
      <c r="AM29" s="279">
        <v>0</v>
      </c>
      <c r="AN29" s="279">
        <v>0</v>
      </c>
      <c r="AO29" s="279">
        <v>0</v>
      </c>
      <c r="AP29" s="279">
        <v>0</v>
      </c>
      <c r="AQ29" s="279">
        <v>0</v>
      </c>
      <c r="AR29" s="279">
        <v>0</v>
      </c>
      <c r="AS29" s="279">
        <v>0</v>
      </c>
      <c r="AT29" s="279">
        <v>0</v>
      </c>
      <c r="AU29" s="279">
        <v>0</v>
      </c>
      <c r="AV29" s="279">
        <v>0</v>
      </c>
      <c r="AW29" s="279">
        <v>0</v>
      </c>
      <c r="AX29" s="279">
        <v>0</v>
      </c>
      <c r="AY29" s="279">
        <v>0</v>
      </c>
      <c r="AZ29" s="279">
        <v>0</v>
      </c>
      <c r="BA29" s="279">
        <v>0</v>
      </c>
      <c r="BB29" s="279">
        <v>0</v>
      </c>
      <c r="BC29" s="279">
        <v>0</v>
      </c>
      <c r="BD29" s="279">
        <v>0</v>
      </c>
      <c r="BE29" s="279">
        <v>0</v>
      </c>
      <c r="BF29" s="279">
        <v>0</v>
      </c>
    </row>
    <row r="30" spans="2:58">
      <c r="D30" s="33" t="s">
        <v>36</v>
      </c>
      <c r="E30" s="90">
        <v>0</v>
      </c>
      <c r="F30" s="24">
        <v>0</v>
      </c>
      <c r="G30" s="91">
        <v>0</v>
      </c>
      <c r="H30" s="90">
        <v>0</v>
      </c>
      <c r="I30" s="24">
        <v>0</v>
      </c>
      <c r="J30" s="91">
        <v>0</v>
      </c>
      <c r="K30" s="90">
        <v>0</v>
      </c>
      <c r="L30" s="24">
        <v>0</v>
      </c>
      <c r="M30" s="91">
        <v>0</v>
      </c>
      <c r="N30" s="90">
        <v>0</v>
      </c>
      <c r="O30" s="24">
        <v>0</v>
      </c>
      <c r="P30" s="91">
        <v>0</v>
      </c>
      <c r="Q30" s="279">
        <v>0</v>
      </c>
      <c r="R30" s="279">
        <v>0</v>
      </c>
      <c r="S30" s="279">
        <v>0</v>
      </c>
      <c r="T30" s="279">
        <v>0</v>
      </c>
      <c r="U30" s="279">
        <v>0</v>
      </c>
      <c r="V30" s="279">
        <v>0</v>
      </c>
      <c r="W30" s="279">
        <v>0</v>
      </c>
      <c r="X30" s="279">
        <v>0</v>
      </c>
      <c r="Y30" s="279">
        <v>0</v>
      </c>
      <c r="Z30" s="279">
        <v>0</v>
      </c>
      <c r="AA30" s="279">
        <v>0</v>
      </c>
      <c r="AB30" s="279">
        <v>0</v>
      </c>
      <c r="AC30" s="279">
        <v>0</v>
      </c>
      <c r="AD30" s="279">
        <v>0</v>
      </c>
      <c r="AE30" s="279">
        <v>0</v>
      </c>
      <c r="AF30" s="279">
        <v>0</v>
      </c>
      <c r="AG30" s="279">
        <v>0</v>
      </c>
      <c r="AH30" s="279">
        <v>0</v>
      </c>
      <c r="AI30" s="279">
        <v>0</v>
      </c>
      <c r="AJ30" s="279">
        <v>0</v>
      </c>
      <c r="AK30" s="279">
        <v>0</v>
      </c>
      <c r="AL30" s="279">
        <v>0</v>
      </c>
      <c r="AM30" s="279">
        <v>0</v>
      </c>
      <c r="AN30" s="279">
        <v>0</v>
      </c>
      <c r="AO30" s="279">
        <v>0</v>
      </c>
      <c r="AP30" s="279">
        <v>0</v>
      </c>
      <c r="AQ30" s="279">
        <v>0</v>
      </c>
      <c r="AR30" s="279">
        <v>0</v>
      </c>
      <c r="AS30" s="279">
        <v>0</v>
      </c>
      <c r="AT30" s="279">
        <v>0</v>
      </c>
      <c r="AU30" s="279">
        <v>0</v>
      </c>
      <c r="AV30" s="279">
        <v>0</v>
      </c>
      <c r="AW30" s="279">
        <v>0</v>
      </c>
      <c r="AX30" s="279">
        <v>0</v>
      </c>
      <c r="AY30" s="279">
        <v>0</v>
      </c>
      <c r="AZ30" s="279">
        <v>0</v>
      </c>
      <c r="BA30" s="279">
        <v>0</v>
      </c>
      <c r="BB30" s="279">
        <v>0</v>
      </c>
      <c r="BC30" s="279">
        <v>0</v>
      </c>
      <c r="BD30" s="279">
        <v>0</v>
      </c>
      <c r="BE30" s="279">
        <v>0</v>
      </c>
      <c r="BF30" s="279">
        <v>0</v>
      </c>
    </row>
    <row r="31" spans="2:58">
      <c r="D31" s="33" t="s">
        <v>42</v>
      </c>
      <c r="E31" s="90">
        <v>0</v>
      </c>
      <c r="F31" s="24">
        <v>0</v>
      </c>
      <c r="G31" s="91">
        <v>0</v>
      </c>
      <c r="H31" s="90">
        <v>0</v>
      </c>
      <c r="I31" s="24">
        <v>0</v>
      </c>
      <c r="J31" s="91">
        <v>0</v>
      </c>
      <c r="K31" s="90">
        <v>0</v>
      </c>
      <c r="L31" s="24">
        <v>0</v>
      </c>
      <c r="M31" s="91">
        <v>0</v>
      </c>
      <c r="N31" s="90">
        <v>0</v>
      </c>
      <c r="O31" s="24">
        <v>0</v>
      </c>
      <c r="P31" s="91">
        <v>0</v>
      </c>
      <c r="Q31" s="279">
        <v>0</v>
      </c>
      <c r="R31" s="279">
        <v>0</v>
      </c>
      <c r="S31" s="279">
        <v>0</v>
      </c>
      <c r="T31" s="279">
        <v>0</v>
      </c>
      <c r="U31" s="279">
        <v>0</v>
      </c>
      <c r="V31" s="279">
        <v>0</v>
      </c>
      <c r="W31" s="279">
        <v>0</v>
      </c>
      <c r="X31" s="279">
        <v>0</v>
      </c>
      <c r="Y31" s="279">
        <v>0</v>
      </c>
      <c r="Z31" s="279">
        <v>0</v>
      </c>
      <c r="AA31" s="279">
        <v>0</v>
      </c>
      <c r="AB31" s="279">
        <v>0</v>
      </c>
      <c r="AC31" s="279">
        <v>0</v>
      </c>
      <c r="AD31" s="279">
        <v>0</v>
      </c>
      <c r="AE31" s="279">
        <v>0</v>
      </c>
      <c r="AF31" s="279">
        <v>0</v>
      </c>
      <c r="AG31" s="279">
        <v>0</v>
      </c>
      <c r="AH31" s="279">
        <v>0</v>
      </c>
      <c r="AI31" s="279">
        <v>0</v>
      </c>
      <c r="AJ31" s="279">
        <v>0</v>
      </c>
      <c r="AK31" s="279">
        <v>0</v>
      </c>
      <c r="AL31" s="279">
        <v>0</v>
      </c>
      <c r="AM31" s="279">
        <v>0</v>
      </c>
      <c r="AN31" s="279">
        <v>0</v>
      </c>
      <c r="AO31" s="279">
        <v>0</v>
      </c>
      <c r="AP31" s="279">
        <v>0</v>
      </c>
      <c r="AQ31" s="279">
        <v>0</v>
      </c>
      <c r="AR31" s="279">
        <v>0</v>
      </c>
      <c r="AS31" s="279">
        <v>0</v>
      </c>
      <c r="AT31" s="279">
        <v>0</v>
      </c>
      <c r="AU31" s="279">
        <v>0</v>
      </c>
      <c r="AV31" s="279">
        <v>0</v>
      </c>
      <c r="AW31" s="279">
        <v>0</v>
      </c>
      <c r="AX31" s="279">
        <v>0</v>
      </c>
      <c r="AY31" s="279">
        <v>0</v>
      </c>
      <c r="AZ31" s="279">
        <v>0</v>
      </c>
      <c r="BA31" s="279">
        <v>0</v>
      </c>
      <c r="BB31" s="279">
        <v>0</v>
      </c>
      <c r="BC31" s="279">
        <v>0</v>
      </c>
      <c r="BD31" s="279">
        <v>0</v>
      </c>
      <c r="BE31" s="279">
        <v>0</v>
      </c>
      <c r="BF31" s="279">
        <v>0</v>
      </c>
    </row>
    <row r="32" spans="2:58" ht="17.25">
      <c r="B32" s="8"/>
      <c r="D32" s="33" t="s">
        <v>41</v>
      </c>
      <c r="E32" s="90">
        <v>0</v>
      </c>
      <c r="F32" s="24">
        <v>0</v>
      </c>
      <c r="G32" s="91">
        <v>0</v>
      </c>
      <c r="H32" s="90">
        <v>0</v>
      </c>
      <c r="I32" s="24">
        <v>0</v>
      </c>
      <c r="J32" s="91">
        <v>0</v>
      </c>
      <c r="K32" s="90">
        <v>0</v>
      </c>
      <c r="L32" s="24">
        <v>0</v>
      </c>
      <c r="M32" s="91">
        <v>0</v>
      </c>
      <c r="N32" s="90">
        <v>0</v>
      </c>
      <c r="O32" s="24">
        <v>0</v>
      </c>
      <c r="P32" s="91">
        <v>0</v>
      </c>
      <c r="Q32" s="279">
        <v>0</v>
      </c>
      <c r="R32" s="279">
        <v>0</v>
      </c>
      <c r="S32" s="279">
        <v>0</v>
      </c>
      <c r="T32" s="279">
        <v>0</v>
      </c>
      <c r="U32" s="279">
        <v>0</v>
      </c>
      <c r="V32" s="279">
        <v>0</v>
      </c>
      <c r="W32" s="279">
        <v>0</v>
      </c>
      <c r="X32" s="279">
        <v>0</v>
      </c>
      <c r="Y32" s="279">
        <v>0</v>
      </c>
      <c r="Z32" s="279">
        <v>0</v>
      </c>
      <c r="AA32" s="279">
        <v>0</v>
      </c>
      <c r="AB32" s="279">
        <v>0</v>
      </c>
      <c r="AC32" s="279">
        <v>0</v>
      </c>
      <c r="AD32" s="279">
        <v>0</v>
      </c>
      <c r="AE32" s="279">
        <v>0</v>
      </c>
      <c r="AF32" s="279">
        <v>0</v>
      </c>
      <c r="AG32" s="279">
        <v>0</v>
      </c>
      <c r="AH32" s="279">
        <v>0</v>
      </c>
      <c r="AI32" s="279">
        <v>0</v>
      </c>
      <c r="AJ32" s="279">
        <v>0</v>
      </c>
      <c r="AK32" s="279">
        <v>0</v>
      </c>
      <c r="AL32" s="279">
        <v>0</v>
      </c>
      <c r="AM32" s="279">
        <v>0</v>
      </c>
      <c r="AN32" s="279">
        <v>0</v>
      </c>
      <c r="AO32" s="279">
        <v>0</v>
      </c>
      <c r="AP32" s="279">
        <v>0</v>
      </c>
      <c r="AQ32" s="279">
        <v>0</v>
      </c>
      <c r="AR32" s="279">
        <v>0</v>
      </c>
      <c r="AS32" s="279">
        <v>0</v>
      </c>
      <c r="AT32" s="279">
        <v>0</v>
      </c>
      <c r="AU32" s="279">
        <v>0</v>
      </c>
      <c r="AV32" s="279">
        <v>0</v>
      </c>
      <c r="AW32" s="279">
        <v>0</v>
      </c>
      <c r="AX32" s="279">
        <v>0</v>
      </c>
      <c r="AY32" s="279">
        <v>0</v>
      </c>
      <c r="AZ32" s="279">
        <v>0</v>
      </c>
      <c r="BA32" s="279">
        <v>0</v>
      </c>
      <c r="BB32" s="279">
        <v>0</v>
      </c>
      <c r="BC32" s="279">
        <v>0</v>
      </c>
      <c r="BD32" s="279">
        <v>0</v>
      </c>
      <c r="BE32" s="279">
        <v>0</v>
      </c>
      <c r="BF32" s="279">
        <v>0</v>
      </c>
    </row>
    <row r="33" spans="2:58" ht="17.25">
      <c r="B33" s="8"/>
      <c r="D33" s="33" t="s">
        <v>40</v>
      </c>
      <c r="E33" s="90">
        <v>0</v>
      </c>
      <c r="F33" s="24">
        <v>0</v>
      </c>
      <c r="G33" s="91">
        <v>0</v>
      </c>
      <c r="H33" s="90">
        <v>0</v>
      </c>
      <c r="I33" s="24">
        <v>0</v>
      </c>
      <c r="J33" s="91">
        <v>0</v>
      </c>
      <c r="K33" s="90">
        <v>0</v>
      </c>
      <c r="L33" s="24">
        <v>0</v>
      </c>
      <c r="M33" s="91">
        <v>0</v>
      </c>
      <c r="N33" s="90">
        <v>0</v>
      </c>
      <c r="O33" s="24">
        <v>0</v>
      </c>
      <c r="P33" s="91">
        <v>0</v>
      </c>
      <c r="Q33" s="279">
        <v>0</v>
      </c>
      <c r="R33" s="279">
        <v>0</v>
      </c>
      <c r="S33" s="279">
        <v>0</v>
      </c>
      <c r="T33" s="279">
        <v>0</v>
      </c>
      <c r="U33" s="279">
        <v>0</v>
      </c>
      <c r="V33" s="279">
        <v>0</v>
      </c>
      <c r="W33" s="279">
        <v>0</v>
      </c>
      <c r="X33" s="279">
        <v>0</v>
      </c>
      <c r="Y33" s="279">
        <v>0</v>
      </c>
      <c r="Z33" s="279">
        <v>0</v>
      </c>
      <c r="AA33" s="279">
        <v>0</v>
      </c>
      <c r="AB33" s="279">
        <v>0</v>
      </c>
      <c r="AC33" s="279">
        <v>0</v>
      </c>
      <c r="AD33" s="279">
        <v>0</v>
      </c>
      <c r="AE33" s="279">
        <v>0</v>
      </c>
      <c r="AF33" s="279">
        <v>0</v>
      </c>
      <c r="AG33" s="279">
        <v>0</v>
      </c>
      <c r="AH33" s="279">
        <v>0</v>
      </c>
      <c r="AI33" s="279">
        <v>0</v>
      </c>
      <c r="AJ33" s="279">
        <v>0</v>
      </c>
      <c r="AK33" s="279">
        <v>0</v>
      </c>
      <c r="AL33" s="279">
        <v>0</v>
      </c>
      <c r="AM33" s="279">
        <v>0</v>
      </c>
      <c r="AN33" s="279">
        <v>0</v>
      </c>
      <c r="AO33" s="279">
        <v>0</v>
      </c>
      <c r="AP33" s="279">
        <v>0</v>
      </c>
      <c r="AQ33" s="279">
        <v>0</v>
      </c>
      <c r="AR33" s="279">
        <v>0</v>
      </c>
      <c r="AS33" s="279">
        <v>0</v>
      </c>
      <c r="AT33" s="279">
        <v>0</v>
      </c>
      <c r="AU33" s="279">
        <v>0</v>
      </c>
      <c r="AV33" s="279">
        <v>0</v>
      </c>
      <c r="AW33" s="279">
        <v>0</v>
      </c>
      <c r="AX33" s="279">
        <v>0</v>
      </c>
      <c r="AY33" s="279">
        <v>0</v>
      </c>
      <c r="AZ33" s="279">
        <v>0</v>
      </c>
      <c r="BA33" s="279">
        <v>0</v>
      </c>
      <c r="BB33" s="279">
        <v>0</v>
      </c>
      <c r="BC33" s="279">
        <v>0</v>
      </c>
      <c r="BD33" s="279">
        <v>0</v>
      </c>
      <c r="BE33" s="279">
        <v>0</v>
      </c>
      <c r="BF33" s="279">
        <v>0</v>
      </c>
    </row>
    <row r="34" spans="2:58" ht="17.25">
      <c r="B34" s="8"/>
      <c r="D34" s="33" t="s">
        <v>38</v>
      </c>
      <c r="E34" s="90">
        <v>30</v>
      </c>
      <c r="F34" s="24">
        <v>0</v>
      </c>
      <c r="G34" s="91">
        <v>0</v>
      </c>
      <c r="H34" s="90">
        <v>30</v>
      </c>
      <c r="I34" s="24">
        <v>0</v>
      </c>
      <c r="J34" s="91">
        <v>0</v>
      </c>
      <c r="K34" s="90">
        <v>50</v>
      </c>
      <c r="L34" s="24">
        <v>0</v>
      </c>
      <c r="M34" s="91">
        <v>0</v>
      </c>
      <c r="N34" s="90">
        <v>0</v>
      </c>
      <c r="O34" s="24">
        <v>0</v>
      </c>
      <c r="P34" s="91">
        <v>0</v>
      </c>
      <c r="Q34" s="279">
        <v>30</v>
      </c>
      <c r="R34" s="279">
        <v>0</v>
      </c>
      <c r="S34" s="279">
        <v>0</v>
      </c>
      <c r="T34" s="279">
        <v>30</v>
      </c>
      <c r="U34" s="279">
        <v>0</v>
      </c>
      <c r="V34" s="279">
        <v>0</v>
      </c>
      <c r="W34" s="279">
        <v>20</v>
      </c>
      <c r="X34" s="279">
        <v>0</v>
      </c>
      <c r="Y34" s="279">
        <v>0</v>
      </c>
      <c r="Z34" s="279">
        <v>0</v>
      </c>
      <c r="AA34" s="279">
        <v>0</v>
      </c>
      <c r="AB34" s="279">
        <v>0</v>
      </c>
      <c r="AC34" s="279">
        <v>0</v>
      </c>
      <c r="AD34" s="279">
        <v>0</v>
      </c>
      <c r="AE34" s="279">
        <v>0</v>
      </c>
      <c r="AF34" s="279">
        <v>0</v>
      </c>
      <c r="AG34" s="279">
        <v>0</v>
      </c>
      <c r="AH34" s="279">
        <v>0</v>
      </c>
      <c r="AI34" s="279">
        <v>0</v>
      </c>
      <c r="AJ34" s="279">
        <v>0</v>
      </c>
      <c r="AK34" s="279">
        <v>0</v>
      </c>
      <c r="AL34" s="279">
        <v>0</v>
      </c>
      <c r="AM34" s="279">
        <v>0</v>
      </c>
      <c r="AN34" s="279">
        <v>0</v>
      </c>
      <c r="AO34" s="279">
        <v>0</v>
      </c>
      <c r="AP34" s="279">
        <v>0</v>
      </c>
      <c r="AQ34" s="279">
        <v>0</v>
      </c>
      <c r="AR34" s="279">
        <v>0</v>
      </c>
      <c r="AS34" s="279">
        <v>0</v>
      </c>
      <c r="AT34" s="279">
        <v>0</v>
      </c>
      <c r="AU34" s="279">
        <v>0</v>
      </c>
      <c r="AV34" s="279">
        <v>0</v>
      </c>
      <c r="AW34" s="279">
        <v>0</v>
      </c>
      <c r="AX34" s="279">
        <v>0</v>
      </c>
      <c r="AY34" s="279">
        <v>0</v>
      </c>
      <c r="AZ34" s="279">
        <v>0</v>
      </c>
      <c r="BA34" s="279">
        <v>0</v>
      </c>
      <c r="BB34" s="279">
        <v>0</v>
      </c>
      <c r="BC34" s="279">
        <v>0</v>
      </c>
      <c r="BD34" s="279">
        <v>0</v>
      </c>
      <c r="BE34" s="279">
        <v>0</v>
      </c>
      <c r="BF34" s="279">
        <v>0</v>
      </c>
    </row>
    <row r="35" spans="2:58" ht="17.649999999999999" thickBot="1">
      <c r="B35" s="8"/>
      <c r="D35" s="33" t="s">
        <v>39</v>
      </c>
      <c r="E35" s="114">
        <v>30</v>
      </c>
      <c r="F35" s="115">
        <v>0</v>
      </c>
      <c r="G35" s="116">
        <v>0</v>
      </c>
      <c r="H35" s="114">
        <v>30</v>
      </c>
      <c r="I35" s="115">
        <v>0</v>
      </c>
      <c r="J35" s="116">
        <v>0</v>
      </c>
      <c r="K35" s="114">
        <v>50</v>
      </c>
      <c r="L35" s="115">
        <v>0</v>
      </c>
      <c r="M35" s="116">
        <v>0</v>
      </c>
      <c r="N35" s="114">
        <v>0</v>
      </c>
      <c r="O35" s="115">
        <v>0</v>
      </c>
      <c r="P35" s="116">
        <v>0</v>
      </c>
      <c r="Q35" s="279">
        <v>30</v>
      </c>
      <c r="R35" s="279">
        <v>0</v>
      </c>
      <c r="S35" s="279">
        <v>0</v>
      </c>
      <c r="T35" s="279">
        <v>30</v>
      </c>
      <c r="U35" s="279">
        <v>0</v>
      </c>
      <c r="V35" s="279">
        <v>0</v>
      </c>
      <c r="W35" s="279">
        <v>20</v>
      </c>
      <c r="X35" s="279">
        <v>0</v>
      </c>
      <c r="Y35" s="279">
        <v>0</v>
      </c>
      <c r="Z35" s="279">
        <v>0</v>
      </c>
      <c r="AA35" s="279">
        <v>0</v>
      </c>
      <c r="AB35" s="279">
        <v>0</v>
      </c>
      <c r="AC35" s="279">
        <v>0</v>
      </c>
      <c r="AD35" s="279">
        <v>0</v>
      </c>
      <c r="AE35" s="279">
        <v>0</v>
      </c>
      <c r="AF35" s="279">
        <v>0</v>
      </c>
      <c r="AG35" s="279">
        <v>0</v>
      </c>
      <c r="AH35" s="279">
        <v>0</v>
      </c>
      <c r="AI35" s="279">
        <v>0</v>
      </c>
      <c r="AJ35" s="279">
        <v>0</v>
      </c>
      <c r="AK35" s="279">
        <v>0</v>
      </c>
      <c r="AL35" s="279">
        <v>0</v>
      </c>
      <c r="AM35" s="279">
        <v>0</v>
      </c>
      <c r="AN35" s="279">
        <v>0</v>
      </c>
      <c r="AO35" s="279">
        <v>0</v>
      </c>
      <c r="AP35" s="279">
        <v>0</v>
      </c>
      <c r="AQ35" s="279">
        <v>0</v>
      </c>
      <c r="AR35" s="279">
        <v>0</v>
      </c>
      <c r="AS35" s="279">
        <v>0</v>
      </c>
      <c r="AT35" s="279">
        <v>0</v>
      </c>
      <c r="AU35" s="279">
        <v>0</v>
      </c>
      <c r="AV35" s="279">
        <v>0</v>
      </c>
      <c r="AW35" s="279">
        <v>0</v>
      </c>
      <c r="AX35" s="279">
        <v>0</v>
      </c>
      <c r="AY35" s="279">
        <v>0</v>
      </c>
      <c r="AZ35" s="279">
        <v>0</v>
      </c>
      <c r="BA35" s="279">
        <v>0</v>
      </c>
      <c r="BB35" s="279">
        <v>0</v>
      </c>
      <c r="BC35" s="279">
        <v>0</v>
      </c>
      <c r="BD35" s="279">
        <v>0</v>
      </c>
      <c r="BE35" s="279">
        <v>0</v>
      </c>
      <c r="BF35" s="279">
        <v>0</v>
      </c>
    </row>
    <row r="36" spans="2:58" ht="17.649999999999999" thickBot="1">
      <c r="B36" s="8"/>
    </row>
    <row r="37" spans="2:58" ht="17.649999999999999" thickBot="1">
      <c r="B37" s="8"/>
      <c r="D37" s="26" t="s">
        <v>200</v>
      </c>
      <c r="E37" s="130">
        <f>IF(usage=D5,(0.4*scombles)/sref,0)</f>
        <v>0</v>
      </c>
      <c r="AC37" s="3" t="s">
        <v>183</v>
      </c>
      <c r="AH37" s="3" t="s">
        <v>184</v>
      </c>
    </row>
    <row r="38" spans="2:58" ht="17.649999999999999" thickBot="1">
      <c r="B38" s="8"/>
      <c r="E38" s="6"/>
    </row>
    <row r="39" spans="2:58" ht="17.649999999999999" thickBot="1">
      <c r="B39" s="8"/>
      <c r="D39" s="26" t="s">
        <v>201</v>
      </c>
      <c r="E39" s="413">
        <f>HLOOKUP("ICI",G42:Z43,2,FALSE)</f>
        <v>0</v>
      </c>
      <c r="G39" s="89" t="str">
        <f>E26</f>
        <v>Maisons_individuelles_ou_accolées</v>
      </c>
      <c r="H39" s="60" t="str">
        <f>G39</f>
        <v>Maisons_individuelles_ou_accolées</v>
      </c>
      <c r="I39" s="260" t="str">
        <f>H26</f>
        <v>Logement_collectif</v>
      </c>
      <c r="J39" s="60" t="str">
        <f>I39</f>
        <v>Logement_collectif</v>
      </c>
      <c r="K39" s="58" t="str">
        <f>Enumération!E33</f>
        <v>Bureaux</v>
      </c>
      <c r="L39" s="58" t="str">
        <f>Enumération!F33</f>
        <v>Enseignement_primaire_ou_secondaire</v>
      </c>
      <c r="M39" s="281" t="str">
        <f>Enumération!G33</f>
        <v>Médiathèques_et_bibliothèques</v>
      </c>
      <c r="N39" s="281" t="str">
        <f>Enumération!H33</f>
        <v>Bâtiments_universitaires_d'enseignement_et_de_recherche_et_bâtiments_d’enseignements_atypiques</v>
      </c>
      <c r="O39" s="281" t="str">
        <f>Enumération!I33</f>
        <v>Hôtels</v>
      </c>
      <c r="P39" s="281" t="str">
        <f>Enumération!J33</f>
        <v>Etablissements_d'accueil_de_la_petite_enfance </v>
      </c>
      <c r="Q39" s="281" t="str">
        <f>Enumération!K33</f>
        <v>Restaurants</v>
      </c>
      <c r="R39" s="281" t="str">
        <f>Enumération!L33</f>
        <v>Commerces</v>
      </c>
      <c r="S39" s="281" t="str">
        <f>Enumération!M33</f>
        <v>Vestiaires seuls</v>
      </c>
      <c r="T39" s="281" t="str">
        <f>Enumération!N33</f>
        <v>Etablissements_sanitaires_avec_hébergement</v>
      </c>
      <c r="U39" s="281" t="str">
        <f>Enumération!O33</f>
        <v>Etablissements_de_santé</v>
      </c>
      <c r="V39" s="281" t="str">
        <f>Enumération!P33</f>
        <v>Aérogares</v>
      </c>
      <c r="W39" s="281" t="str">
        <f>Enumération!Q33</f>
        <v>Industries_ou_artisanats</v>
      </c>
      <c r="X39" s="281" t="str">
        <f>Enumération!R33</f>
        <v>Etablissements_sportifs_municipaux_ou_scolaires</v>
      </c>
      <c r="Y39" s="281" t="str">
        <f>Enumération!S33</f>
        <v>Restaurants_scolaires</v>
      </c>
      <c r="Z39" s="281" t="str">
        <f>Enumération!T33</f>
        <v>Etablissements_sportifs_privés</v>
      </c>
    </row>
    <row r="40" spans="2:58" ht="17.25">
      <c r="B40" s="8"/>
      <c r="E40" s="6"/>
      <c r="G40" s="111" t="s">
        <v>211</v>
      </c>
      <c r="H40" s="91" t="s">
        <v>212</v>
      </c>
      <c r="I40" s="90" t="s">
        <v>225</v>
      </c>
      <c r="J40" s="91" t="s">
        <v>226</v>
      </c>
      <c r="K40" s="97"/>
      <c r="L40" s="97"/>
      <c r="M40" s="97"/>
      <c r="N40" s="97"/>
      <c r="O40" s="97"/>
      <c r="P40" s="97"/>
      <c r="Q40" s="97"/>
      <c r="R40" s="97"/>
      <c r="S40" s="97"/>
      <c r="T40" s="97"/>
      <c r="U40" s="97"/>
      <c r="V40" s="97"/>
      <c r="W40" s="97"/>
      <c r="X40" s="97"/>
      <c r="Y40" s="97"/>
      <c r="Z40" s="97"/>
    </row>
    <row r="41" spans="2:58" ht="17.25">
      <c r="B41" s="8"/>
      <c r="E41" s="6"/>
      <c r="F41" s="38" t="s">
        <v>234</v>
      </c>
      <c r="G41" s="47" t="b">
        <f>smoylgt&lt;=120</f>
        <v>1</v>
      </c>
      <c r="H41" s="48" t="b">
        <f>smoylgt&gt;120</f>
        <v>0</v>
      </c>
      <c r="I41" s="47" t="b">
        <f>smoylgt&lt;=40</f>
        <v>0</v>
      </c>
      <c r="J41" s="48" t="b">
        <f>smoylgt&gt;40</f>
        <v>1</v>
      </c>
      <c r="K41" s="98"/>
      <c r="L41" s="98"/>
      <c r="M41" s="98"/>
      <c r="N41" s="98"/>
      <c r="O41" s="98"/>
      <c r="P41" s="98"/>
      <c r="Q41" s="98"/>
      <c r="R41" s="98"/>
      <c r="S41" s="98"/>
      <c r="T41" s="98"/>
      <c r="U41" s="98"/>
      <c r="V41" s="98"/>
      <c r="W41" s="98"/>
      <c r="X41" s="98"/>
      <c r="Y41" s="98"/>
      <c r="Z41" s="98"/>
    </row>
    <row r="42" spans="2:58" ht="17.25">
      <c r="B42" s="8"/>
      <c r="E42" s="6"/>
      <c r="F42" s="38" t="s">
        <v>233</v>
      </c>
      <c r="G42" s="92" t="str">
        <f>IF(AND(usage=G39,Calcul_matiere!G41),"ICI","NON")</f>
        <v>NON</v>
      </c>
      <c r="H42" s="93" t="str">
        <f>IF(AND(usage=H39,Calcul_matiere!H41),"ICI","NON")</f>
        <v>NON</v>
      </c>
      <c r="I42" s="92" t="str">
        <f>IF(AND(usage=I39,Calcul_matiere!I41),"ICI","NON")</f>
        <v>NON</v>
      </c>
      <c r="J42" s="93" t="str">
        <f>IF(AND(usage=J39,Calcul_matiere!J41),"ICI","NON")</f>
        <v>ICI</v>
      </c>
      <c r="K42" s="43" t="str">
        <f>IF(usage=K39,"ICI","NON")</f>
        <v>NON</v>
      </c>
      <c r="L42" s="43" t="str">
        <f>IF(AND(usage=L39,Calcul_matiere!L41),"ICI","NON")</f>
        <v>NON</v>
      </c>
      <c r="M42" s="43" t="str">
        <f>IF(AND(usage=M39,Calcul_matiere!M41),"ICI","NON")</f>
        <v>NON</v>
      </c>
      <c r="N42" s="43" t="str">
        <f>IF(AND(usage=N39,Calcul_matiere!N41),"ICI","NON")</f>
        <v>NON</v>
      </c>
      <c r="O42" s="43" t="str">
        <f>IF(AND(usage=O39,Calcul_matiere!O41),"ICI","NON")</f>
        <v>NON</v>
      </c>
      <c r="P42" s="43" t="str">
        <f>IF(AND(usage=P39,Calcul_matiere!P41),"ICI","NON")</f>
        <v>NON</v>
      </c>
      <c r="Q42" s="43" t="str">
        <f>IF(AND(usage=Q39,Calcul_matiere!Q41),"ICI","NON")</f>
        <v>NON</v>
      </c>
      <c r="R42" s="43" t="str">
        <f>IF(AND(usage=R39,Calcul_matiere!R41),"ICI","NON")</f>
        <v>NON</v>
      </c>
      <c r="S42" s="43" t="str">
        <f>IF(AND(usage=S39,Calcul_matiere!S41),"ICI","NON")</f>
        <v>NON</v>
      </c>
      <c r="T42" s="43" t="str">
        <f>IF(AND(usage=T39,Calcul_matiere!T41),"ICI","NON")</f>
        <v>NON</v>
      </c>
      <c r="U42" s="43" t="str">
        <f>IF(AND(usage=U39,Calcul_matiere!U41),"ICI","NON")</f>
        <v>NON</v>
      </c>
      <c r="V42" s="43" t="str">
        <f>IF(AND(usage=V39,Calcul_matiere!V41),"ICI","NON")</f>
        <v>NON</v>
      </c>
      <c r="W42" s="43" t="str">
        <f>IF(AND(usage=W39,Calcul_matiere!W41),"ICI","NON")</f>
        <v>NON</v>
      </c>
      <c r="X42" s="43" t="str">
        <f>IF(AND(usage=X39,Calcul_matiere!X41),"ICI","NON")</f>
        <v>NON</v>
      </c>
      <c r="Y42" s="43" t="str">
        <f>IF(AND(usage=Y39,Calcul_matiere!Y41),"ICI","NON")</f>
        <v>NON</v>
      </c>
      <c r="Z42" s="43" t="str">
        <f>IF(AND(usage=Z39,Calcul_matiere!Z41),"ICI","NON")</f>
        <v>NON</v>
      </c>
    </row>
    <row r="43" spans="2:58" ht="17.649999999999999" thickBot="1">
      <c r="B43" s="8"/>
      <c r="F43" s="38" t="s">
        <v>235</v>
      </c>
      <c r="G43" s="51">
        <f>0.36-((3.6*smoylgt)/1000)</f>
        <v>0.13199999999999998</v>
      </c>
      <c r="H43" s="94">
        <v>-7.1999999999999995E-2</v>
      </c>
      <c r="I43" s="96">
        <f>(100-(2.5*smoylgt))/icconstructionmaxmoyen</f>
        <v>-8.9743589743589758E-2</v>
      </c>
      <c r="J43" s="52">
        <v>0</v>
      </c>
      <c r="K43" s="44">
        <v>0</v>
      </c>
      <c r="L43" s="44">
        <v>0</v>
      </c>
      <c r="M43" s="44">
        <v>0</v>
      </c>
      <c r="N43" s="44">
        <v>0</v>
      </c>
      <c r="O43" s="44">
        <v>0</v>
      </c>
      <c r="P43" s="44">
        <v>0</v>
      </c>
      <c r="Q43" s="44">
        <v>0</v>
      </c>
      <c r="R43" s="44">
        <v>0</v>
      </c>
      <c r="S43" s="44">
        <v>0</v>
      </c>
      <c r="T43" s="44">
        <v>0</v>
      </c>
      <c r="U43" s="44">
        <v>0</v>
      </c>
      <c r="V43" s="44">
        <v>0</v>
      </c>
      <c r="W43" s="44">
        <v>0</v>
      </c>
      <c r="X43" s="44">
        <v>0</v>
      </c>
      <c r="Y43" s="44">
        <v>0</v>
      </c>
      <c r="Z43" s="44">
        <v>0</v>
      </c>
    </row>
    <row r="44" spans="2:58" ht="17.649999999999999" thickBot="1">
      <c r="B44" s="8"/>
      <c r="E44" s="6"/>
    </row>
    <row r="45" spans="2:58" ht="17.649999999999999" thickBot="1">
      <c r="B45" s="8"/>
      <c r="D45" s="26" t="s">
        <v>213</v>
      </c>
      <c r="E45" s="413">
        <f>HLOOKUP("ICI",G48:AE50,3,FALSE)</f>
        <v>-8.7500000000000008E-2</v>
      </c>
      <c r="G45" s="214" t="str">
        <f>D5</f>
        <v>Maisons_individuelles_ou_accolées</v>
      </c>
      <c r="H45" s="59" t="str">
        <f>D6</f>
        <v>Logement_collectif</v>
      </c>
      <c r="I45" s="103" t="str">
        <f>H45</f>
        <v>Logement_collectif</v>
      </c>
      <c r="J45" s="60" t="str">
        <f>I45</f>
        <v>Logement_collectif</v>
      </c>
      <c r="K45" s="61" t="str">
        <f>D7</f>
        <v>Bureaux</v>
      </c>
      <c r="L45" s="63" t="str">
        <f>K45</f>
        <v>Bureaux</v>
      </c>
      <c r="M45" s="61" t="str">
        <f>D8</f>
        <v>Enseignement_primaire_ou_secondaire</v>
      </c>
      <c r="N45" s="63" t="str">
        <f>M45</f>
        <v>Enseignement_primaire_ou_secondaire</v>
      </c>
      <c r="O45" s="281" t="str">
        <f>Enumération!G33</f>
        <v>Médiathèques_et_bibliothèques</v>
      </c>
      <c r="P45" s="289" t="str">
        <f>Enumération!H33</f>
        <v>Bâtiments_universitaires_d'enseignement_et_de_recherche_et_bâtiments_d’enseignements_atypiques</v>
      </c>
      <c r="Q45" s="289" t="str">
        <f>Enumération!I33</f>
        <v>Hôtels</v>
      </c>
      <c r="R45" s="289" t="str">
        <f>Enumération!J33</f>
        <v>Etablissements_d'accueil_de_la_petite_enfance </v>
      </c>
      <c r="S45" s="289" t="str">
        <f>Enumération!K33</f>
        <v>Restaurants</v>
      </c>
      <c r="T45" s="289" t="str">
        <f>Enumération!L33</f>
        <v>Commerces</v>
      </c>
      <c r="U45" s="289" t="str">
        <f>Enumération!M33</f>
        <v>Vestiaires seuls</v>
      </c>
      <c r="V45" s="289" t="str">
        <f>Enumération!N33</f>
        <v>Etablissements_sanitaires_avec_hébergement</v>
      </c>
      <c r="W45" s="289" t="str">
        <f>Enumération!O33</f>
        <v>Etablissements_de_santé</v>
      </c>
      <c r="X45" s="289" t="str">
        <f>Enumération!P33</f>
        <v>Aérogares</v>
      </c>
      <c r="Y45" s="289" t="str">
        <f>Enumération!Q33</f>
        <v>Industries_ou_artisanats</v>
      </c>
      <c r="Z45" s="289" t="str">
        <f>Y45</f>
        <v>Industries_ou_artisanats</v>
      </c>
      <c r="AA45" s="289" t="str">
        <f>Enumération!R33</f>
        <v>Etablissements_sportifs_municipaux_ou_scolaires</v>
      </c>
      <c r="AB45" s="289" t="str">
        <f>AA45</f>
        <v>Etablissements_sportifs_municipaux_ou_scolaires</v>
      </c>
      <c r="AC45" s="289" t="str">
        <f>Enumération!S33</f>
        <v>Restaurants_scolaires</v>
      </c>
      <c r="AD45" s="289" t="str">
        <f>Enumération!T33</f>
        <v>Etablissements_sportifs_privés</v>
      </c>
      <c r="AE45" s="289" t="str">
        <f>AD45</f>
        <v>Etablissements_sportifs_privés</v>
      </c>
    </row>
    <row r="46" spans="2:58" ht="17.25">
      <c r="B46" s="8"/>
      <c r="E46" s="6"/>
      <c r="G46" s="95"/>
      <c r="H46" s="90" t="s">
        <v>185</v>
      </c>
      <c r="I46" s="24" t="s">
        <v>227</v>
      </c>
      <c r="J46" s="91" t="s">
        <v>228</v>
      </c>
      <c r="K46" s="90" t="s">
        <v>230</v>
      </c>
      <c r="L46" s="91" t="s">
        <v>231</v>
      </c>
      <c r="M46" s="90" t="s">
        <v>232</v>
      </c>
      <c r="N46" s="91" t="s">
        <v>190</v>
      </c>
      <c r="O46" s="97"/>
      <c r="P46" s="284"/>
      <c r="Q46" s="285"/>
      <c r="R46" s="285"/>
      <c r="S46" s="285"/>
      <c r="T46" s="285"/>
      <c r="U46" s="285"/>
      <c r="V46" s="285"/>
      <c r="W46" s="285"/>
      <c r="X46" s="285"/>
      <c r="Y46" s="285" t="s">
        <v>374</v>
      </c>
      <c r="Z46" s="285" t="s">
        <v>375</v>
      </c>
      <c r="AA46" s="285" t="s">
        <v>376</v>
      </c>
      <c r="AB46" s="285" t="s">
        <v>377</v>
      </c>
      <c r="AC46" s="285"/>
      <c r="AD46" s="285" t="s">
        <v>376</v>
      </c>
      <c r="AE46" s="285" t="s">
        <v>377</v>
      </c>
    </row>
    <row r="47" spans="2:58" ht="17.25">
      <c r="B47" s="8"/>
      <c r="E47" s="6"/>
      <c r="F47" s="38" t="s">
        <v>234</v>
      </c>
      <c r="G47" s="43"/>
      <c r="H47" s="47" t="b">
        <f>sref&lt;=1300</f>
        <v>0</v>
      </c>
      <c r="I47" s="17" t="b">
        <f>IF(AND(sref&gt;1300,sref&lt;4000),TRUE,FALSE)</f>
        <v>1</v>
      </c>
      <c r="J47" s="48" t="b">
        <f>sref&gt;=4000</f>
        <v>0</v>
      </c>
      <c r="K47" s="47" t="b">
        <f>sref&lt;=2500</f>
        <v>0</v>
      </c>
      <c r="L47" s="48" t="b">
        <f>sref&gt;2500</f>
        <v>1</v>
      </c>
      <c r="M47" s="47" t="b">
        <f>sref&lt;=10000</f>
        <v>1</v>
      </c>
      <c r="N47" s="48" t="b">
        <f>sref&gt;10000</f>
        <v>0</v>
      </c>
      <c r="O47" s="98"/>
      <c r="P47" s="282"/>
      <c r="Q47" s="48"/>
      <c r="R47" s="48"/>
      <c r="S47" s="48"/>
      <c r="T47" s="48"/>
      <c r="U47" s="48"/>
      <c r="V47" s="48"/>
      <c r="W47" s="48"/>
      <c r="X47" s="48"/>
      <c r="Y47" s="48" t="b">
        <f>sref&lt;=5000</f>
        <v>1</v>
      </c>
      <c r="Z47" s="48" t="b">
        <f>sref&gt;5000</f>
        <v>0</v>
      </c>
      <c r="AA47" s="48" t="b">
        <f>sref&lt;=2000</f>
        <v>0</v>
      </c>
      <c r="AB47" s="48" t="b">
        <f>sref&gt;2000</f>
        <v>1</v>
      </c>
      <c r="AC47" s="48"/>
      <c r="AD47" s="48" t="b">
        <f>sref&lt;=2000</f>
        <v>0</v>
      </c>
      <c r="AE47" s="48" t="b">
        <f>sref&gt;2000</f>
        <v>1</v>
      </c>
    </row>
    <row r="48" spans="2:58" ht="17.25">
      <c r="B48" s="8"/>
      <c r="E48" s="6"/>
      <c r="F48" s="38" t="s">
        <v>233</v>
      </c>
      <c r="G48" s="43" t="str">
        <f>IF(usage=G45,"ICI","NON")</f>
        <v>NON</v>
      </c>
      <c r="H48" s="92" t="str">
        <f t="shared" ref="H48:N48" si="5">IF(AND(usage=H45,H47),"ICI","NON")</f>
        <v>NON</v>
      </c>
      <c r="I48" s="18" t="str">
        <f t="shared" si="5"/>
        <v>ICI</v>
      </c>
      <c r="J48" s="93" t="str">
        <f t="shared" si="5"/>
        <v>NON</v>
      </c>
      <c r="K48" s="92" t="str">
        <f t="shared" si="5"/>
        <v>NON</v>
      </c>
      <c r="L48" s="93" t="str">
        <f t="shared" si="5"/>
        <v>NON</v>
      </c>
      <c r="M48" s="92" t="str">
        <f t="shared" si="5"/>
        <v>NON</v>
      </c>
      <c r="N48" s="93" t="str">
        <f t="shared" si="5"/>
        <v>NON</v>
      </c>
      <c r="O48" s="43" t="str">
        <f t="shared" ref="O48:X48" si="6">IF(usage=O45,"ICI","NON")</f>
        <v>NON</v>
      </c>
      <c r="P48" s="209" t="str">
        <f t="shared" si="6"/>
        <v>NON</v>
      </c>
      <c r="Q48" s="93" t="str">
        <f t="shared" si="6"/>
        <v>NON</v>
      </c>
      <c r="R48" s="93" t="str">
        <f t="shared" si="6"/>
        <v>NON</v>
      </c>
      <c r="S48" s="93" t="str">
        <f t="shared" si="6"/>
        <v>NON</v>
      </c>
      <c r="T48" s="93" t="str">
        <f t="shared" si="6"/>
        <v>NON</v>
      </c>
      <c r="U48" s="93" t="str">
        <f t="shared" si="6"/>
        <v>NON</v>
      </c>
      <c r="V48" s="93" t="str">
        <f t="shared" si="6"/>
        <v>NON</v>
      </c>
      <c r="W48" s="93" t="str">
        <f t="shared" si="6"/>
        <v>NON</v>
      </c>
      <c r="X48" s="93" t="str">
        <f t="shared" si="6"/>
        <v>NON</v>
      </c>
      <c r="Y48" s="93" t="str">
        <f>IF(AND(usage=Y45,Y47),"ICI","NON")</f>
        <v>NON</v>
      </c>
      <c r="Z48" s="93" t="str">
        <f>IF(AND(usage=Z45,Z47),"ICI","NON")</f>
        <v>NON</v>
      </c>
      <c r="AA48" s="93" t="str">
        <f>IF(AND(usage=AA45,AA47),"ICI","NON")</f>
        <v>NON</v>
      </c>
      <c r="AB48" s="93" t="str">
        <f>IF(AND(usage=AB45,AB47),"ICI","NON")</f>
        <v>NON</v>
      </c>
      <c r="AC48" s="93" t="str">
        <f>IF(usage=AC45,"ICI","NON")</f>
        <v>NON</v>
      </c>
      <c r="AD48" s="93" t="str">
        <f>IF(AND(usage=AD45,AD47),"ICI","NON")</f>
        <v>NON</v>
      </c>
      <c r="AE48" s="93" t="str">
        <f>IF(AND(usage=AE45,AE47),"ICI","NON")</f>
        <v>NON</v>
      </c>
    </row>
    <row r="49" spans="2:31" ht="17.25">
      <c r="B49" s="8"/>
      <c r="E49" s="6"/>
      <c r="F49" s="38" t="s">
        <v>444</v>
      </c>
      <c r="G49" s="476">
        <v>0</v>
      </c>
      <c r="H49" s="477">
        <v>0</v>
      </c>
      <c r="I49" s="478">
        <v>0</v>
      </c>
      <c r="J49" s="479">
        <v>0</v>
      </c>
      <c r="K49" s="477">
        <v>-0.05</v>
      </c>
      <c r="L49" s="479">
        <v>-0.05</v>
      </c>
      <c r="M49" s="477">
        <v>-0.05</v>
      </c>
      <c r="N49" s="479">
        <v>-0.05</v>
      </c>
      <c r="O49" s="476">
        <v>0.05</v>
      </c>
      <c r="P49" s="480">
        <v>0.05</v>
      </c>
      <c r="Q49" s="479">
        <v>0.05</v>
      </c>
      <c r="R49" s="479">
        <v>0.05</v>
      </c>
      <c r="S49" s="479">
        <v>0.05</v>
      </c>
      <c r="T49" s="479">
        <v>0.05</v>
      </c>
      <c r="U49" s="479">
        <v>0.05</v>
      </c>
      <c r="V49" s="479">
        <v>0.05</v>
      </c>
      <c r="W49" s="479">
        <v>0.05</v>
      </c>
      <c r="X49" s="479">
        <v>0.05</v>
      </c>
      <c r="Y49" s="479">
        <v>0.05</v>
      </c>
      <c r="Z49" s="479">
        <v>0.05</v>
      </c>
      <c r="AA49" s="479">
        <v>0.05</v>
      </c>
      <c r="AB49" s="479">
        <v>0.05</v>
      </c>
      <c r="AC49" s="479">
        <v>0.05</v>
      </c>
      <c r="AD49" s="479">
        <v>0.05</v>
      </c>
      <c r="AE49" s="479">
        <v>0.05</v>
      </c>
    </row>
    <row r="50" spans="2:31" ht="17.649999999999999" thickBot="1">
      <c r="B50" s="8"/>
      <c r="F50" s="38" t="s">
        <v>235</v>
      </c>
      <c r="G50" s="44">
        <v>0</v>
      </c>
      <c r="H50" s="51">
        <f>IF(AND(est_igh="OUI",decret2026),H49,-0.104+((0.8*sref)/10000))</f>
      </c>
      <c r="I50" s="55">
        <f>IF(AND(est_igh="OUI",decret2026),I49,0.0455-((0.35*sref)/10000))</f>
      </c>
      <c r="J50" s="101">
        <f>IF(AND(est_igh="OUI",decret2026),J49,-0.0945)</f>
      </c>
      <c r="K50" s="51">
        <f>IF(AND(est_igh="OUI",decret2026),K49,0.034-((0.86*sref)/10000))</f>
      </c>
      <c r="L50" s="56">
        <f>IF(AND(est_igh="OUI",decret2026),L49,-0.181)</f>
      </c>
      <c r="M50" s="51">
        <f>IF(AND(est_igh="OUI",decret2026),M49,0.084-((0.21*sref)/10000))</f>
      </c>
      <c r="N50" s="56">
        <f>IF(AND(est_igh="OUI",decret2026),N49,-0.126)</f>
      </c>
      <c r="O50" s="283">
        <f t="shared" ref="O50:X50" si="7">IF(AND(est_igh="OUI",decret2026),O49,0)</f>
      </c>
      <c r="P50" s="283">
        <f t="shared" si="7"/>
        <v>0</v>
      </c>
      <c r="Q50" s="283">
        <f t="shared" si="7"/>
        <v>0</v>
      </c>
      <c r="R50" s="283">
        <f t="shared" si="7"/>
        <v>0</v>
      </c>
      <c r="S50" s="283">
        <f t="shared" si="7"/>
        <v>0</v>
      </c>
      <c r="T50" s="283">
        <f t="shared" si="7"/>
        <v>0</v>
      </c>
      <c r="U50" s="283">
        <f t="shared" si="7"/>
        <v>0</v>
      </c>
      <c r="V50" s="283">
        <f t="shared" si="7"/>
        <v>0</v>
      </c>
      <c r="W50" s="283">
        <f t="shared" si="7"/>
        <v>0</v>
      </c>
      <c r="X50" s="283">
        <f t="shared" si="7"/>
        <v>0</v>
      </c>
      <c r="Y50" s="56">
        <f>IF(AND(est_igh="OUI",decret2026),Y49,0.035-0.00007*sref)</f>
      </c>
      <c r="Z50" s="56">
        <f>IF(AND(est_igh="OUI",decret2026),Z49,-0.315)</f>
      </c>
      <c r="AA50" s="56">
        <f>IF(AND(est_igh="OUI",decret2026),AA49,0.3-0.00015*sref)</f>
      </c>
      <c r="AB50" s="283">
        <f>IF(AND(est_igh="OUI",decret2026),AB49,0)</f>
      </c>
      <c r="AC50" s="283">
        <f>IF(AND(est_igh="OUI",decret2026),AC49,0)</f>
      </c>
      <c r="AD50" s="56">
        <f>IF(AND(est_igh="OUI",decret2026),AD49,0.3-0.00015*sref)</f>
      </c>
      <c r="AE50" s="283">
        <f>IF(AND(est_igh="OUI",decret2026),AE49,0)</f>
      </c>
    </row>
    <row r="51" spans="2:31" ht="17.649999999999999" thickBot="1">
      <c r="B51" s="8"/>
    </row>
    <row r="52" spans="2:31" ht="17.649999999999999" thickBot="1">
      <c r="B52" s="8"/>
      <c r="D52" s="26" t="s">
        <v>204</v>
      </c>
      <c r="E52" s="130">
        <f>HLOOKUP(usage,E53:V55,3,FALSE)</f>
        <v>0</v>
      </c>
    </row>
    <row r="53" spans="2:31" ht="17.25">
      <c r="B53" s="8"/>
      <c r="E53" s="414" t="str">
        <f>Enumération!C33</f>
        <v>Maisons_individuelles_ou_accolées</v>
      </c>
      <c r="F53" s="110" t="str">
        <f>Enumération!D33</f>
        <v>Logement_collectif</v>
      </c>
      <c r="G53" s="110" t="str">
        <f>Enumération!E33</f>
        <v>Bureaux</v>
      </c>
      <c r="H53" s="110" t="str">
        <f>Enumération!F33</f>
        <v>Enseignement_primaire_ou_secondaire</v>
      </c>
      <c r="I53" s="287" t="str">
        <f>Enumération!G33</f>
        <v>Médiathèques_et_bibliothèques</v>
      </c>
      <c r="J53" s="287" t="str">
        <f>Enumération!H33</f>
        <v>Bâtiments_universitaires_d'enseignement_et_de_recherche_et_bâtiments_d’enseignements_atypiques</v>
      </c>
      <c r="K53" s="287" t="str">
        <f>Enumération!I33</f>
        <v>Hôtels</v>
      </c>
      <c r="L53" s="287" t="str">
        <f>Enumération!J33</f>
        <v>Etablissements_d'accueil_de_la_petite_enfance </v>
      </c>
      <c r="M53" s="287" t="str">
        <f>Enumération!K33</f>
        <v>Restaurants</v>
      </c>
      <c r="N53" s="287" t="str">
        <f>Enumération!L33</f>
        <v>Commerces</v>
      </c>
      <c r="O53" s="287" t="str">
        <f>Enumération!M33</f>
        <v>Vestiaires seuls</v>
      </c>
      <c r="P53" s="287" t="str">
        <f>Enumération!N33</f>
        <v>Etablissements_sanitaires_avec_hébergement</v>
      </c>
      <c r="Q53" s="287" t="str">
        <f>Enumération!O33</f>
        <v>Etablissements_de_santé</v>
      </c>
      <c r="R53" s="287" t="str">
        <f>Enumération!P33</f>
        <v>Aérogares</v>
      </c>
      <c r="S53" s="287" t="str">
        <f>Enumération!Q33</f>
        <v>Industries_ou_artisanats</v>
      </c>
      <c r="T53" s="287" t="str">
        <f>Enumération!R33</f>
        <v>Etablissements_sportifs_municipaux_ou_scolaires</v>
      </c>
      <c r="U53" s="287" t="str">
        <f>Enumération!S33</f>
        <v>Restaurants_scolaires</v>
      </c>
      <c r="V53" s="287" t="str">
        <f>Enumération!T33</f>
        <v>Etablissements_sportifs_privés</v>
      </c>
    </row>
    <row r="54" spans="2:31" ht="17.25">
      <c r="B54" s="8"/>
      <c r="E54" s="24">
        <v>40</v>
      </c>
      <c r="F54" s="24">
        <v>40</v>
      </c>
      <c r="G54" s="24">
        <v>40</v>
      </c>
      <c r="H54" s="24">
        <v>60</v>
      </c>
      <c r="I54" s="24">
        <v>60</v>
      </c>
      <c r="J54" s="24">
        <v>60</v>
      </c>
      <c r="K54" s="24">
        <v>40</v>
      </c>
      <c r="L54" s="24">
        <v>60</v>
      </c>
      <c r="M54" s="24">
        <v>40</v>
      </c>
      <c r="N54" s="24">
        <v>40</v>
      </c>
      <c r="O54" s="24">
        <v>40</v>
      </c>
      <c r="P54" s="24">
        <v>40</v>
      </c>
      <c r="Q54" s="24">
        <v>40</v>
      </c>
      <c r="R54" s="24">
        <v>100</v>
      </c>
      <c r="S54" s="24">
        <v>40</v>
      </c>
      <c r="T54" s="24">
        <v>60</v>
      </c>
      <c r="U54" s="24">
        <v>40</v>
      </c>
      <c r="V54" s="24">
        <v>60</v>
      </c>
    </row>
    <row r="55" spans="2:31" ht="17.25">
      <c r="B55" s="8"/>
      <c r="E55" s="288">
        <f t="shared" ref="E55:V55" si="8">IF(iclot2&lt;=E54,0,iclot2-E54)</f>
        <v>0</v>
      </c>
      <c r="F55" s="288">
        <f t="shared" si="8"/>
        <v>0</v>
      </c>
      <c r="G55" s="288">
        <f t="shared" si="8"/>
        <v>0</v>
      </c>
      <c r="H55" s="288">
        <f t="shared" si="8"/>
        <v>0</v>
      </c>
      <c r="I55" s="288">
        <f t="shared" si="8"/>
        <v>0</v>
      </c>
      <c r="J55" s="288">
        <f t="shared" si="8"/>
        <v>0</v>
      </c>
      <c r="K55" s="288">
        <f t="shared" si="8"/>
        <v>0</v>
      </c>
      <c r="L55" s="288">
        <f t="shared" si="8"/>
        <v>0</v>
      </c>
      <c r="M55" s="288">
        <f t="shared" si="8"/>
        <v>0</v>
      </c>
      <c r="N55" s="288">
        <f t="shared" si="8"/>
        <v>0</v>
      </c>
      <c r="O55" s="288">
        <f t="shared" si="8"/>
        <v>0</v>
      </c>
      <c r="P55" s="288">
        <f t="shared" si="8"/>
        <v>0</v>
      </c>
      <c r="Q55" s="288">
        <f t="shared" si="8"/>
        <v>0</v>
      </c>
      <c r="R55" s="288">
        <f t="shared" si="8"/>
        <v>0</v>
      </c>
      <c r="S55" s="288">
        <f t="shared" si="8"/>
        <v>0</v>
      </c>
      <c r="T55" s="288">
        <f t="shared" si="8"/>
        <v>0</v>
      </c>
      <c r="U55" s="288">
        <f t="shared" si="8"/>
        <v>0</v>
      </c>
      <c r="V55" s="288">
        <f t="shared" si="8"/>
        <v>0</v>
      </c>
    </row>
    <row r="56" spans="2:31" ht="17.649999999999999" thickBot="1">
      <c r="B56" s="8"/>
    </row>
    <row r="57" spans="2:31" ht="17.649999999999999" thickBot="1">
      <c r="B57" s="8"/>
      <c r="D57" s="26" t="s">
        <v>205</v>
      </c>
      <c r="E57" s="130">
        <f>HLOOKUP(usage,E58:V60,3,FALSE)</f>
        <v>0</v>
      </c>
    </row>
    <row r="58" spans="2:31">
      <c r="B58" s="31"/>
      <c r="E58" s="414" t="str">
        <f>Enumération!C33</f>
        <v>Maisons_individuelles_ou_accolées</v>
      </c>
      <c r="F58" s="110" t="str">
        <f>Enumération!D33</f>
        <v>Logement_collectif</v>
      </c>
      <c r="G58" s="110" t="str">
        <f>Enumération!E33</f>
        <v>Bureaux</v>
      </c>
      <c r="H58" s="110" t="str">
        <f>Enumération!F33</f>
        <v>Enseignement_primaire_ou_secondaire</v>
      </c>
      <c r="I58" s="287" t="str">
        <f>Enumération!G33</f>
        <v>Médiathèques_et_bibliothèques</v>
      </c>
      <c r="J58" s="287" t="str">
        <f>Enumération!H33</f>
        <v>Bâtiments_universitaires_d'enseignement_et_de_recherche_et_bâtiments_d’enseignements_atypiques</v>
      </c>
      <c r="K58" s="287" t="str">
        <f>Enumération!I33</f>
        <v>Hôtels</v>
      </c>
      <c r="L58" s="287" t="str">
        <f>Enumération!J33</f>
        <v>Etablissements_d'accueil_de_la_petite_enfance </v>
      </c>
      <c r="M58" s="287" t="str">
        <f>Enumération!K33</f>
        <v>Restaurants</v>
      </c>
      <c r="N58" s="287" t="str">
        <f>Enumération!L33</f>
        <v>Commerces</v>
      </c>
      <c r="O58" s="287" t="str">
        <f>Enumération!M33</f>
        <v>Vestiaires seuls</v>
      </c>
      <c r="P58" s="287" t="str">
        <f>Enumération!N33</f>
        <v>Etablissements_sanitaires_avec_hébergement</v>
      </c>
      <c r="Q58" s="287" t="str">
        <f>Enumération!O33</f>
        <v>Etablissements_de_santé</v>
      </c>
      <c r="R58" s="287" t="str">
        <f>Enumération!P33</f>
        <v>Aérogares</v>
      </c>
      <c r="S58" s="287" t="str">
        <f>Enumération!Q33</f>
        <v>Industries_ou_artisanats</v>
      </c>
      <c r="T58" s="287" t="str">
        <f>Enumération!R33</f>
        <v>Etablissements_sportifs_municipaux_ou_scolaires</v>
      </c>
      <c r="U58" s="287" t="str">
        <f>Enumération!S33</f>
        <v>Restaurants_scolaires</v>
      </c>
      <c r="V58" s="287" t="str">
        <f>Enumération!T33</f>
        <v>Etablissements_sportifs_privés</v>
      </c>
    </row>
    <row r="59" spans="2:31">
      <c r="B59" s="31"/>
      <c r="E59" s="24">
        <v>20</v>
      </c>
      <c r="F59" s="24">
        <v>10</v>
      </c>
      <c r="G59" s="24">
        <v>10</v>
      </c>
      <c r="H59" s="24">
        <v>20</v>
      </c>
      <c r="I59" s="24">
        <v>20</v>
      </c>
      <c r="J59" s="24">
        <v>20</v>
      </c>
      <c r="K59" s="24">
        <v>10</v>
      </c>
      <c r="L59" s="24">
        <v>20</v>
      </c>
      <c r="M59" s="24">
        <v>10</v>
      </c>
      <c r="N59" s="24">
        <v>10</v>
      </c>
      <c r="O59" s="24">
        <v>10</v>
      </c>
      <c r="P59" s="24">
        <v>10</v>
      </c>
      <c r="Q59" s="24">
        <v>10</v>
      </c>
      <c r="R59" s="24">
        <v>10</v>
      </c>
      <c r="S59" s="24">
        <v>10</v>
      </c>
      <c r="T59" s="24">
        <v>20</v>
      </c>
      <c r="U59" s="24">
        <v>10</v>
      </c>
      <c r="V59" s="24">
        <v>20</v>
      </c>
    </row>
    <row r="60" spans="2:31">
      <c r="B60" s="31"/>
      <c r="E60" s="288">
        <f t="shared" ref="E60:V60" si="9">IF(iclot1&lt;=E59,0,iclot1-E59)</f>
        <v>0</v>
      </c>
      <c r="F60" s="288">
        <f t="shared" si="9"/>
        <v>0</v>
      </c>
      <c r="G60" s="288">
        <f t="shared" si="9"/>
        <v>0</v>
      </c>
      <c r="H60" s="288">
        <f t="shared" si="9"/>
        <v>0</v>
      </c>
      <c r="I60" s="288">
        <f t="shared" si="9"/>
        <v>0</v>
      </c>
      <c r="J60" s="288">
        <f t="shared" si="9"/>
        <v>0</v>
      </c>
      <c r="K60" s="288">
        <f t="shared" si="9"/>
        <v>0</v>
      </c>
      <c r="L60" s="288">
        <f t="shared" si="9"/>
        <v>0</v>
      </c>
      <c r="M60" s="288">
        <f t="shared" si="9"/>
        <v>0</v>
      </c>
      <c r="N60" s="288">
        <f t="shared" si="9"/>
        <v>0</v>
      </c>
      <c r="O60" s="288">
        <f t="shared" si="9"/>
        <v>0</v>
      </c>
      <c r="P60" s="288">
        <f t="shared" si="9"/>
        <v>0</v>
      </c>
      <c r="Q60" s="288">
        <f t="shared" si="9"/>
        <v>0</v>
      </c>
      <c r="R60" s="288">
        <f t="shared" si="9"/>
        <v>0</v>
      </c>
      <c r="S60" s="288">
        <f t="shared" si="9"/>
        <v>0</v>
      </c>
      <c r="T60" s="288">
        <f t="shared" si="9"/>
        <v>0</v>
      </c>
      <c r="U60" s="288">
        <f t="shared" si="9"/>
        <v>0</v>
      </c>
      <c r="V60" s="288">
        <f t="shared" si="9"/>
        <v>0</v>
      </c>
    </row>
    <row r="61" spans="2:31" ht="14.65" thickBot="1"/>
    <row r="62" spans="2:31" ht="14.65" thickBot="1">
      <c r="D62" s="26" t="s">
        <v>206</v>
      </c>
      <c r="E62" s="130">
        <f>IF(iclot13&lt;=20,0,iclot13-20)</f>
        <v>0</v>
      </c>
    </row>
    <row r="65" spans="2:44" ht="14.65" thickBot="1">
      <c r="F65" s="412" t="s">
        <v>405</v>
      </c>
    </row>
    <row r="66" spans="2:44" ht="14.65" thickBot="1">
      <c r="D66" s="26" t="s">
        <v>207</v>
      </c>
      <c r="E66" s="415">
        <f>HLOOKUP("ICI",E69:AR70,2,FALSE)</f>
        <v>0</v>
      </c>
      <c r="F66" s="102">
        <f>HLOOKUP("ICI",E69:AR71,3,FALSE)</f>
        <v>250</v>
      </c>
    </row>
    <row r="67" spans="2:44">
      <c r="D67" s="39" t="s">
        <v>236</v>
      </c>
      <c r="E67" s="107" t="str">
        <f>D5</f>
        <v>Maisons_individuelles_ou_accolées</v>
      </c>
      <c r="F67" s="108" t="str">
        <f>E67</f>
        <v>Maisons_individuelles_ou_accolées</v>
      </c>
      <c r="G67" s="109" t="str">
        <f>F67</f>
        <v>Maisons_individuelles_ou_accolées</v>
      </c>
      <c r="H67" s="107" t="str">
        <f>D6</f>
        <v>Logement_collectif</v>
      </c>
      <c r="I67" s="108" t="str">
        <f>H67</f>
        <v>Logement_collectif</v>
      </c>
      <c r="J67" s="109" t="str">
        <f>I67</f>
        <v>Logement_collectif</v>
      </c>
      <c r="K67" s="59" t="str">
        <f>D7</f>
        <v>Bureaux</v>
      </c>
      <c r="L67" s="103" t="str">
        <f>K67</f>
        <v>Bureaux</v>
      </c>
      <c r="M67" s="60" t="str">
        <f>L67</f>
        <v>Bureaux</v>
      </c>
      <c r="N67" s="123" t="str">
        <f>D8</f>
        <v>Enseignement_primaire_ou_secondaire</v>
      </c>
      <c r="O67" s="122" t="str">
        <f>N67</f>
        <v>Enseignement_primaire_ou_secondaire</v>
      </c>
      <c r="P67" s="121" t="str">
        <f>O67</f>
        <v>Enseignement_primaire_ou_secondaire</v>
      </c>
      <c r="Q67" s="290" t="str">
        <f>Enumération!G33</f>
        <v>Médiathèques_et_bibliothèques</v>
      </c>
      <c r="R67" s="291" t="str">
        <f>Q67</f>
        <v>Médiathèques_et_bibliothèques</v>
      </c>
      <c r="S67" s="290" t="str">
        <f>Enumération!H33</f>
        <v>Bâtiments_universitaires_d'enseignement_et_de_recherche_et_bâtiments_d’enseignements_atypiques</v>
      </c>
      <c r="T67" s="291" t="str">
        <f>S67</f>
        <v>Bâtiments_universitaires_d'enseignement_et_de_recherche_et_bâtiments_d’enseignements_atypiques</v>
      </c>
      <c r="U67" s="290" t="str">
        <f>Enumération!I33</f>
        <v>Hôtels</v>
      </c>
      <c r="V67" s="291" t="str">
        <f>U67</f>
        <v>Hôtels</v>
      </c>
      <c r="W67" s="290" t="str">
        <f>Enumération!J33</f>
        <v>Etablissements_d'accueil_de_la_petite_enfance </v>
      </c>
      <c r="X67" s="291" t="str">
        <f>W67</f>
        <v>Etablissements_d'accueil_de_la_petite_enfance </v>
      </c>
      <c r="Y67" s="290" t="str">
        <f>Enumération!K33</f>
        <v>Restaurants</v>
      </c>
      <c r="Z67" s="291" t="str">
        <f>Y67</f>
        <v>Restaurants</v>
      </c>
      <c r="AA67" s="290" t="str">
        <f>Enumération!L33</f>
        <v>Commerces</v>
      </c>
      <c r="AB67" s="291" t="str">
        <f>AA67</f>
        <v>Commerces</v>
      </c>
      <c r="AC67" s="290" t="str">
        <f>Enumération!M33</f>
        <v>Vestiaires seuls</v>
      </c>
      <c r="AD67" s="291" t="str">
        <f>AC67</f>
        <v>Vestiaires seuls</v>
      </c>
      <c r="AE67" s="290" t="str">
        <f>Enumération!N33</f>
        <v>Etablissements_sanitaires_avec_hébergement</v>
      </c>
      <c r="AF67" s="291" t="str">
        <f>AE67</f>
        <v>Etablissements_sanitaires_avec_hébergement</v>
      </c>
      <c r="AG67" s="508" t="str">
        <f>Enumération!O33</f>
        <v>Etablissements_de_santé</v>
      </c>
      <c r="AH67" s="509" t="str">
        <f>AG67</f>
        <v>Etablissements_de_santé</v>
      </c>
      <c r="AI67" s="290" t="str">
        <f>Enumération!P33</f>
        <v>Aérogares</v>
      </c>
      <c r="AJ67" s="291" t="str">
        <f>AI67</f>
        <v>Aérogares</v>
      </c>
      <c r="AK67" s="290" t="str">
        <f>Enumération!Q33</f>
        <v>Industries_ou_artisanats</v>
      </c>
      <c r="AL67" s="291" t="str">
        <f>AK67</f>
        <v>Industries_ou_artisanats</v>
      </c>
      <c r="AM67" s="290" t="str">
        <f>Enumération!R33</f>
        <v>Etablissements_sportifs_municipaux_ou_scolaires</v>
      </c>
      <c r="AN67" s="291" t="str">
        <f>AM67</f>
        <v>Etablissements_sportifs_municipaux_ou_scolaires</v>
      </c>
      <c r="AO67" s="290" t="str">
        <f>Enumération!S33</f>
        <v>Restaurants_scolaires</v>
      </c>
      <c r="AP67" s="291" t="str">
        <f>AO67</f>
        <v>Restaurants_scolaires</v>
      </c>
      <c r="AQ67" s="290" t="str">
        <f>Enumération!T33</f>
        <v>Etablissements_sportifs_privés</v>
      </c>
      <c r="AR67" s="291" t="str">
        <f>AQ67</f>
        <v>Etablissements_sportifs_privés</v>
      </c>
    </row>
    <row r="68" spans="2:44">
      <c r="D68" s="40" t="str">
        <f>IF(OR(Input_resultats!E15=G4,Input_resultats!E15=H4),"2028 et plus",Input_resultats!E15)</f>
        <v>2025 à 2027</v>
      </c>
      <c r="E68" s="99" t="str">
        <f>E4</f>
        <v>2022 à 2024</v>
      </c>
      <c r="F68" s="19" t="str">
        <f>F4</f>
        <v>2025 à 2027</v>
      </c>
      <c r="G68" s="100" t="s">
        <v>193</v>
      </c>
      <c r="H68" s="99" t="str">
        <f t="shared" ref="H68:P68" si="10">E68</f>
        <v>2022 à 2024</v>
      </c>
      <c r="I68" s="19" t="str">
        <f t="shared" si="10"/>
        <v>2025 à 2027</v>
      </c>
      <c r="J68" s="100" t="str">
        <f t="shared" si="10"/>
        <v>2028 et plus</v>
      </c>
      <c r="K68" s="99" t="str">
        <f t="shared" si="10"/>
        <v>2022 à 2024</v>
      </c>
      <c r="L68" s="19" t="str">
        <f t="shared" si="10"/>
        <v>2025 à 2027</v>
      </c>
      <c r="M68" s="100" t="str">
        <f t="shared" si="10"/>
        <v>2028 et plus</v>
      </c>
      <c r="N68" s="99" t="str">
        <f t="shared" si="10"/>
        <v>2022 à 2024</v>
      </c>
      <c r="O68" s="19" t="str">
        <f t="shared" si="10"/>
        <v>2025 à 2027</v>
      </c>
      <c r="P68" s="100" t="str">
        <f t="shared" si="10"/>
        <v>2028 et plus</v>
      </c>
      <c r="Q68" s="99" t="s">
        <v>192</v>
      </c>
      <c r="R68" s="100" t="s">
        <v>193</v>
      </c>
      <c r="S68" s="99" t="s">
        <v>192</v>
      </c>
      <c r="T68" s="100" t="s">
        <v>193</v>
      </c>
      <c r="U68" s="99" t="s">
        <v>192</v>
      </c>
      <c r="V68" s="100" t="s">
        <v>193</v>
      </c>
      <c r="W68" s="99" t="s">
        <v>192</v>
      </c>
      <c r="X68" s="100" t="s">
        <v>193</v>
      </c>
      <c r="Y68" s="99" t="s">
        <v>192</v>
      </c>
      <c r="Z68" s="100" t="s">
        <v>193</v>
      </c>
      <c r="AA68" s="99" t="s">
        <v>192</v>
      </c>
      <c r="AB68" s="100" t="s">
        <v>193</v>
      </c>
      <c r="AC68" s="99" t="s">
        <v>192</v>
      </c>
      <c r="AD68" s="100" t="s">
        <v>193</v>
      </c>
      <c r="AE68" s="99" t="s">
        <v>192</v>
      </c>
      <c r="AF68" s="100" t="s">
        <v>193</v>
      </c>
      <c r="AG68" s="99" t="s">
        <v>192</v>
      </c>
      <c r="AH68" s="100" t="s">
        <v>193</v>
      </c>
      <c r="AI68" s="99" t="s">
        <v>192</v>
      </c>
      <c r="AJ68" s="100" t="s">
        <v>193</v>
      </c>
      <c r="AK68" s="99" t="s">
        <v>192</v>
      </c>
      <c r="AL68" s="100" t="s">
        <v>193</v>
      </c>
      <c r="AM68" s="99" t="s">
        <v>192</v>
      </c>
      <c r="AN68" s="100" t="s">
        <v>193</v>
      </c>
      <c r="AO68" s="99" t="s">
        <v>192</v>
      </c>
      <c r="AP68" s="100" t="s">
        <v>193</v>
      </c>
      <c r="AQ68" s="99" t="s">
        <v>192</v>
      </c>
      <c r="AR68" s="100" t="s">
        <v>193</v>
      </c>
    </row>
    <row r="69" spans="2:44">
      <c r="D69" s="38" t="s">
        <v>233</v>
      </c>
      <c r="E69" s="92" t="str">
        <f>IF(AND(Input_resultats!$E$4=E67,E68=$D$68),"ICI","NON")</f>
        <v>NON</v>
      </c>
      <c r="F69" s="18" t="str">
        <f>IF(AND(Input_resultats!$E$4=F67,F68=$D$68),"ICI","NON")</f>
        <v>NON</v>
      </c>
      <c r="G69" s="93" t="str">
        <f>IF(AND(Input_resultats!$E$4=G67,G68=$D$68),"ICI","NON")</f>
        <v>NON</v>
      </c>
      <c r="H69" s="92" t="str">
        <f>IF(AND(Input_resultats!$E$4=H67,H68=$D$68),"ICI","NON")</f>
        <v>NON</v>
      </c>
      <c r="I69" s="18" t="str">
        <f>IF(AND(Input_resultats!$E$4=I67,I68=$D$68),"ICI","NON")</f>
        <v>ICI</v>
      </c>
      <c r="J69" s="93" t="str">
        <f>IF(AND(Input_resultats!$E$4=J67,J68=$D$68),"ICI","NON")</f>
        <v>NON</v>
      </c>
      <c r="K69" s="92" t="str">
        <f>IF(AND(Input_resultats!$E$4=K67,K68=$D$68),"ICI","NON")</f>
        <v>NON</v>
      </c>
      <c r="L69" s="18" t="str">
        <f>IF(AND(Input_resultats!$E$4=L67,L68=$D$68),"ICI","NON")</f>
        <v>NON</v>
      </c>
      <c r="M69" s="93" t="str">
        <f>IF(AND(Input_resultats!$E$4=M67,M68=$D$68),"ICI","NON")</f>
        <v>NON</v>
      </c>
      <c r="N69" s="92" t="str">
        <f>IF(AND(Input_resultats!$E$4=N67,N68=$D$68),"ICI","NON")</f>
        <v>NON</v>
      </c>
      <c r="O69" s="18" t="str">
        <f>IF(AND(Input_resultats!$E$4=O67,O68=$D$68),"ICI","NON")</f>
        <v>NON</v>
      </c>
      <c r="P69" s="93" t="str">
        <f>IF(AND(Input_resultats!$E$4=P67,P68=$D$68),"ICI","NON")</f>
        <v>NON</v>
      </c>
      <c r="Q69" s="92" t="str">
        <f>IF(AND(Input_resultats!$E$4=Q67,Q68=$D$68),"ICI","NON")</f>
        <v>NON</v>
      </c>
      <c r="R69" s="93" t="str">
        <f>IF(AND(Input_resultats!$E$4=R67,R68=$D$68),"ICI","NON")</f>
        <v>NON</v>
      </c>
      <c r="S69" s="92" t="str">
        <f>IF(AND(Input_resultats!$E$4=S67,S68=$D$68),"ICI","NON")</f>
        <v>NON</v>
      </c>
      <c r="T69" s="93" t="str">
        <f>IF(AND(Input_resultats!$E$4=T67,T68=$D$68),"ICI","NON")</f>
        <v>NON</v>
      </c>
      <c r="U69" s="92" t="str">
        <f>IF(AND(Input_resultats!$E$4=U67,U68=$D$68),"ICI","NON")</f>
        <v>NON</v>
      </c>
      <c r="V69" s="93" t="str">
        <f>IF(AND(Input_resultats!$E$4=V67,V68=$D$68),"ICI","NON")</f>
        <v>NON</v>
      </c>
      <c r="W69" s="92" t="str">
        <f>IF(AND(Input_resultats!$E$4=W67,W68=$D$68),"ICI","NON")</f>
        <v>NON</v>
      </c>
      <c r="X69" s="93" t="str">
        <f>IF(AND(Input_resultats!$E$4=X67,X68=$D$68),"ICI","NON")</f>
        <v>NON</v>
      </c>
      <c r="Y69" s="92" t="str">
        <f>IF(AND(Input_resultats!$E$4=Y67,Y68=$D$68),"ICI","NON")</f>
        <v>NON</v>
      </c>
      <c r="Z69" s="93" t="str">
        <f>IF(AND(Input_resultats!$E$4=Z67,Z68=$D$68),"ICI","NON")</f>
        <v>NON</v>
      </c>
      <c r="AA69" s="92" t="str">
        <f>IF(AND(Input_resultats!$E$4=AA67,AA68=$D$68),"ICI","NON")</f>
        <v>NON</v>
      </c>
      <c r="AB69" s="93" t="str">
        <f>IF(AND(Input_resultats!$E$4=AB67,AB68=$D$68),"ICI","NON")</f>
        <v>NON</v>
      </c>
      <c r="AC69" s="92" t="str">
        <f>IF(AND(Input_resultats!$E$4=AC67,AC68=$D$68),"ICI","NON")</f>
        <v>NON</v>
      </c>
      <c r="AD69" s="93" t="str">
        <f>IF(AND(Input_resultats!$E$4=AD67,AD68=$D$68),"ICI","NON")</f>
        <v>NON</v>
      </c>
      <c r="AE69" s="92" t="str">
        <f>IF(AND(Input_resultats!$E$4=AE67,AE68=$D$68),"ICI","NON")</f>
        <v>NON</v>
      </c>
      <c r="AF69" s="93" t="str">
        <f>IF(AND(Input_resultats!$E$4=AF67,AF68=$D$68),"ICI","NON")</f>
        <v>NON</v>
      </c>
      <c r="AG69" s="92" t="str">
        <f>IF(AND(Input_resultats!$E$4=AG67,AG68=$D$68),"ICI","NON")</f>
        <v>NON</v>
      </c>
      <c r="AH69" s="93" t="str">
        <f>IF(AND(Input_resultats!$E$4=AH67,AH68=$D$68),"ICI","NON")</f>
        <v>NON</v>
      </c>
      <c r="AI69" s="92" t="str">
        <f>IF(AND(Input_resultats!$E$4=AI67,AI68=$D$68),"ICI","NON")</f>
        <v>NON</v>
      </c>
      <c r="AJ69" s="93" t="str">
        <f>IF(AND(Input_resultats!$E$4=AJ67,AJ68=$D$68),"ICI","NON")</f>
        <v>NON</v>
      </c>
      <c r="AK69" s="92" t="str">
        <f>IF(AND(Input_resultats!$E$4=AK67,AK68=$D$68),"ICI","NON")</f>
        <v>NON</v>
      </c>
      <c r="AL69" s="93" t="str">
        <f>IF(AND(Input_resultats!$E$4=AL67,AL68=$D$68),"ICI","NON")</f>
        <v>NON</v>
      </c>
      <c r="AM69" s="92" t="str">
        <f>IF(AND(Input_resultats!$E$4=AM67,AM68=$D$68),"ICI","NON")</f>
        <v>NON</v>
      </c>
      <c r="AN69" s="93" t="str">
        <f>IF(AND(Input_resultats!$E$4=AN67,AN68=$D$68),"ICI","NON")</f>
        <v>NON</v>
      </c>
      <c r="AO69" s="92" t="str">
        <f>IF(AND(Input_resultats!$E$4=AO67,AO68=$D$68),"ICI","NON")</f>
        <v>NON</v>
      </c>
      <c r="AP69" s="93" t="str">
        <f>IF(AND(Input_resultats!$E$4=AP67,AP68=$D$68),"ICI","NON")</f>
        <v>NON</v>
      </c>
      <c r="AQ69" s="92" t="str">
        <f>IF(AND(Input_resultats!$E$4=AQ67,AQ68=$D$68),"ICI","NON")</f>
        <v>NON</v>
      </c>
      <c r="AR69" s="93" t="str">
        <f>IF(AND(Input_resultats!$E$4=AR67,AR68=$D$68),"ICI","NON")</f>
        <v>NON</v>
      </c>
    </row>
    <row r="70" spans="2:44" ht="14.65" thickBot="1">
      <c r="D70" s="38" t="s">
        <v>235</v>
      </c>
      <c r="E70" s="104">
        <f>IF(icded&lt;=370,0,0.3*(icded-370))</f>
        <v>0</v>
      </c>
      <c r="F70" s="105">
        <v>0</v>
      </c>
      <c r="G70" s="106">
        <f>IF(icded&lt;=370,0,-0.3*(icded-370))</f>
        <v>0</v>
      </c>
      <c r="H70" s="104">
        <f>IF(icded&lt;=250,0,0.3*(icded-250))</f>
        <v>30</v>
      </c>
      <c r="I70" s="105">
        <v>0</v>
      </c>
      <c r="J70" s="106">
        <f>IF(icded&lt;=250,0,-0.3*(icded-250))</f>
        <v>-30</v>
      </c>
      <c r="K70" s="104">
        <f>IF(icded&lt;=275,0,0.3*(icded-275))</f>
        <v>22.5</v>
      </c>
      <c r="L70" s="105">
        <v>0</v>
      </c>
      <c r="M70" s="106">
        <f>IF(icded&lt;=275,0,-0.3*(icded-275))</f>
        <v>-22.5</v>
      </c>
      <c r="N70" s="104">
        <f>IF(icded&lt;=300,0,0.3*(icded-300))</f>
        <v>15</v>
      </c>
      <c r="O70" s="105">
        <v>0</v>
      </c>
      <c r="P70" s="106">
        <f>IF(icded&lt;=300,0,-0.3*(icded-300))</f>
        <v>-15</v>
      </c>
      <c r="Q70" s="104">
        <v>0</v>
      </c>
      <c r="R70" s="106">
        <f>IF(icded&lt;=R71,0,-0.3*(icded-R71))</f>
        <v>0</v>
      </c>
      <c r="S70" s="104">
        <v>0</v>
      </c>
      <c r="T70" s="106">
        <f>IF(icded&lt;=T71,0,-0.3*(icded-T71))</f>
        <v>-9</v>
      </c>
      <c r="U70" s="104">
        <v>0</v>
      </c>
      <c r="V70" s="106">
        <f>IF(icded&lt;=V71,0,-0.3*(icded-V71))</f>
        <v>-15</v>
      </c>
      <c r="W70" s="104">
        <v>0</v>
      </c>
      <c r="X70" s="106">
        <f>IF(icded&lt;=X71,0,-0.3*(icded-X71))</f>
        <v>0</v>
      </c>
      <c r="Y70" s="104">
        <v>0</v>
      </c>
      <c r="Z70" s="106">
        <f>IF(icded&lt;=Z71,0,-0.3*(icded-Z71))</f>
        <v>0</v>
      </c>
      <c r="AA70" s="104">
        <v>0</v>
      </c>
      <c r="AB70" s="106">
        <f>IF(icded&lt;=AB71,0,-0.3*(icded-AB71))</f>
        <v>0</v>
      </c>
      <c r="AC70" s="104">
        <v>0</v>
      </c>
      <c r="AD70" s="106">
        <f>IF(icded&lt;=AD71,0,-0.3*(icded-AD71))</f>
        <v>0</v>
      </c>
      <c r="AE70" s="104">
        <v>0</v>
      </c>
      <c r="AF70" s="106">
        <f>IF(icded&lt;=AF71,0,-0.3*(icded-AF71))</f>
        <v>0</v>
      </c>
      <c r="AG70" s="104">
        <v>0</v>
      </c>
      <c r="AH70" s="106">
        <f>IF(icded&lt;=AH71,0,-0.3*(icded-AH71))</f>
        <v>0</v>
      </c>
      <c r="AI70" s="104">
        <v>0</v>
      </c>
      <c r="AJ70" s="106">
        <f>IF(icded&lt;=AJ71,0,-0.3*(icded-AJ71))</f>
        <v>0</v>
      </c>
      <c r="AK70" s="104">
        <v>0</v>
      </c>
      <c r="AL70" s="106">
        <f>IF(icded&lt;=AL71,0,-0.3*(icded-AL71))</f>
        <v>0</v>
      </c>
      <c r="AM70" s="104">
        <v>0</v>
      </c>
      <c r="AN70" s="106">
        <f>IF(icded&lt;=AN71,0,-0.3*(icded-AN71))</f>
        <v>0</v>
      </c>
      <c r="AO70" s="104">
        <v>0</v>
      </c>
      <c r="AP70" s="106">
        <f>IF(icded&lt;=AP71,0,-0.3*(icded-AP71))</f>
        <v>0</v>
      </c>
      <c r="AQ70" s="104">
        <v>0</v>
      </c>
      <c r="AR70" s="106">
        <f>IF(icded&lt;=AR71,0,-0.3*(icded-AR71))</f>
        <v>0</v>
      </c>
    </row>
    <row r="71" spans="2:44">
      <c r="D71" s="38" t="s">
        <v>378</v>
      </c>
      <c r="E71" s="6">
        <v>370</v>
      </c>
      <c r="F71" s="6">
        <f>E71</f>
        <v>370</v>
      </c>
      <c r="G71" s="6">
        <f>F71</f>
        <v>370</v>
      </c>
      <c r="H71" s="6">
        <v>250</v>
      </c>
      <c r="I71" s="6">
        <f>H71</f>
        <v>250</v>
      </c>
      <c r="J71" s="6">
        <f>I71</f>
        <v>250</v>
      </c>
      <c r="K71" s="6">
        <v>275</v>
      </c>
      <c r="L71" s="6">
        <f>K71</f>
        <v>275</v>
      </c>
      <c r="M71" s="6">
        <f>L71</f>
        <v>275</v>
      </c>
      <c r="N71" s="6">
        <v>300</v>
      </c>
      <c r="O71" s="6">
        <f>N71</f>
        <v>300</v>
      </c>
      <c r="P71" s="6">
        <f>O71</f>
        <v>300</v>
      </c>
      <c r="Q71" s="6">
        <v>440</v>
      </c>
      <c r="R71" s="6">
        <v>440</v>
      </c>
      <c r="S71" s="6">
        <v>320</v>
      </c>
      <c r="T71" s="6">
        <v>320</v>
      </c>
      <c r="U71" s="6">
        <v>300</v>
      </c>
      <c r="V71" s="6">
        <v>300</v>
      </c>
      <c r="W71" s="6">
        <v>530</v>
      </c>
      <c r="X71" s="6">
        <v>530</v>
      </c>
      <c r="Y71" s="6">
        <v>480</v>
      </c>
      <c r="Z71" s="6">
        <v>480</v>
      </c>
      <c r="AA71" s="6">
        <v>580</v>
      </c>
      <c r="AB71" s="6">
        <v>580</v>
      </c>
      <c r="AC71" s="6">
        <v>580</v>
      </c>
      <c r="AD71" s="6">
        <v>580</v>
      </c>
      <c r="AE71" s="6">
        <v>580</v>
      </c>
      <c r="AF71" s="6">
        <v>580</v>
      </c>
      <c r="AG71" s="6">
        <v>580</v>
      </c>
      <c r="AH71" s="6">
        <v>580</v>
      </c>
      <c r="AI71" s="6">
        <v>665</v>
      </c>
      <c r="AJ71" s="6">
        <v>665</v>
      </c>
      <c r="AK71" s="6">
        <v>500</v>
      </c>
      <c r="AL71" s="6">
        <v>500</v>
      </c>
      <c r="AM71" s="6">
        <v>480</v>
      </c>
      <c r="AN71" s="6">
        <v>480</v>
      </c>
      <c r="AO71" s="6">
        <v>480</v>
      </c>
      <c r="AP71" s="6">
        <v>480</v>
      </c>
      <c r="AQ71" s="6">
        <f>AM71</f>
        <v>480</v>
      </c>
      <c r="AR71" s="6">
        <f>AN71</f>
        <v>480</v>
      </c>
    </row>
    <row r="74" spans="2:44" ht="14.65" thickBot="1">
      <c r="K74" s="36" t="s">
        <v>183</v>
      </c>
      <c r="M74" s="14" t="s">
        <v>451</v>
      </c>
    </row>
    <row r="75" spans="2:44" ht="14.65" thickBot="1">
      <c r="B75" s="482"/>
      <c r="C75" s="1"/>
      <c r="D75" s="483" t="s">
        <v>452</v>
      </c>
      <c r="E75" s="484">
        <f>IF(decret2026,HLOOKUP("ICI",E78:H79,2,FALSE),0)</f>
      </c>
    </row>
    <row r="76" spans="2:44">
      <c r="B76" s="482"/>
      <c r="C76" s="1"/>
      <c r="D76" s="1"/>
      <c r="E76" s="110" t="str">
        <f>H39</f>
        <v>Maisons_individuelles_ou_accolées</v>
      </c>
      <c r="F76" s="110" t="str">
        <f t="shared" ref="F76:G76" si="11">I39</f>
        <v>Logement_collectif</v>
      </c>
      <c r="G76" s="110" t="str">
        <f t="shared" si="11"/>
        <v>Logement_collectif</v>
      </c>
      <c r="H76" s="24" t="s">
        <v>396</v>
      </c>
    </row>
    <row r="77" spans="2:44" ht="28.5">
      <c r="B77" s="482"/>
      <c r="C77" s="1"/>
      <c r="D77" s="1"/>
      <c r="E77" s="24"/>
      <c r="F77" s="485" t="s">
        <v>453</v>
      </c>
      <c r="G77" s="485" t="s">
        <v>454</v>
      </c>
      <c r="H77" s="19"/>
    </row>
    <row r="78" spans="2:44">
      <c r="B78" s="482"/>
      <c r="C78" s="1"/>
      <c r="D78" s="1"/>
      <c r="E78" s="24" t="str">
        <f>IF(usage=E76,"ICI","NON")</f>
        <v>NON</v>
      </c>
      <c r="F78" s="24" t="str">
        <f>IF(AND(usage=F76,Sagrément/sref&lt;=0.1),"ICI","NON")</f>
        <v>NON</v>
      </c>
      <c r="G78" s="24" t="str">
        <f>IF(AND(usage=G76,Sagrément/sref&gt;0.1),"ICI","NON")</f>
        <v>ICI</v>
      </c>
      <c r="H78" s="24" t="str">
        <f>IF(AND(E78="NON",F78="NON",G78="NON"),"ICI","NON")</f>
        <v>NON</v>
      </c>
    </row>
    <row r="79" spans="2:44">
      <c r="B79" s="482"/>
      <c r="C79" s="1"/>
      <c r="D79" s="1"/>
      <c r="E79" s="25">
        <v>0</v>
      </c>
      <c r="F79" s="25">
        <v>0</v>
      </c>
      <c r="G79" s="25">
        <f>(MIN(Sagrément/sref,0.25)-0.1)*110</f>
        <v>3.4736842105263142</v>
      </c>
      <c r="H79" s="25">
        <v>0</v>
      </c>
    </row>
    <row r="80" spans="2:44" ht="14.65" thickBot="1">
      <c r="B80" s="482"/>
      <c r="C80" s="1"/>
      <c r="D80" s="1"/>
      <c r="E80" s="40"/>
    </row>
    <row r="81" spans="2:9" ht="14.65" thickBot="1">
      <c r="B81" s="482"/>
      <c r="C81" s="1"/>
      <c r="D81" s="483" t="s">
        <v>465</v>
      </c>
      <c r="E81" s="496">
        <f>IF(decret2026,HLOOKUP("ICI",E85:I86,2,FALSE),0)</f>
      </c>
    </row>
    <row r="82" spans="2:9">
      <c r="E82" s="495" t="str">
        <f>Enumération!C35</f>
        <v>Maisons_individuelles_ou_accolées</v>
      </c>
      <c r="F82" s="495" t="str">
        <f>Enumération!D35</f>
        <v>Maisons_individuelles_ou_accolées</v>
      </c>
      <c r="G82" s="495" t="str">
        <f>Enumération!E35</f>
        <v>Logement_collectif</v>
      </c>
      <c r="H82" s="495" t="str">
        <f>Enumération!F35</f>
        <v>Logement_collectif</v>
      </c>
      <c r="I82" s="24" t="s">
        <v>468</v>
      </c>
    </row>
    <row r="83" spans="2:9">
      <c r="E83" s="24" t="s">
        <v>466</v>
      </c>
      <c r="F83" s="24" t="s">
        <v>467</v>
      </c>
      <c r="G83" s="24" t="s">
        <v>466</v>
      </c>
      <c r="H83" s="24" t="s">
        <v>467</v>
      </c>
      <c r="I83" s="24"/>
    </row>
    <row r="84" spans="2:9">
      <c r="D84" s="38" t="s">
        <v>469</v>
      </c>
      <c r="E84" s="24" t="b">
        <f>HSPmoy&lt;=2.5</f>
        <v>0</v>
      </c>
      <c r="F84" s="24" t="b">
        <f>HSPmoy&gt;2.5</f>
        <v>1</v>
      </c>
      <c r="G84" s="24" t="b">
        <f>HSPmoy&lt;=2.5</f>
        <v>0</v>
      </c>
      <c r="H84" s="24" t="b">
        <f>HSPmoy&gt;2.5</f>
        <v>1</v>
      </c>
      <c r="I84" s="24"/>
    </row>
    <row r="85" spans="2:9">
      <c r="D85" s="38" t="s">
        <v>235</v>
      </c>
      <c r="E85" s="24" t="b">
        <f>IF(AND(E84,usage=E82),"ICI",FALSE)</f>
        <v>0</v>
      </c>
      <c r="F85" s="24" t="b">
        <f>IF(AND(F84,usage=F82),"ICI",FALSE)</f>
        <v>0</v>
      </c>
      <c r="G85" s="24" t="b">
        <f>IF(AND(G84,usage=G82),"ICI",FALSE)</f>
        <v>0</v>
      </c>
      <c r="H85" s="24" t="str">
        <f>IF(AND(H84,usage=H82),"ICI",FALSE)</f>
        <v>ICI</v>
      </c>
      <c r="I85" s="24" t="b">
        <f>IF(COUNTIF(E85:H85,"ICI")&gt;0,FALSE,"ICI")</f>
        <v>0</v>
      </c>
    </row>
    <row r="86" spans="2:9">
      <c r="E86" s="24">
        <v>0</v>
      </c>
      <c r="F86" s="24">
        <f>((MIN(HSPmoy,2.9)/2.5)-1)*95</f>
        <v>3.8000000000000034</v>
      </c>
      <c r="G86" s="24">
        <v>0</v>
      </c>
      <c r="H86" s="498">
        <f>((MIN(HSPmoy,2.9)/2.5)-1)*95</f>
        <v>3.8000000000000034</v>
      </c>
      <c r="I86" s="472">
        <v>0</v>
      </c>
    </row>
    <row r="87" spans="2:9" ht="14.65" thickBot="1"/>
    <row r="88" spans="2:9" ht="14.65" thickBot="1">
      <c r="D88" s="483" t="s">
        <v>477</v>
      </c>
      <c r="E88" s="503">
        <f>IF(decret2026,IF(AND(rcu="OUI",rcu_classe="OUI",climatisé="OUI"),F90,E90),0)</f>
      </c>
    </row>
    <row r="89" spans="2:9">
      <c r="E89" s="24" t="s">
        <v>478</v>
      </c>
      <c r="F89" s="24" t="str">
        <f>IF(AND(rcu="OUI",rcu_classe="OUI",climatisé="OUI"),"VRAI donc activé","si activé")</f>
        <v>si activé</v>
      </c>
    </row>
    <row r="90" spans="2:9">
      <c r="E90" s="24">
        <v>0</v>
      </c>
      <c r="F90" s="472">
        <v>25</v>
      </c>
    </row>
  </sheetData>
  <mergeCells count="20">
    <mergeCell ref="L3:M3"/>
    <mergeCell ref="G3:H3"/>
    <mergeCell ref="E26:G26"/>
    <mergeCell ref="H26:J26"/>
    <mergeCell ref="K26:M26"/>
    <mergeCell ref="N26:P26"/>
    <mergeCell ref="Q26:S26"/>
    <mergeCell ref="T26:V26"/>
    <mergeCell ref="W26:Y26"/>
    <mergeCell ref="Z26:AB26"/>
    <mergeCell ref="AC26:AE26"/>
    <mergeCell ref="AF26:AH26"/>
    <mergeCell ref="AX26:AZ26"/>
    <mergeCell ref="BA26:BC26"/>
    <mergeCell ref="BD26:BF26"/>
    <mergeCell ref="AI26:AK26"/>
    <mergeCell ref="AL26:AN26"/>
    <mergeCell ref="AO26:AQ26"/>
    <mergeCell ref="AR26:AT26"/>
    <mergeCell ref="AU26:AW26"/>
  </mergeCells>
  <phoneticPr fontId="5" type="noConversion"/>
  <conditionalFormatting sqref="E89">
    <cfRule type="expression" dxfId="34" priority="3">
      <formula>NOT(AND(rcu="OUI",rcu_classe="OUI",climatisé="OUI"))</formula>
    </cfRule>
  </conditionalFormatting>
  <conditionalFormatting sqref="E76:H76">
    <cfRule type="cellIs" dxfId="32" priority="8" operator="equal">
      <formula>usage</formula>
    </cfRule>
  </conditionalFormatting>
  <conditionalFormatting sqref="E78:H78">
    <cfRule type="cellIs" dxfId="31" priority="7" operator="equal">
      <formula>"ICI"</formula>
    </cfRule>
  </conditionalFormatting>
  <conditionalFormatting sqref="E82:I82">
    <cfRule type="cellIs" dxfId="30" priority="6" operator="equal">
      <formula>usage</formula>
    </cfRule>
  </conditionalFormatting>
  <conditionalFormatting sqref="E54:V54">
    <cfRule type="cellIs" dxfId="28" priority="17" operator="equal">
      <formula>Plage_depotpc_ic_energie</formula>
    </cfRule>
  </conditionalFormatting>
  <conditionalFormatting sqref="E59:V59">
    <cfRule type="cellIs" dxfId="26" priority="15" operator="equal">
      <formula>Plage_depotpc_ic_energie</formula>
    </cfRule>
  </conditionalFormatting>
  <conditionalFormatting sqref="E69:AR69 E85:I85">
    <cfRule type="cellIs" dxfId="24" priority="24" operator="equal">
      <formula>"ICI"</formula>
    </cfRule>
  </conditionalFormatting>
  <conditionalFormatting sqref="F89">
    <cfRule type="expression" dxfId="22" priority="2">
      <formula>AND(rcu="OUI",rcu_classe="OUI",climatisé="OUI")</formula>
    </cfRule>
  </conditionalFormatting>
  <conditionalFormatting sqref="G42:Z42">
    <cfRule type="cellIs" dxfId="20" priority="32" operator="equal">
      <formula>"ICI"</formula>
    </cfRule>
  </conditionalFormatting>
  <conditionalFormatting sqref="G48:AE49">
    <cfRule type="cellIs" dxfId="18" priority="33" operator="equal">
      <formula>"ICI"</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30" operator="equal" id="{5DA31690-00EE-407D-8AFD-BCD1A5197BB7}">
            <xm:f>Input_resultats!$E$4</xm:f>
            <x14:dxf>
              <fill>
                <patternFill>
                  <bgColor theme="5" tint="0.79998168889431442"/>
                </patternFill>
              </fill>
            </x14:dxf>
          </x14:cfRule>
          <xm:sqref>D5:D22</xm:sqref>
        </x14:conditionalFormatting>
        <x14:conditionalFormatting xmlns:xm="http://schemas.microsoft.com/office/excel/2006/main">
          <x14:cfRule type="cellIs" priority="27" operator="equal" id="{88BF09EF-70C7-4A4C-9A7D-BE0C7F03A93F}">
            <xm:f>Input_resultats!$E$8</xm:f>
            <x14:dxf>
              <fill>
                <patternFill>
                  <bgColor theme="5" tint="0.79998168889431442"/>
                </patternFill>
              </fill>
            </x14:dxf>
          </x14:cfRule>
          <xm:sqref>D28:D35</xm:sqref>
        </x14:conditionalFormatting>
        <x14:conditionalFormatting xmlns:xm="http://schemas.microsoft.com/office/excel/2006/main">
          <x14:cfRule type="cellIs" priority="29" operator="equal" id="{6A7EEAEE-DE13-4F8C-8A45-CE0FDD22AF45}">
            <xm:f>Input_resultats!$E$15</xm:f>
            <x14:dxf>
              <fill>
                <patternFill>
                  <bgColor theme="5" tint="0.79998168889431442"/>
                </patternFill>
              </fill>
            </x14:dxf>
          </x14:cfRule>
          <xm:sqref>E4:H4</xm:sqref>
        </x14:conditionalFormatting>
        <x14:conditionalFormatting xmlns:xm="http://schemas.microsoft.com/office/excel/2006/main">
          <x14:cfRule type="cellIs" priority="16" operator="equal" id="{871F9820-68F5-48DC-9ADD-C026A3B3D1F2}">
            <xm:f>Input_resultats!$E$4</xm:f>
            <x14:dxf>
              <font>
                <color rgb="FF9C5700"/>
              </font>
              <fill>
                <patternFill>
                  <bgColor rgb="FFFFEB9C"/>
                </patternFill>
              </fill>
            </x14:dxf>
          </x14:cfRule>
          <xm:sqref>E53:V53</xm:sqref>
        </x14:conditionalFormatting>
        <x14:conditionalFormatting xmlns:xm="http://schemas.microsoft.com/office/excel/2006/main">
          <x14:cfRule type="cellIs" priority="14" operator="equal" id="{71073816-2A00-4F9D-9260-B128F1B588AD}">
            <xm:f>Input_resultats!$E$4</xm:f>
            <x14:dxf>
              <font>
                <color rgb="FF9C5700"/>
              </font>
              <fill>
                <patternFill>
                  <bgColor rgb="FFFFEB9C"/>
                </patternFill>
              </fill>
            </x14:dxf>
          </x14:cfRule>
          <xm:sqref>E58:V58</xm:sqref>
        </x14:conditionalFormatting>
        <x14:conditionalFormatting xmlns:xm="http://schemas.microsoft.com/office/excel/2006/main">
          <x14:cfRule type="cellIs" priority="12" operator="equal" id="{49D3ED10-A578-465E-90A9-CD718DEE865D}">
            <xm:f>Input_resultats!$E$4</xm:f>
            <x14:dxf>
              <font>
                <color rgb="FF9C5700"/>
              </font>
              <fill>
                <patternFill>
                  <bgColor rgb="FFFFEB9C"/>
                </patternFill>
              </fill>
            </x14:dxf>
          </x14:cfRule>
          <xm:sqref>E67:AR67</xm:sqref>
        </x14:conditionalFormatting>
        <x14:conditionalFormatting xmlns:xm="http://schemas.microsoft.com/office/excel/2006/main">
          <x14:cfRule type="cellIs" priority="21" operator="equal" id="{B5977202-D003-4FF0-AF49-A30992A1627A}">
            <xm:f>Input_resultats!$E$4</xm:f>
            <x14:dxf>
              <font>
                <color rgb="FF9C5700"/>
              </font>
              <fill>
                <patternFill>
                  <bgColor rgb="FFFFEB9C"/>
                </patternFill>
              </fill>
            </x14:dxf>
          </x14:cfRule>
          <xm:sqref>E26:BF26</xm:sqref>
        </x14:conditionalFormatting>
        <x14:conditionalFormatting xmlns:xm="http://schemas.microsoft.com/office/excel/2006/main">
          <x14:cfRule type="cellIs" priority="10" operator="equal" id="{EB0F67C1-10DB-4E98-853A-EEAFA7E2F229}">
            <xm:f>Input_resultats!$E$4</xm:f>
            <x14:dxf>
              <font>
                <color rgb="FF9C5700"/>
              </font>
              <fill>
                <patternFill>
                  <bgColor rgb="FFFFEB9C"/>
                </patternFill>
              </fill>
            </x14:dxf>
          </x14:cfRule>
          <xm:sqref>G39:Z39</xm:sqref>
        </x14:conditionalFormatting>
        <x14:conditionalFormatting xmlns:xm="http://schemas.microsoft.com/office/excel/2006/main">
          <x14:cfRule type="cellIs" priority="11" operator="equal" id="{6A403631-F250-4083-B91C-2B54987C41E5}">
            <xm:f>Input_resultats!$E$4</xm:f>
            <x14:dxf>
              <font>
                <color rgb="FF9C5700"/>
              </font>
              <fill>
                <patternFill>
                  <bgColor rgb="FFFFEB9C"/>
                </patternFill>
              </fill>
            </x14:dxf>
          </x14:cfRule>
          <xm:sqref>G45:AE45</xm:sqref>
        </x14:conditionalFormatting>
        <x14:conditionalFormatting xmlns:xm="http://schemas.microsoft.com/office/excel/2006/main">
          <x14:cfRule type="cellIs" priority="9" operator="equal" id="{32817FFF-4DCD-42A5-BBE9-3E621C2D1333}">
            <xm:f>Input_resultats!$E$15</xm:f>
            <x14:dxf>
              <fill>
                <patternFill>
                  <bgColor theme="5" tint="0.79998168889431442"/>
                </patternFill>
              </fill>
            </x14:dxf>
          </x14:cfRule>
          <xm:sqref>L4:M4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CF47-8EDE-4C1B-B3EF-43C090EECE6A}">
  <sheetPr>
    <tabColor theme="1" tint="0.499984740745262"/>
  </sheetPr>
  <dimension ref="A1:D99"/>
  <sheetViews>
    <sheetView workbookViewId="0">
      <selection activeCell="G34" sqref="G34"/>
    </sheetView>
  </sheetViews>
  <sheetFormatPr baseColWidth="10" defaultColWidth="10.9296875" defaultRowHeight="14.25"/>
  <cols>
    <col min="1" max="1" width="23.796875" style="1" bestFit="1" customWidth="1"/>
    <col min="2" max="2" width="10.9296875" style="1"/>
    <col min="3" max="3" width="13.265625" style="1" customWidth="1"/>
    <col min="4" max="16384" width="10.9296875" style="1"/>
  </cols>
  <sheetData>
    <row r="1" spans="1:4">
      <c r="A1" t="s">
        <v>37</v>
      </c>
      <c r="B1" t="s">
        <v>151</v>
      </c>
      <c r="C1" t="s">
        <v>152</v>
      </c>
      <c r="D1" t="s">
        <v>153</v>
      </c>
    </row>
    <row r="2" spans="1:4">
      <c r="A2" t="s">
        <v>159</v>
      </c>
      <c r="B2" t="s">
        <v>159</v>
      </c>
      <c r="C2" t="s">
        <v>159</v>
      </c>
      <c r="D2" t="s">
        <v>159</v>
      </c>
    </row>
    <row r="3" spans="1:4">
      <c r="A3" t="s">
        <v>43</v>
      </c>
      <c r="B3">
        <v>1</v>
      </c>
      <c r="C3" t="s">
        <v>44</v>
      </c>
      <c r="D3" t="s">
        <v>36</v>
      </c>
    </row>
    <row r="4" spans="1:4">
      <c r="A4" t="s">
        <v>45</v>
      </c>
      <c r="B4">
        <v>2</v>
      </c>
      <c r="C4" t="s">
        <v>46</v>
      </c>
      <c r="D4" t="s">
        <v>34</v>
      </c>
    </row>
    <row r="5" spans="1:4">
      <c r="A5" t="s">
        <v>43</v>
      </c>
      <c r="B5">
        <v>3</v>
      </c>
      <c r="C5" t="s">
        <v>47</v>
      </c>
      <c r="D5" t="s">
        <v>36</v>
      </c>
    </row>
    <row r="6" spans="1:4">
      <c r="A6" t="s">
        <v>48</v>
      </c>
      <c r="B6">
        <v>4</v>
      </c>
      <c r="C6" t="s">
        <v>49</v>
      </c>
      <c r="D6" t="s">
        <v>38</v>
      </c>
    </row>
    <row r="7" spans="1:4">
      <c r="A7" t="s">
        <v>48</v>
      </c>
      <c r="B7">
        <v>6</v>
      </c>
      <c r="C7" t="s">
        <v>51</v>
      </c>
      <c r="D7" t="s">
        <v>39</v>
      </c>
    </row>
    <row r="8" spans="1:4">
      <c r="A8" t="s">
        <v>43</v>
      </c>
      <c r="B8">
        <v>7</v>
      </c>
      <c r="C8" t="s">
        <v>52</v>
      </c>
      <c r="D8" t="s">
        <v>38</v>
      </c>
    </row>
    <row r="9" spans="1:4">
      <c r="A9" t="s">
        <v>53</v>
      </c>
      <c r="B9">
        <v>8</v>
      </c>
      <c r="C9" t="s">
        <v>54</v>
      </c>
      <c r="D9" t="s">
        <v>35</v>
      </c>
    </row>
    <row r="10" spans="1:4">
      <c r="A10" t="s">
        <v>55</v>
      </c>
      <c r="B10">
        <v>9</v>
      </c>
      <c r="C10" t="s">
        <v>56</v>
      </c>
      <c r="D10" t="s">
        <v>40</v>
      </c>
    </row>
    <row r="11" spans="1:4">
      <c r="A11" t="s">
        <v>53</v>
      </c>
      <c r="B11">
        <v>10</v>
      </c>
      <c r="C11" t="s">
        <v>57</v>
      </c>
      <c r="D11" t="s">
        <v>35</v>
      </c>
    </row>
    <row r="12" spans="1:4">
      <c r="A12" t="s">
        <v>55</v>
      </c>
      <c r="B12">
        <v>11</v>
      </c>
      <c r="C12" t="s">
        <v>58</v>
      </c>
      <c r="D12" t="s">
        <v>39</v>
      </c>
    </row>
    <row r="13" spans="1:4">
      <c r="A13" t="s">
        <v>55</v>
      </c>
      <c r="B13">
        <v>12</v>
      </c>
      <c r="C13" t="s">
        <v>59</v>
      </c>
      <c r="D13" t="s">
        <v>40</v>
      </c>
    </row>
    <row r="14" spans="1:4">
      <c r="A14" t="s">
        <v>53</v>
      </c>
      <c r="B14">
        <v>67</v>
      </c>
      <c r="C14" t="s">
        <v>121</v>
      </c>
      <c r="D14" t="s">
        <v>35</v>
      </c>
    </row>
    <row r="15" spans="1:4">
      <c r="A15" t="s">
        <v>48</v>
      </c>
      <c r="B15">
        <v>13</v>
      </c>
      <c r="C15" t="s">
        <v>60</v>
      </c>
      <c r="D15" t="s">
        <v>39</v>
      </c>
    </row>
    <row r="16" spans="1:4">
      <c r="A16" t="s">
        <v>61</v>
      </c>
      <c r="B16">
        <v>14</v>
      </c>
      <c r="C16" t="s">
        <v>62</v>
      </c>
      <c r="D16" t="s">
        <v>34</v>
      </c>
    </row>
    <row r="17" spans="1:4">
      <c r="A17" t="s">
        <v>43</v>
      </c>
      <c r="B17">
        <v>15</v>
      </c>
      <c r="C17" t="s">
        <v>63</v>
      </c>
      <c r="D17" t="s">
        <v>36</v>
      </c>
    </row>
    <row r="18" spans="1:4">
      <c r="A18" t="s">
        <v>64</v>
      </c>
      <c r="B18">
        <v>16</v>
      </c>
      <c r="C18" t="s">
        <v>65</v>
      </c>
      <c r="D18" t="s">
        <v>41</v>
      </c>
    </row>
    <row r="19" spans="1:4">
      <c r="A19" t="s">
        <v>64</v>
      </c>
      <c r="B19">
        <v>17</v>
      </c>
      <c r="C19" t="s">
        <v>66</v>
      </c>
      <c r="D19" t="s">
        <v>41</v>
      </c>
    </row>
    <row r="20" spans="1:4">
      <c r="A20" t="s">
        <v>67</v>
      </c>
      <c r="B20">
        <v>18</v>
      </c>
      <c r="C20" t="s">
        <v>68</v>
      </c>
      <c r="D20" t="s">
        <v>41</v>
      </c>
    </row>
    <row r="21" spans="1:4">
      <c r="A21" t="s">
        <v>64</v>
      </c>
      <c r="B21">
        <v>19</v>
      </c>
      <c r="C21" t="s">
        <v>69</v>
      </c>
      <c r="D21" t="s">
        <v>36</v>
      </c>
    </row>
    <row r="22" spans="1:4">
      <c r="A22" t="s">
        <v>155</v>
      </c>
      <c r="B22" t="s">
        <v>72</v>
      </c>
      <c r="C22" t="s">
        <v>156</v>
      </c>
      <c r="D22" t="s">
        <v>39</v>
      </c>
    </row>
    <row r="23" spans="1:4">
      <c r="A23" t="s">
        <v>155</v>
      </c>
      <c r="B23" t="s">
        <v>70</v>
      </c>
      <c r="C23" t="s">
        <v>71</v>
      </c>
      <c r="D23" t="s">
        <v>39</v>
      </c>
    </row>
    <row r="24" spans="1:4">
      <c r="A24" t="s">
        <v>73</v>
      </c>
      <c r="B24">
        <v>21</v>
      </c>
      <c r="C24" t="s">
        <v>74</v>
      </c>
      <c r="D24" t="s">
        <v>36</v>
      </c>
    </row>
    <row r="25" spans="1:4">
      <c r="A25" t="s">
        <v>154</v>
      </c>
      <c r="B25">
        <v>22</v>
      </c>
      <c r="C25" t="s">
        <v>75</v>
      </c>
      <c r="D25" t="s">
        <v>42</v>
      </c>
    </row>
    <row r="26" spans="1:4">
      <c r="A26" t="s">
        <v>64</v>
      </c>
      <c r="B26">
        <v>23</v>
      </c>
      <c r="C26" t="s">
        <v>76</v>
      </c>
      <c r="D26" t="s">
        <v>36</v>
      </c>
    </row>
    <row r="27" spans="1:4">
      <c r="A27" t="s">
        <v>64</v>
      </c>
      <c r="B27">
        <v>79</v>
      </c>
      <c r="C27" t="s">
        <v>134</v>
      </c>
      <c r="D27" t="s">
        <v>41</v>
      </c>
    </row>
    <row r="28" spans="1:4">
      <c r="A28" t="s">
        <v>64</v>
      </c>
      <c r="B28">
        <v>24</v>
      </c>
      <c r="C28" t="s">
        <v>77</v>
      </c>
      <c r="D28" t="s">
        <v>40</v>
      </c>
    </row>
    <row r="29" spans="1:4">
      <c r="A29" t="s">
        <v>73</v>
      </c>
      <c r="B29">
        <v>25</v>
      </c>
      <c r="C29" t="s">
        <v>78</v>
      </c>
      <c r="D29" t="s">
        <v>36</v>
      </c>
    </row>
    <row r="30" spans="1:4">
      <c r="A30" t="s">
        <v>43</v>
      </c>
      <c r="B30">
        <v>26</v>
      </c>
      <c r="C30" t="s">
        <v>79</v>
      </c>
      <c r="D30" t="s">
        <v>38</v>
      </c>
    </row>
    <row r="31" spans="1:4">
      <c r="A31" t="s">
        <v>129</v>
      </c>
      <c r="B31">
        <v>91</v>
      </c>
      <c r="C31" t="s">
        <v>146</v>
      </c>
      <c r="D31" t="s">
        <v>34</v>
      </c>
    </row>
    <row r="32" spans="1:4">
      <c r="A32" t="s">
        <v>61</v>
      </c>
      <c r="B32">
        <v>27</v>
      </c>
      <c r="C32" t="s">
        <v>80</v>
      </c>
      <c r="D32" t="s">
        <v>34</v>
      </c>
    </row>
    <row r="33" spans="1:4">
      <c r="A33" t="s">
        <v>67</v>
      </c>
      <c r="B33">
        <v>28</v>
      </c>
      <c r="C33" t="s">
        <v>81</v>
      </c>
      <c r="D33" t="s">
        <v>34</v>
      </c>
    </row>
    <row r="34" spans="1:4">
      <c r="A34" t="s">
        <v>154</v>
      </c>
      <c r="B34">
        <v>29</v>
      </c>
      <c r="C34" t="s">
        <v>82</v>
      </c>
      <c r="D34" t="s">
        <v>42</v>
      </c>
    </row>
    <row r="35" spans="1:4">
      <c r="A35" t="s">
        <v>55</v>
      </c>
      <c r="B35">
        <v>30</v>
      </c>
      <c r="C35" t="s">
        <v>83</v>
      </c>
      <c r="D35" t="s">
        <v>39</v>
      </c>
    </row>
    <row r="36" spans="1:4">
      <c r="A36" t="s">
        <v>55</v>
      </c>
      <c r="B36">
        <v>32</v>
      </c>
      <c r="C36" t="s">
        <v>85</v>
      </c>
      <c r="D36" t="s">
        <v>40</v>
      </c>
    </row>
    <row r="37" spans="1:4">
      <c r="A37" t="s">
        <v>64</v>
      </c>
      <c r="B37">
        <v>33</v>
      </c>
      <c r="C37" t="s">
        <v>86</v>
      </c>
      <c r="D37" t="s">
        <v>40</v>
      </c>
    </row>
    <row r="38" spans="1:4">
      <c r="A38" t="s">
        <v>55</v>
      </c>
      <c r="B38">
        <v>31</v>
      </c>
      <c r="C38" t="s">
        <v>84</v>
      </c>
      <c r="D38" t="s">
        <v>40</v>
      </c>
    </row>
    <row r="39" spans="1:4">
      <c r="A39" t="s">
        <v>43</v>
      </c>
      <c r="B39">
        <v>43</v>
      </c>
      <c r="C39" t="s">
        <v>96</v>
      </c>
      <c r="D39" t="s">
        <v>36</v>
      </c>
    </row>
    <row r="40" spans="1:4">
      <c r="A40" t="s">
        <v>53</v>
      </c>
      <c r="B40">
        <v>52</v>
      </c>
      <c r="C40" t="s">
        <v>106</v>
      </c>
      <c r="D40" t="s">
        <v>35</v>
      </c>
    </row>
    <row r="41" spans="1:4">
      <c r="A41" t="s">
        <v>48</v>
      </c>
      <c r="B41">
        <v>5</v>
      </c>
      <c r="C41" t="s">
        <v>50</v>
      </c>
      <c r="D41" t="s">
        <v>36</v>
      </c>
    </row>
    <row r="42" spans="1:4">
      <c r="A42" t="s">
        <v>73</v>
      </c>
      <c r="B42">
        <v>70</v>
      </c>
      <c r="C42" t="s">
        <v>124</v>
      </c>
      <c r="D42" t="s">
        <v>35</v>
      </c>
    </row>
    <row r="43" spans="1:4">
      <c r="A43" t="s">
        <v>43</v>
      </c>
      <c r="B43">
        <v>74</v>
      </c>
      <c r="C43" t="s">
        <v>128</v>
      </c>
      <c r="D43" t="s">
        <v>36</v>
      </c>
    </row>
    <row r="44" spans="1:4">
      <c r="A44" t="s">
        <v>55</v>
      </c>
      <c r="B44">
        <v>65</v>
      </c>
      <c r="C44" t="s">
        <v>119</v>
      </c>
      <c r="D44" t="s">
        <v>40</v>
      </c>
    </row>
    <row r="45" spans="1:4">
      <c r="A45" t="s">
        <v>64</v>
      </c>
      <c r="B45">
        <v>87</v>
      </c>
      <c r="C45" t="s">
        <v>142</v>
      </c>
      <c r="D45" t="s">
        <v>36</v>
      </c>
    </row>
    <row r="46" spans="1:4">
      <c r="A46" t="s">
        <v>53</v>
      </c>
      <c r="B46">
        <v>68</v>
      </c>
      <c r="C46" t="s">
        <v>122</v>
      </c>
      <c r="D46" t="s">
        <v>35</v>
      </c>
    </row>
    <row r="47" spans="1:4">
      <c r="A47" t="s">
        <v>129</v>
      </c>
      <c r="B47">
        <v>92</v>
      </c>
      <c r="C47" t="s">
        <v>147</v>
      </c>
      <c r="D47" t="s">
        <v>34</v>
      </c>
    </row>
    <row r="48" spans="1:4">
      <c r="A48" t="s">
        <v>55</v>
      </c>
      <c r="B48">
        <v>34</v>
      </c>
      <c r="C48" t="s">
        <v>87</v>
      </c>
      <c r="D48" t="s">
        <v>39</v>
      </c>
    </row>
    <row r="49" spans="1:4">
      <c r="A49" t="s">
        <v>154</v>
      </c>
      <c r="B49">
        <v>35</v>
      </c>
      <c r="C49" t="s">
        <v>88</v>
      </c>
      <c r="D49" t="s">
        <v>42</v>
      </c>
    </row>
    <row r="50" spans="1:4">
      <c r="A50" t="s">
        <v>67</v>
      </c>
      <c r="B50">
        <v>36</v>
      </c>
      <c r="C50" t="s">
        <v>89</v>
      </c>
      <c r="D50" t="s">
        <v>41</v>
      </c>
    </row>
    <row r="51" spans="1:4">
      <c r="A51" t="s">
        <v>67</v>
      </c>
      <c r="B51">
        <v>37</v>
      </c>
      <c r="C51" t="s">
        <v>90</v>
      </c>
      <c r="D51" t="s">
        <v>41</v>
      </c>
    </row>
    <row r="52" spans="1:4">
      <c r="A52" t="s">
        <v>43</v>
      </c>
      <c r="B52">
        <v>38</v>
      </c>
      <c r="C52" t="s">
        <v>91</v>
      </c>
      <c r="D52" t="s">
        <v>36</v>
      </c>
    </row>
    <row r="53" spans="1:4">
      <c r="A53" t="s">
        <v>73</v>
      </c>
      <c r="B53">
        <v>39</v>
      </c>
      <c r="C53" t="s">
        <v>92</v>
      </c>
      <c r="D53" t="s">
        <v>36</v>
      </c>
    </row>
    <row r="54" spans="1:4">
      <c r="A54" t="s">
        <v>64</v>
      </c>
      <c r="B54">
        <v>40</v>
      </c>
      <c r="C54" t="s">
        <v>93</v>
      </c>
      <c r="D54" t="s">
        <v>40</v>
      </c>
    </row>
    <row r="55" spans="1:4">
      <c r="A55" t="s">
        <v>43</v>
      </c>
      <c r="B55">
        <v>42</v>
      </c>
      <c r="C55" t="s">
        <v>95</v>
      </c>
      <c r="D55" t="s">
        <v>36</v>
      </c>
    </row>
    <row r="56" spans="1:4">
      <c r="A56" t="s">
        <v>97</v>
      </c>
      <c r="B56">
        <v>44</v>
      </c>
      <c r="C56" t="s">
        <v>98</v>
      </c>
      <c r="D56" t="s">
        <v>41</v>
      </c>
    </row>
    <row r="57" spans="1:4">
      <c r="A57" t="s">
        <v>67</v>
      </c>
      <c r="B57">
        <v>45</v>
      </c>
      <c r="C57" t="s">
        <v>99</v>
      </c>
      <c r="D57" t="s">
        <v>35</v>
      </c>
    </row>
    <row r="58" spans="1:4">
      <c r="A58" t="s">
        <v>67</v>
      </c>
      <c r="B58">
        <v>41</v>
      </c>
      <c r="C58" t="s">
        <v>94</v>
      </c>
      <c r="D58" t="s">
        <v>41</v>
      </c>
    </row>
    <row r="59" spans="1:4">
      <c r="A59" t="s">
        <v>55</v>
      </c>
      <c r="B59">
        <v>46</v>
      </c>
      <c r="C59" t="s">
        <v>100</v>
      </c>
      <c r="D59" t="s">
        <v>40</v>
      </c>
    </row>
    <row r="60" spans="1:4">
      <c r="A60" t="s">
        <v>64</v>
      </c>
      <c r="B60">
        <v>47</v>
      </c>
      <c r="C60" t="s">
        <v>101</v>
      </c>
      <c r="D60" t="s">
        <v>40</v>
      </c>
    </row>
    <row r="61" spans="1:4">
      <c r="A61" t="s">
        <v>55</v>
      </c>
      <c r="B61">
        <v>48</v>
      </c>
      <c r="C61" t="s">
        <v>102</v>
      </c>
      <c r="D61" t="s">
        <v>38</v>
      </c>
    </row>
    <row r="62" spans="1:4">
      <c r="A62" t="s">
        <v>43</v>
      </c>
      <c r="B62">
        <v>69</v>
      </c>
      <c r="C62" t="s">
        <v>123</v>
      </c>
      <c r="D62" t="s">
        <v>36</v>
      </c>
    </row>
    <row r="63" spans="1:4">
      <c r="A63" t="s">
        <v>97</v>
      </c>
      <c r="B63">
        <v>49</v>
      </c>
      <c r="C63" t="s">
        <v>103</v>
      </c>
      <c r="D63" t="s">
        <v>41</v>
      </c>
    </row>
    <row r="64" spans="1:4">
      <c r="A64" t="s">
        <v>61</v>
      </c>
      <c r="B64">
        <v>50</v>
      </c>
      <c r="C64" t="s">
        <v>104</v>
      </c>
      <c r="D64" t="s">
        <v>42</v>
      </c>
    </row>
    <row r="65" spans="1:4">
      <c r="A65" t="s">
        <v>53</v>
      </c>
      <c r="B65">
        <v>51</v>
      </c>
      <c r="C65" t="s">
        <v>105</v>
      </c>
      <c r="D65" t="s">
        <v>35</v>
      </c>
    </row>
    <row r="66" spans="1:4">
      <c r="A66" t="s">
        <v>97</v>
      </c>
      <c r="B66">
        <v>53</v>
      </c>
      <c r="C66" t="s">
        <v>107</v>
      </c>
      <c r="D66" t="s">
        <v>41</v>
      </c>
    </row>
    <row r="67" spans="1:4">
      <c r="A67" t="s">
        <v>53</v>
      </c>
      <c r="B67">
        <v>54</v>
      </c>
      <c r="C67" t="s">
        <v>108</v>
      </c>
      <c r="D67" t="s">
        <v>35</v>
      </c>
    </row>
    <row r="68" spans="1:4">
      <c r="A68" t="s">
        <v>53</v>
      </c>
      <c r="B68">
        <v>55</v>
      </c>
      <c r="C68" t="s">
        <v>109</v>
      </c>
      <c r="D68" t="s">
        <v>35</v>
      </c>
    </row>
    <row r="69" spans="1:4">
      <c r="A69" t="s">
        <v>154</v>
      </c>
      <c r="B69">
        <v>56</v>
      </c>
      <c r="C69" t="s">
        <v>110</v>
      </c>
      <c r="D69" t="s">
        <v>42</v>
      </c>
    </row>
    <row r="70" spans="1:4">
      <c r="A70" t="s">
        <v>53</v>
      </c>
      <c r="B70">
        <v>57</v>
      </c>
      <c r="C70" t="s">
        <v>111</v>
      </c>
      <c r="D70" t="s">
        <v>35</v>
      </c>
    </row>
    <row r="71" spans="1:4">
      <c r="A71" t="s">
        <v>73</v>
      </c>
      <c r="B71">
        <v>58</v>
      </c>
      <c r="C71" t="s">
        <v>112</v>
      </c>
      <c r="D71" t="s">
        <v>35</v>
      </c>
    </row>
    <row r="72" spans="1:4">
      <c r="A72" t="s">
        <v>45</v>
      </c>
      <c r="B72">
        <v>59</v>
      </c>
      <c r="C72" t="s">
        <v>113</v>
      </c>
      <c r="D72" t="s">
        <v>34</v>
      </c>
    </row>
    <row r="73" spans="1:4">
      <c r="A73" t="s">
        <v>45</v>
      </c>
      <c r="B73">
        <v>60</v>
      </c>
      <c r="C73" t="s">
        <v>114</v>
      </c>
      <c r="D73" t="s">
        <v>34</v>
      </c>
    </row>
    <row r="74" spans="1:4">
      <c r="A74" t="s">
        <v>61</v>
      </c>
      <c r="B74">
        <v>61</v>
      </c>
      <c r="C74" t="s">
        <v>115</v>
      </c>
      <c r="D74" t="s">
        <v>34</v>
      </c>
    </row>
    <row r="75" spans="1:4">
      <c r="A75" t="s">
        <v>129</v>
      </c>
      <c r="B75">
        <v>75</v>
      </c>
      <c r="C75" t="s">
        <v>130</v>
      </c>
      <c r="D75" t="s">
        <v>34</v>
      </c>
    </row>
    <row r="76" spans="1:4">
      <c r="A76" t="s">
        <v>45</v>
      </c>
      <c r="B76">
        <v>62</v>
      </c>
      <c r="C76" t="s">
        <v>116</v>
      </c>
      <c r="D76" t="s">
        <v>34</v>
      </c>
    </row>
    <row r="77" spans="1:4">
      <c r="A77" t="s">
        <v>43</v>
      </c>
      <c r="B77">
        <v>63</v>
      </c>
      <c r="C77" t="s">
        <v>117</v>
      </c>
      <c r="D77" t="s">
        <v>36</v>
      </c>
    </row>
    <row r="78" spans="1:4">
      <c r="A78" t="s">
        <v>64</v>
      </c>
      <c r="B78">
        <v>64</v>
      </c>
      <c r="C78" t="s">
        <v>118</v>
      </c>
      <c r="D78" t="s">
        <v>40</v>
      </c>
    </row>
    <row r="79" spans="1:4">
      <c r="A79" t="s">
        <v>55</v>
      </c>
      <c r="B79">
        <v>66</v>
      </c>
      <c r="C79" t="s">
        <v>120</v>
      </c>
      <c r="D79" t="s">
        <v>39</v>
      </c>
    </row>
    <row r="80" spans="1:4">
      <c r="A80" t="s">
        <v>73</v>
      </c>
      <c r="B80">
        <v>71</v>
      </c>
      <c r="C80" t="s">
        <v>125</v>
      </c>
      <c r="D80" t="s">
        <v>36</v>
      </c>
    </row>
    <row r="81" spans="1:4">
      <c r="A81" t="s">
        <v>97</v>
      </c>
      <c r="B81">
        <v>72</v>
      </c>
      <c r="C81" t="s">
        <v>126</v>
      </c>
      <c r="D81" t="s">
        <v>41</v>
      </c>
    </row>
    <row r="82" spans="1:4">
      <c r="A82" t="s">
        <v>43</v>
      </c>
      <c r="B82">
        <v>73</v>
      </c>
      <c r="C82" t="s">
        <v>127</v>
      </c>
      <c r="D82" t="s">
        <v>36</v>
      </c>
    </row>
    <row r="83" spans="1:4">
      <c r="A83" t="s">
        <v>129</v>
      </c>
      <c r="B83">
        <v>77</v>
      </c>
      <c r="C83" t="s">
        <v>132</v>
      </c>
      <c r="D83" t="s">
        <v>34</v>
      </c>
    </row>
    <row r="84" spans="1:4">
      <c r="A84" t="s">
        <v>61</v>
      </c>
      <c r="B84">
        <v>76</v>
      </c>
      <c r="C84" t="s">
        <v>131</v>
      </c>
      <c r="D84" t="s">
        <v>34</v>
      </c>
    </row>
    <row r="85" spans="1:4">
      <c r="A85" t="s">
        <v>129</v>
      </c>
      <c r="B85">
        <v>93</v>
      </c>
      <c r="C85" t="s">
        <v>148</v>
      </c>
      <c r="D85" t="s">
        <v>34</v>
      </c>
    </row>
    <row r="86" spans="1:4">
      <c r="A86" t="s">
        <v>45</v>
      </c>
      <c r="B86">
        <v>80</v>
      </c>
      <c r="C86" t="s">
        <v>135</v>
      </c>
      <c r="D86" t="s">
        <v>34</v>
      </c>
    </row>
    <row r="87" spans="1:4">
      <c r="A87" t="s">
        <v>55</v>
      </c>
      <c r="B87">
        <v>81</v>
      </c>
      <c r="C87" t="s">
        <v>136</v>
      </c>
      <c r="D87" t="s">
        <v>40</v>
      </c>
    </row>
    <row r="88" spans="1:4">
      <c r="A88" t="s">
        <v>55</v>
      </c>
      <c r="B88">
        <v>82</v>
      </c>
      <c r="C88" t="s">
        <v>137</v>
      </c>
      <c r="D88" t="s">
        <v>40</v>
      </c>
    </row>
    <row r="89" spans="1:4">
      <c r="A89" t="s">
        <v>73</v>
      </c>
      <c r="B89">
        <v>90</v>
      </c>
      <c r="C89" t="s">
        <v>145</v>
      </c>
      <c r="D89" t="s">
        <v>35</v>
      </c>
    </row>
    <row r="90" spans="1:4">
      <c r="A90" t="s">
        <v>129</v>
      </c>
      <c r="B90">
        <v>94</v>
      </c>
      <c r="C90" t="s">
        <v>149</v>
      </c>
      <c r="D90" t="s">
        <v>34</v>
      </c>
    </row>
    <row r="91" spans="1:4">
      <c r="A91" t="s">
        <v>129</v>
      </c>
      <c r="B91">
        <v>95</v>
      </c>
      <c r="C91" t="s">
        <v>150</v>
      </c>
      <c r="D91" t="s">
        <v>34</v>
      </c>
    </row>
    <row r="92" spans="1:4">
      <c r="A92" t="s">
        <v>48</v>
      </c>
      <c r="B92">
        <v>83</v>
      </c>
      <c r="C92" t="s">
        <v>138</v>
      </c>
      <c r="D92" t="s">
        <v>39</v>
      </c>
    </row>
    <row r="93" spans="1:4">
      <c r="A93" t="s">
        <v>48</v>
      </c>
      <c r="B93">
        <v>84</v>
      </c>
      <c r="C93" t="s">
        <v>139</v>
      </c>
      <c r="D93" t="s">
        <v>38</v>
      </c>
    </row>
    <row r="94" spans="1:4">
      <c r="A94" t="s">
        <v>97</v>
      </c>
      <c r="B94">
        <v>85</v>
      </c>
      <c r="C94" t="s">
        <v>140</v>
      </c>
      <c r="D94" t="s">
        <v>41</v>
      </c>
    </row>
    <row r="95" spans="1:4">
      <c r="A95" t="s">
        <v>64</v>
      </c>
      <c r="B95">
        <v>86</v>
      </c>
      <c r="C95" t="s">
        <v>141</v>
      </c>
      <c r="D95" t="s">
        <v>41</v>
      </c>
    </row>
    <row r="96" spans="1:4">
      <c r="A96" t="s">
        <v>53</v>
      </c>
      <c r="B96">
        <v>88</v>
      </c>
      <c r="C96" t="s">
        <v>143</v>
      </c>
      <c r="D96" t="s">
        <v>35</v>
      </c>
    </row>
    <row r="97" spans="1:4">
      <c r="A97" t="s">
        <v>73</v>
      </c>
      <c r="B97">
        <v>89</v>
      </c>
      <c r="C97" t="s">
        <v>144</v>
      </c>
      <c r="D97" t="s">
        <v>35</v>
      </c>
    </row>
    <row r="98" spans="1:4">
      <c r="A98" t="s">
        <v>129</v>
      </c>
      <c r="B98">
        <v>78</v>
      </c>
      <c r="C98" t="s">
        <v>133</v>
      </c>
      <c r="D98" t="s">
        <v>34</v>
      </c>
    </row>
    <row r="99" spans="1:4">
      <c r="A99" t="s">
        <v>159</v>
      </c>
      <c r="B99" t="s">
        <v>159</v>
      </c>
      <c r="C99" t="s">
        <v>159</v>
      </c>
      <c r="D99" t="s">
        <v>159</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0A586-6DB6-48D1-9B7A-EC3CC03AC334}">
  <sheetPr>
    <tabColor theme="0" tint="-0.14999847407452621"/>
  </sheetPr>
  <dimension ref="B2:BD39"/>
  <sheetViews>
    <sheetView topLeftCell="A5" workbookViewId="0">
      <selection activeCell="C16" sqref="C16"/>
    </sheetView>
  </sheetViews>
  <sheetFormatPr baseColWidth="10" defaultColWidth="11.46484375" defaultRowHeight="14.25"/>
  <cols>
    <col min="3" max="3" width="39.59765625" customWidth="1"/>
    <col min="4" max="4" width="10.19921875" style="273" customWidth="1"/>
    <col min="5" max="5" width="44.19921875" customWidth="1"/>
    <col min="6" max="6" width="22.46484375" customWidth="1"/>
    <col min="7" max="7" width="22.19921875" customWidth="1"/>
    <col min="8" max="8" width="19.33203125" customWidth="1"/>
    <col min="9" max="9" width="16.9296875" customWidth="1"/>
    <col min="10" max="10" width="14" customWidth="1"/>
    <col min="11" max="11" width="18.265625" customWidth="1"/>
  </cols>
  <sheetData>
    <row r="2" spans="2:17">
      <c r="C2" s="569" t="s">
        <v>321</v>
      </c>
      <c r="D2" s="569"/>
      <c r="E2" s="569"/>
      <c r="F2" s="570" t="s">
        <v>322</v>
      </c>
      <c r="G2" s="570"/>
      <c r="H2" s="570"/>
      <c r="I2" s="570"/>
      <c r="J2" s="570"/>
      <c r="K2" s="570"/>
      <c r="L2" s="262" t="s">
        <v>160</v>
      </c>
      <c r="M2" s="263" t="s">
        <v>323</v>
      </c>
      <c r="N2" s="345" t="s">
        <v>324</v>
      </c>
      <c r="O2" s="347" t="s">
        <v>389</v>
      </c>
      <c r="P2" s="347" t="s">
        <v>390</v>
      </c>
      <c r="Q2" s="347" t="s">
        <v>395</v>
      </c>
    </row>
    <row r="3" spans="2:17">
      <c r="F3" s="264" t="str">
        <f>C7</f>
        <v>Enseignement_primaire_ou_secondaire</v>
      </c>
      <c r="G3" s="265" t="str">
        <f>C10</f>
        <v>Hôtels</v>
      </c>
      <c r="H3" s="265" t="str">
        <f>C12</f>
        <v>Restaurants</v>
      </c>
      <c r="I3" s="265" t="str">
        <f>C16</f>
        <v>Etablissements_de_santé</v>
      </c>
      <c r="J3" s="265" t="str">
        <f>C18</f>
        <v>Industries_ou_artisanats</v>
      </c>
      <c r="K3" s="265" t="str">
        <f>C20</f>
        <v>Restaurants_scolaires</v>
      </c>
      <c r="L3" s="266"/>
      <c r="O3" s="348" t="s">
        <v>191</v>
      </c>
      <c r="P3" s="357">
        <v>2023</v>
      </c>
      <c r="Q3" s="306" t="s">
        <v>32</v>
      </c>
    </row>
    <row r="4" spans="2:17">
      <c r="B4" s="307">
        <v>1</v>
      </c>
      <c r="C4" s="306" t="s">
        <v>325</v>
      </c>
      <c r="D4" s="307">
        <v>1</v>
      </c>
      <c r="E4" s="264" t="s">
        <v>325</v>
      </c>
      <c r="F4" s="266" t="s">
        <v>326</v>
      </c>
      <c r="G4" s="266" t="s">
        <v>327</v>
      </c>
      <c r="H4" s="267" t="s">
        <v>328</v>
      </c>
      <c r="I4" s="267" t="s">
        <v>329</v>
      </c>
      <c r="J4" s="267" t="s">
        <v>330</v>
      </c>
      <c r="K4" s="267" t="s">
        <v>331</v>
      </c>
      <c r="L4" s="268" t="s">
        <v>271</v>
      </c>
      <c r="M4" s="269" t="s">
        <v>191</v>
      </c>
      <c r="N4" s="313" t="s">
        <v>191</v>
      </c>
      <c r="O4" s="348" t="s">
        <v>192</v>
      </c>
      <c r="P4" s="357">
        <v>2026</v>
      </c>
      <c r="Q4" s="306" t="s">
        <v>347</v>
      </c>
    </row>
    <row r="5" spans="2:17">
      <c r="B5" s="307">
        <v>2</v>
      </c>
      <c r="C5" s="306" t="s">
        <v>332</v>
      </c>
      <c r="D5" s="307">
        <v>2</v>
      </c>
      <c r="E5" s="264" t="s">
        <v>332</v>
      </c>
      <c r="F5" s="266" t="s">
        <v>333</v>
      </c>
      <c r="G5" s="266" t="s">
        <v>334</v>
      </c>
      <c r="H5" s="267" t="s">
        <v>331</v>
      </c>
      <c r="I5" s="267" t="s">
        <v>335</v>
      </c>
      <c r="J5" s="267" t="s">
        <v>336</v>
      </c>
      <c r="K5" s="267" t="s">
        <v>337</v>
      </c>
      <c r="L5" s="268" t="s">
        <v>272</v>
      </c>
      <c r="M5" s="270" t="s">
        <v>192</v>
      </c>
      <c r="N5" s="346" t="s">
        <v>192</v>
      </c>
      <c r="O5" s="348" t="s">
        <v>208</v>
      </c>
      <c r="P5" s="357">
        <v>2029</v>
      </c>
      <c r="Q5" s="269" t="s">
        <v>350</v>
      </c>
    </row>
    <row r="6" spans="2:17">
      <c r="B6" s="307">
        <v>3</v>
      </c>
      <c r="C6" s="306" t="s">
        <v>32</v>
      </c>
      <c r="D6" s="307">
        <v>3</v>
      </c>
      <c r="E6" s="264" t="s">
        <v>32</v>
      </c>
      <c r="F6" s="266"/>
      <c r="G6" s="266" t="s">
        <v>338</v>
      </c>
      <c r="H6" s="267" t="s">
        <v>339</v>
      </c>
      <c r="I6" s="267"/>
      <c r="J6" s="267"/>
      <c r="K6" s="267"/>
      <c r="L6" s="268" t="s">
        <v>273</v>
      </c>
      <c r="M6" s="270" t="s">
        <v>208</v>
      </c>
      <c r="N6" s="313" t="s">
        <v>246</v>
      </c>
      <c r="O6" s="348" t="s">
        <v>209</v>
      </c>
      <c r="P6" s="357">
        <v>2032</v>
      </c>
      <c r="Q6" s="269" t="s">
        <v>352</v>
      </c>
    </row>
    <row r="7" spans="2:17">
      <c r="B7" s="307">
        <v>4</v>
      </c>
      <c r="C7" s="306" t="s">
        <v>340</v>
      </c>
      <c r="D7" s="307">
        <v>4</v>
      </c>
      <c r="E7" s="264" t="s">
        <v>341</v>
      </c>
      <c r="G7" s="266" t="s">
        <v>342</v>
      </c>
      <c r="H7" s="267" t="s">
        <v>343</v>
      </c>
      <c r="I7" s="266"/>
      <c r="J7" s="266"/>
      <c r="K7" s="267"/>
      <c r="L7" s="271"/>
      <c r="M7" s="269" t="s">
        <v>209</v>
      </c>
      <c r="N7" s="269"/>
      <c r="Q7" s="269" t="s">
        <v>348</v>
      </c>
    </row>
    <row r="8" spans="2:17" ht="14.65" thickBot="1">
      <c r="B8" s="307">
        <v>5</v>
      </c>
      <c r="C8" s="306" t="s">
        <v>344</v>
      </c>
      <c r="D8" s="307">
        <v>5</v>
      </c>
      <c r="E8" s="264" t="s">
        <v>345</v>
      </c>
      <c r="K8" s="266"/>
      <c r="Q8" s="269" t="s">
        <v>346</v>
      </c>
    </row>
    <row r="9" spans="2:17" ht="14.65" thickBot="1">
      <c r="B9" s="307">
        <v>6</v>
      </c>
      <c r="C9" s="306" t="s">
        <v>346</v>
      </c>
      <c r="D9" s="307">
        <v>6</v>
      </c>
      <c r="E9" s="272" t="s">
        <v>344</v>
      </c>
      <c r="O9" s="350" t="str">
        <f>depotpc</f>
        <v>2025 à 2027</v>
      </c>
      <c r="P9" s="358">
        <f>VLOOKUP(O9,O3:P6,2,FALSE)</f>
        <v>2026</v>
      </c>
      <c r="Q9" s="269" t="s">
        <v>344</v>
      </c>
    </row>
    <row r="10" spans="2:17">
      <c r="B10" s="307">
        <v>7</v>
      </c>
      <c r="C10" s="306" t="s">
        <v>347</v>
      </c>
      <c r="D10" s="307">
        <v>7</v>
      </c>
      <c r="E10" s="265" t="s">
        <v>346</v>
      </c>
      <c r="G10" s="351" t="s">
        <v>393</v>
      </c>
      <c r="H10" s="349">
        <f>VLOOKUP(usage,C4:D21,2,FALSE)</f>
        <v>2</v>
      </c>
      <c r="Q10" s="269" t="s">
        <v>368</v>
      </c>
    </row>
    <row r="11" spans="2:17">
      <c r="B11" s="307">
        <v>8</v>
      </c>
      <c r="C11" s="306" t="s">
        <v>348</v>
      </c>
      <c r="D11" s="307">
        <v>8</v>
      </c>
      <c r="E11" s="304" t="s">
        <v>349</v>
      </c>
      <c r="Q11" s="269" t="inlineStr">
        <is>
          <t>Aérogares</t>
        </is>
      </c>
    </row>
    <row r="12" spans="2:17">
      <c r="B12" s="307">
        <v>9</v>
      </c>
      <c r="C12" s="306" t="s">
        <v>350</v>
      </c>
      <c r="D12" s="307">
        <v>9</v>
      </c>
      <c r="E12" s="304" t="s">
        <v>351</v>
      </c>
    </row>
    <row r="13" spans="2:17">
      <c r="B13" s="307">
        <v>10</v>
      </c>
      <c r="C13" s="306" t="s">
        <v>352</v>
      </c>
      <c r="D13" s="307">
        <v>10</v>
      </c>
      <c r="E13" s="304" t="s">
        <v>353</v>
      </c>
    </row>
    <row r="14" spans="2:17">
      <c r="B14" s="307">
        <v>11</v>
      </c>
      <c r="C14" s="306" t="s">
        <v>354</v>
      </c>
      <c r="D14" s="307">
        <v>11</v>
      </c>
      <c r="E14" s="304" t="s">
        <v>355</v>
      </c>
    </row>
    <row r="15" spans="2:17">
      <c r="B15" s="307">
        <v>12</v>
      </c>
      <c r="C15" s="306" t="s">
        <v>356</v>
      </c>
      <c r="D15" s="307">
        <v>12</v>
      </c>
      <c r="E15" s="265" t="s">
        <v>348</v>
      </c>
    </row>
    <row r="16" spans="2:17">
      <c r="B16" s="307">
        <v>13</v>
      </c>
      <c r="C16" s="306" t="s">
        <v>357</v>
      </c>
      <c r="D16" s="307">
        <v>13</v>
      </c>
      <c r="E16" s="265" t="s">
        <v>358</v>
      </c>
    </row>
    <row r="17" spans="2:20">
      <c r="B17" s="307">
        <v>14</v>
      </c>
      <c r="C17" s="306" t="s">
        <v>359</v>
      </c>
      <c r="D17" s="307">
        <v>14</v>
      </c>
      <c r="E17" s="265" t="s">
        <v>360</v>
      </c>
    </row>
    <row r="18" spans="2:20">
      <c r="B18" s="307">
        <v>15</v>
      </c>
      <c r="C18" s="306" t="s">
        <v>361</v>
      </c>
      <c r="D18" s="307">
        <v>15</v>
      </c>
      <c r="E18" s="265" t="s">
        <v>362</v>
      </c>
    </row>
    <row r="19" spans="2:20">
      <c r="B19" s="307">
        <v>16</v>
      </c>
      <c r="C19" s="306" t="s">
        <v>363</v>
      </c>
      <c r="D19" s="307">
        <v>16</v>
      </c>
      <c r="E19" s="265" t="s">
        <v>364</v>
      </c>
    </row>
    <row r="20" spans="2:20">
      <c r="B20" s="307">
        <v>17</v>
      </c>
      <c r="C20" s="306" t="s">
        <v>365</v>
      </c>
      <c r="D20" s="307">
        <v>17</v>
      </c>
      <c r="E20" s="265" t="s">
        <v>352</v>
      </c>
    </row>
    <row r="21" spans="2:20">
      <c r="B21" s="307">
        <v>18</v>
      </c>
      <c r="C21" s="306" t="s">
        <v>366</v>
      </c>
      <c r="D21" s="307">
        <v>18</v>
      </c>
      <c r="E21" s="265" t="s">
        <v>354</v>
      </c>
    </row>
    <row r="22" spans="2:20">
      <c r="D22" s="307">
        <v>19</v>
      </c>
      <c r="E22" s="265" t="s">
        <v>356</v>
      </c>
    </row>
    <row r="23" spans="2:20">
      <c r="D23" s="307">
        <v>20</v>
      </c>
      <c r="E23" s="265" t="s">
        <v>367</v>
      </c>
    </row>
    <row r="24" spans="2:20">
      <c r="D24" s="307">
        <v>21</v>
      </c>
      <c r="E24" s="265" t="s">
        <v>368</v>
      </c>
    </row>
    <row r="25" spans="2:20">
      <c r="D25" s="307">
        <v>22</v>
      </c>
      <c r="E25" s="265" t="s">
        <v>359</v>
      </c>
    </row>
    <row r="26" spans="2:20">
      <c r="D26" s="307">
        <v>23</v>
      </c>
      <c r="E26" s="265" t="s">
        <v>369</v>
      </c>
    </row>
    <row r="27" spans="2:20">
      <c r="D27" s="307">
        <v>24</v>
      </c>
      <c r="E27" s="265" t="s">
        <v>370</v>
      </c>
    </row>
    <row r="28" spans="2:20">
      <c r="D28" s="307">
        <v>25</v>
      </c>
      <c r="E28" s="265" t="s">
        <v>363</v>
      </c>
    </row>
    <row r="29" spans="2:20">
      <c r="D29" s="307">
        <v>26</v>
      </c>
      <c r="E29" s="265" t="s">
        <v>371</v>
      </c>
    </row>
    <row r="30" spans="2:20">
      <c r="D30" s="307">
        <v>27</v>
      </c>
      <c r="E30" s="265" t="s">
        <v>372</v>
      </c>
    </row>
    <row r="31" spans="2:20">
      <c r="D31" s="307">
        <v>28</v>
      </c>
      <c r="E31" s="265" t="s">
        <v>366</v>
      </c>
    </row>
    <row r="32" spans="2:20" s="305" customFormat="1">
      <c r="C32" s="305">
        <v>1</v>
      </c>
      <c r="D32" s="305">
        <v>2</v>
      </c>
      <c r="E32" s="305">
        <v>3</v>
      </c>
      <c r="F32" s="305">
        <v>4</v>
      </c>
      <c r="G32" s="305">
        <v>5</v>
      </c>
      <c r="H32" s="305">
        <v>6</v>
      </c>
      <c r="I32" s="305">
        <v>7</v>
      </c>
      <c r="J32" s="305">
        <v>8</v>
      </c>
      <c r="K32" s="305">
        <v>9</v>
      </c>
      <c r="L32" s="305">
        <v>10</v>
      </c>
      <c r="M32" s="305">
        <v>11</v>
      </c>
      <c r="N32" s="305">
        <v>12</v>
      </c>
      <c r="O32" s="305">
        <v>13</v>
      </c>
      <c r="P32" s="305">
        <v>14</v>
      </c>
      <c r="Q32" s="305">
        <v>15</v>
      </c>
      <c r="R32" s="305">
        <v>16</v>
      </c>
      <c r="S32" s="305">
        <v>17</v>
      </c>
      <c r="T32" s="305">
        <v>18</v>
      </c>
    </row>
    <row r="33" spans="3:56">
      <c r="C33" s="35" t="str">
        <f>VLOOKUP(C32,$B$4:$C$21,2,FALSE)</f>
        <v>Maisons_individuelles_ou_accolées</v>
      </c>
      <c r="D33" s="35" t="str">
        <f t="shared" ref="D33:T33" si="0">VLOOKUP(D32,$B$4:$C$21,2,FALSE)</f>
        <v>Logement_collectif</v>
      </c>
      <c r="E33" s="35" t="str">
        <f t="shared" si="0"/>
        <v>Bureaux</v>
      </c>
      <c r="F33" s="35" t="str">
        <f t="shared" si="0"/>
        <v>Enseignement_primaire_ou_secondaire</v>
      </c>
      <c r="G33" s="35" t="str">
        <f t="shared" si="0"/>
        <v>Médiathèques_et_bibliothèques</v>
      </c>
      <c r="H33" s="35" t="str">
        <f t="shared" si="0"/>
        <v>Bâtiments_universitaires_d'enseignement_et_de_recherche_et_bâtiments_d’enseignements_atypiques</v>
      </c>
      <c r="I33" s="35" t="str">
        <f t="shared" si="0"/>
        <v>Hôtels</v>
      </c>
      <c r="J33" s="35" t="str">
        <f t="shared" si="0"/>
        <v>Etablissements_d'accueil_de_la_petite_enfance </v>
      </c>
      <c r="K33" s="35" t="str">
        <f t="shared" si="0"/>
        <v>Restaurants</v>
      </c>
      <c r="L33" s="35" t="str">
        <f t="shared" si="0"/>
        <v>Commerces</v>
      </c>
      <c r="M33" s="35" t="str">
        <f t="shared" si="0"/>
        <v>Vestiaires seuls</v>
      </c>
      <c r="N33" s="35" t="str">
        <f t="shared" si="0"/>
        <v>Etablissements_sanitaires_avec_hébergement</v>
      </c>
      <c r="O33" s="35" t="str">
        <f t="shared" si="0"/>
        <v>Etablissements_de_santé</v>
      </c>
      <c r="P33" s="35" t="str">
        <f t="shared" si="0"/>
        <v>Aérogares</v>
      </c>
      <c r="Q33" s="35" t="str">
        <f t="shared" si="0"/>
        <v>Industries_ou_artisanats</v>
      </c>
      <c r="R33" s="35" t="str">
        <f t="shared" si="0"/>
        <v>Etablissements_sportifs_municipaux_ou_scolaires</v>
      </c>
      <c r="S33" s="35" t="str">
        <f t="shared" si="0"/>
        <v>Restaurants_scolaires</v>
      </c>
      <c r="T33" s="35" t="str">
        <f t="shared" si="0"/>
        <v>Etablissements_sportifs_privés</v>
      </c>
    </row>
    <row r="34" spans="3:56" s="305" customFormat="1">
      <c r="C34" s="308">
        <v>1</v>
      </c>
      <c r="D34" s="308">
        <f>C34</f>
        <v>1</v>
      </c>
      <c r="E34" s="308">
        <f>D34+1</f>
        <v>2</v>
      </c>
      <c r="F34" s="308">
        <f>E34</f>
        <v>2</v>
      </c>
      <c r="G34" s="308">
        <f>F34+1</f>
        <v>3</v>
      </c>
      <c r="H34" s="308">
        <f>G34</f>
        <v>3</v>
      </c>
      <c r="I34" s="308">
        <f>H34+1</f>
        <v>4</v>
      </c>
      <c r="J34" s="308">
        <f>I34</f>
        <v>4</v>
      </c>
      <c r="K34" s="308">
        <f>J34+1</f>
        <v>5</v>
      </c>
      <c r="L34" s="308">
        <f>K34</f>
        <v>5</v>
      </c>
      <c r="M34" s="308">
        <f>L34+1</f>
        <v>6</v>
      </c>
      <c r="N34" s="308">
        <f>M34</f>
        <v>6</v>
      </c>
      <c r="O34" s="308">
        <f>N34+1</f>
        <v>7</v>
      </c>
      <c r="P34" s="308">
        <f>O34</f>
        <v>7</v>
      </c>
      <c r="Q34" s="308">
        <f>P34+1</f>
        <v>8</v>
      </c>
      <c r="R34" s="308">
        <f>Q34</f>
        <v>8</v>
      </c>
      <c r="S34" s="308">
        <f>R34+1</f>
        <v>9</v>
      </c>
      <c r="T34" s="308">
        <f>S34</f>
        <v>9</v>
      </c>
      <c r="U34" s="308">
        <f>T34+1</f>
        <v>10</v>
      </c>
      <c r="V34" s="308">
        <f>U34</f>
        <v>10</v>
      </c>
      <c r="W34" s="308">
        <f>V34+1</f>
        <v>11</v>
      </c>
      <c r="X34" s="308">
        <f>W34</f>
        <v>11</v>
      </c>
      <c r="Y34" s="308">
        <f>X34+1</f>
        <v>12</v>
      </c>
      <c r="Z34" s="308">
        <f>Y34</f>
        <v>12</v>
      </c>
      <c r="AA34" s="308">
        <f>Z34+1</f>
        <v>13</v>
      </c>
      <c r="AB34" s="308">
        <f>AA34</f>
        <v>13</v>
      </c>
      <c r="AC34" s="308">
        <f>AB34+1</f>
        <v>14</v>
      </c>
      <c r="AD34" s="308">
        <f>AC34</f>
        <v>14</v>
      </c>
      <c r="AE34" s="308">
        <f>AD34+1</f>
        <v>15</v>
      </c>
      <c r="AF34" s="308">
        <f>AE34</f>
        <v>15</v>
      </c>
      <c r="AG34" s="308">
        <f>AF34+1</f>
        <v>16</v>
      </c>
      <c r="AH34" s="308">
        <f>AG34</f>
        <v>16</v>
      </c>
      <c r="AI34" s="308">
        <f>AH34+1</f>
        <v>17</v>
      </c>
      <c r="AJ34" s="308">
        <f>AI34</f>
        <v>17</v>
      </c>
      <c r="AK34" s="308">
        <f>AJ34+1</f>
        <v>18</v>
      </c>
      <c r="AL34" s="308">
        <f>AK34</f>
        <v>18</v>
      </c>
    </row>
    <row r="35" spans="3:56">
      <c r="C35" s="35" t="str">
        <f>VLOOKUP(C34,$B$4:$C$21,2,FALSE)</f>
        <v>Maisons_individuelles_ou_accolées</v>
      </c>
      <c r="D35" s="35" t="str">
        <f t="shared" ref="D35:AL35" si="1">VLOOKUP(D34,$B$4:$C$21,2,FALSE)</f>
        <v>Maisons_individuelles_ou_accolées</v>
      </c>
      <c r="E35" s="35" t="str">
        <f t="shared" si="1"/>
        <v>Logement_collectif</v>
      </c>
      <c r="F35" s="35" t="str">
        <f t="shared" si="1"/>
        <v>Logement_collectif</v>
      </c>
      <c r="G35" s="35" t="str">
        <f t="shared" si="1"/>
        <v>Bureaux</v>
      </c>
      <c r="H35" s="35" t="str">
        <f t="shared" si="1"/>
        <v>Bureaux</v>
      </c>
      <c r="I35" s="35" t="str">
        <f t="shared" si="1"/>
        <v>Enseignement_primaire_ou_secondaire</v>
      </c>
      <c r="J35" s="35" t="str">
        <f t="shared" si="1"/>
        <v>Enseignement_primaire_ou_secondaire</v>
      </c>
      <c r="K35" s="35" t="str">
        <f t="shared" si="1"/>
        <v>Médiathèques_et_bibliothèques</v>
      </c>
      <c r="L35" s="35" t="str">
        <f t="shared" si="1"/>
        <v>Médiathèques_et_bibliothèques</v>
      </c>
      <c r="M35" s="35" t="str">
        <f t="shared" si="1"/>
        <v>Bâtiments_universitaires_d'enseignement_et_de_recherche_et_bâtiments_d’enseignements_atypiques</v>
      </c>
      <c r="N35" s="35" t="str">
        <f t="shared" si="1"/>
        <v>Bâtiments_universitaires_d'enseignement_et_de_recherche_et_bâtiments_d’enseignements_atypiques</v>
      </c>
      <c r="O35" s="35" t="str">
        <f t="shared" si="1"/>
        <v>Hôtels</v>
      </c>
      <c r="P35" s="35" t="str">
        <f t="shared" si="1"/>
        <v>Hôtels</v>
      </c>
      <c r="Q35" s="35" t="str">
        <f t="shared" si="1"/>
        <v>Etablissements_d'accueil_de_la_petite_enfance </v>
      </c>
      <c r="R35" s="35" t="str">
        <f t="shared" si="1"/>
        <v>Etablissements_d'accueil_de_la_petite_enfance </v>
      </c>
      <c r="S35" s="35" t="str">
        <f t="shared" si="1"/>
        <v>Restaurants</v>
      </c>
      <c r="T35" s="35" t="str">
        <f t="shared" si="1"/>
        <v>Restaurants</v>
      </c>
      <c r="U35" s="35" t="str">
        <f t="shared" si="1"/>
        <v>Commerces</v>
      </c>
      <c r="V35" s="35" t="str">
        <f t="shared" si="1"/>
        <v>Commerces</v>
      </c>
      <c r="W35" s="35" t="str">
        <f t="shared" si="1"/>
        <v>Vestiaires seuls</v>
      </c>
      <c r="X35" s="35" t="str">
        <f t="shared" si="1"/>
        <v>Vestiaires seuls</v>
      </c>
      <c r="Y35" s="35" t="str">
        <f t="shared" si="1"/>
        <v>Etablissements_sanitaires_avec_hébergement</v>
      </c>
      <c r="Z35" s="35" t="str">
        <f t="shared" si="1"/>
        <v>Etablissements_sanitaires_avec_hébergement</v>
      </c>
      <c r="AA35" s="35" t="str">
        <f t="shared" si="1"/>
        <v>Etablissements_de_santé</v>
      </c>
      <c r="AB35" s="35" t="str">
        <f t="shared" si="1"/>
        <v>Etablissements_de_santé</v>
      </c>
      <c r="AC35" s="35" t="str">
        <f t="shared" si="1"/>
        <v>Aérogares</v>
      </c>
      <c r="AD35" s="35" t="str">
        <f t="shared" si="1"/>
        <v>Aérogares</v>
      </c>
      <c r="AE35" s="35" t="str">
        <f t="shared" si="1"/>
        <v>Industries_ou_artisanats</v>
      </c>
      <c r="AF35" s="35" t="str">
        <f t="shared" si="1"/>
        <v>Industries_ou_artisanats</v>
      </c>
      <c r="AG35" s="35" t="str">
        <f t="shared" si="1"/>
        <v>Etablissements_sportifs_municipaux_ou_scolaires</v>
      </c>
      <c r="AH35" s="35" t="str">
        <f t="shared" si="1"/>
        <v>Etablissements_sportifs_municipaux_ou_scolaires</v>
      </c>
      <c r="AI35" s="35" t="str">
        <f t="shared" si="1"/>
        <v>Restaurants_scolaires</v>
      </c>
      <c r="AJ35" s="35" t="str">
        <f t="shared" si="1"/>
        <v>Restaurants_scolaires</v>
      </c>
      <c r="AK35" s="35" t="str">
        <f t="shared" si="1"/>
        <v>Etablissements_sportifs_privés</v>
      </c>
      <c r="AL35" s="35" t="str">
        <f t="shared" si="1"/>
        <v>Etablissements_sportifs_privés</v>
      </c>
    </row>
    <row r="36" spans="3:56" s="305" customFormat="1">
      <c r="C36" s="308">
        <v>1</v>
      </c>
      <c r="D36" s="305">
        <f>C36</f>
        <v>1</v>
      </c>
      <c r="E36" s="305">
        <f>D36</f>
        <v>1</v>
      </c>
      <c r="F36" s="305">
        <f>E36+1</f>
        <v>2</v>
      </c>
      <c r="G36" s="305">
        <f>F36</f>
        <v>2</v>
      </c>
      <c r="H36" s="305">
        <f>G36</f>
        <v>2</v>
      </c>
      <c r="I36" s="305">
        <f>H36+1</f>
        <v>3</v>
      </c>
      <c r="J36" s="305">
        <f t="shared" ref="J36:K38" si="2">I36</f>
        <v>3</v>
      </c>
      <c r="K36" s="305">
        <f t="shared" si="2"/>
        <v>3</v>
      </c>
      <c r="L36" s="305">
        <f>K36+1</f>
        <v>4</v>
      </c>
      <c r="M36" s="305">
        <f t="shared" ref="M36:N38" si="3">L36</f>
        <v>4</v>
      </c>
      <c r="N36" s="305">
        <f t="shared" si="3"/>
        <v>4</v>
      </c>
      <c r="O36" s="305">
        <f>N36+1</f>
        <v>5</v>
      </c>
      <c r="P36" s="305">
        <f t="shared" ref="P36:Q38" si="4">O36</f>
        <v>5</v>
      </c>
      <c r="Q36" s="305">
        <f t="shared" si="4"/>
        <v>5</v>
      </c>
      <c r="R36" s="305">
        <f>Q36+1</f>
        <v>6</v>
      </c>
      <c r="S36" s="305">
        <f t="shared" ref="S36:T38" si="5">R36</f>
        <v>6</v>
      </c>
      <c r="T36" s="305">
        <f t="shared" si="5"/>
        <v>6</v>
      </c>
      <c r="U36" s="305">
        <f>T36+1</f>
        <v>7</v>
      </c>
      <c r="V36" s="305">
        <f t="shared" ref="V36:W38" si="6">U36</f>
        <v>7</v>
      </c>
      <c r="W36" s="305">
        <f t="shared" si="6"/>
        <v>7</v>
      </c>
      <c r="X36" s="305">
        <f>W36+1</f>
        <v>8</v>
      </c>
      <c r="Y36" s="305">
        <f t="shared" ref="Y36:Z38" si="7">X36</f>
        <v>8</v>
      </c>
      <c r="Z36" s="305">
        <f t="shared" si="7"/>
        <v>8</v>
      </c>
      <c r="AA36" s="305">
        <f>Z36+1</f>
        <v>9</v>
      </c>
      <c r="AB36" s="305">
        <f t="shared" ref="AB36:AC38" si="8">AA36</f>
        <v>9</v>
      </c>
      <c r="AC36" s="305">
        <f t="shared" si="8"/>
        <v>9</v>
      </c>
      <c r="AD36" s="305">
        <f>AC36+1</f>
        <v>10</v>
      </c>
      <c r="AE36" s="305">
        <f t="shared" ref="AE36:AF38" si="9">AD36</f>
        <v>10</v>
      </c>
      <c r="AF36" s="305">
        <f t="shared" si="9"/>
        <v>10</v>
      </c>
      <c r="AG36" s="305">
        <f>AF36+1</f>
        <v>11</v>
      </c>
      <c r="AH36" s="305">
        <f t="shared" ref="AH36:AI38" si="10">AG36</f>
        <v>11</v>
      </c>
      <c r="AI36" s="305">
        <f t="shared" si="10"/>
        <v>11</v>
      </c>
      <c r="AJ36" s="305">
        <f>AI36+1</f>
        <v>12</v>
      </c>
      <c r="AK36" s="305">
        <f t="shared" ref="AK36:AL38" si="11">AJ36</f>
        <v>12</v>
      </c>
      <c r="AL36" s="305">
        <f t="shared" si="11"/>
        <v>12</v>
      </c>
      <c r="AM36" s="305">
        <f>AL36+1</f>
        <v>13</v>
      </c>
      <c r="AN36" s="305">
        <f t="shared" ref="AN36:AO38" si="12">AM36</f>
        <v>13</v>
      </c>
      <c r="AO36" s="305">
        <f t="shared" si="12"/>
        <v>13</v>
      </c>
      <c r="AP36" s="305">
        <f>AO36+1</f>
        <v>14</v>
      </c>
      <c r="AQ36" s="305">
        <f t="shared" ref="AQ36:AR38" si="13">AP36</f>
        <v>14</v>
      </c>
      <c r="AR36" s="305">
        <f t="shared" si="13"/>
        <v>14</v>
      </c>
      <c r="AS36" s="305">
        <f>AR36+1</f>
        <v>15</v>
      </c>
      <c r="AT36" s="305">
        <f t="shared" ref="AT36:AU38" si="14">AS36</f>
        <v>15</v>
      </c>
      <c r="AU36" s="305">
        <f t="shared" si="14"/>
        <v>15</v>
      </c>
      <c r="AV36" s="305">
        <f>AU36+1</f>
        <v>16</v>
      </c>
      <c r="AW36" s="305">
        <f t="shared" ref="AW36:AX38" si="15">AV36</f>
        <v>16</v>
      </c>
      <c r="AX36" s="305">
        <f t="shared" si="15"/>
        <v>16</v>
      </c>
      <c r="AY36" s="305">
        <f>AX36+1</f>
        <v>17</v>
      </c>
      <c r="AZ36" s="305">
        <f t="shared" ref="AZ36:BA38" si="16">AY36</f>
        <v>17</v>
      </c>
      <c r="BA36" s="305">
        <f t="shared" si="16"/>
        <v>17</v>
      </c>
      <c r="BB36" s="305">
        <f>BA36+1</f>
        <v>18</v>
      </c>
      <c r="BC36" s="305">
        <f t="shared" ref="BC36:BD38" si="17">BB36</f>
        <v>18</v>
      </c>
      <c r="BD36" s="305">
        <f t="shared" si="17"/>
        <v>18</v>
      </c>
    </row>
    <row r="37" spans="3:56">
      <c r="C37" s="35" t="str">
        <f>VLOOKUP(C36,$B$4:$C$21,2,FALSE)</f>
        <v>Maisons_individuelles_ou_accolées</v>
      </c>
      <c r="D37" s="35" t="str">
        <f t="shared" ref="D37:BD37" si="18">VLOOKUP(D36,$B$4:$C$21,2,FALSE)</f>
        <v>Maisons_individuelles_ou_accolées</v>
      </c>
      <c r="E37" s="35" t="str">
        <f t="shared" si="18"/>
        <v>Maisons_individuelles_ou_accolées</v>
      </c>
      <c r="F37" s="35" t="str">
        <f t="shared" si="18"/>
        <v>Logement_collectif</v>
      </c>
      <c r="G37" s="35" t="str">
        <f t="shared" si="18"/>
        <v>Logement_collectif</v>
      </c>
      <c r="H37" s="35" t="str">
        <f t="shared" si="18"/>
        <v>Logement_collectif</v>
      </c>
      <c r="I37" s="35" t="str">
        <f t="shared" si="18"/>
        <v>Bureaux</v>
      </c>
      <c r="J37" s="35" t="str">
        <f t="shared" si="18"/>
        <v>Bureaux</v>
      </c>
      <c r="K37" s="35" t="str">
        <f t="shared" si="18"/>
        <v>Bureaux</v>
      </c>
      <c r="L37" s="35" t="str">
        <f t="shared" si="18"/>
        <v>Enseignement_primaire_ou_secondaire</v>
      </c>
      <c r="M37" s="35" t="str">
        <f t="shared" si="18"/>
        <v>Enseignement_primaire_ou_secondaire</v>
      </c>
      <c r="N37" s="35" t="str">
        <f t="shared" si="18"/>
        <v>Enseignement_primaire_ou_secondaire</v>
      </c>
      <c r="O37" s="35" t="str">
        <f t="shared" si="18"/>
        <v>Médiathèques_et_bibliothèques</v>
      </c>
      <c r="P37" s="35" t="str">
        <f t="shared" si="18"/>
        <v>Médiathèques_et_bibliothèques</v>
      </c>
      <c r="Q37" s="35" t="str">
        <f t="shared" si="18"/>
        <v>Médiathèques_et_bibliothèques</v>
      </c>
      <c r="R37" s="35" t="str">
        <f t="shared" si="18"/>
        <v>Bâtiments_universitaires_d'enseignement_et_de_recherche_et_bâtiments_d’enseignements_atypiques</v>
      </c>
      <c r="S37" s="35" t="str">
        <f t="shared" si="18"/>
        <v>Bâtiments_universitaires_d'enseignement_et_de_recherche_et_bâtiments_d’enseignements_atypiques</v>
      </c>
      <c r="T37" s="35" t="str">
        <f t="shared" si="18"/>
        <v>Bâtiments_universitaires_d'enseignement_et_de_recherche_et_bâtiments_d’enseignements_atypiques</v>
      </c>
      <c r="U37" s="35" t="str">
        <f t="shared" si="18"/>
        <v>Hôtels</v>
      </c>
      <c r="V37" s="35" t="str">
        <f t="shared" si="18"/>
        <v>Hôtels</v>
      </c>
      <c r="W37" s="35" t="str">
        <f t="shared" si="18"/>
        <v>Hôtels</v>
      </c>
      <c r="X37" s="35" t="str">
        <f t="shared" si="18"/>
        <v>Etablissements_d'accueil_de_la_petite_enfance </v>
      </c>
      <c r="Y37" s="35" t="str">
        <f t="shared" si="18"/>
        <v>Etablissements_d'accueil_de_la_petite_enfance </v>
      </c>
      <c r="Z37" s="35" t="str">
        <f t="shared" si="18"/>
        <v>Etablissements_d'accueil_de_la_petite_enfance </v>
      </c>
      <c r="AA37" s="35" t="str">
        <f t="shared" si="18"/>
        <v>Restaurants</v>
      </c>
      <c r="AB37" s="35" t="str">
        <f t="shared" si="18"/>
        <v>Restaurants</v>
      </c>
      <c r="AC37" s="35" t="str">
        <f t="shared" si="18"/>
        <v>Restaurants</v>
      </c>
      <c r="AD37" s="35" t="str">
        <f t="shared" si="18"/>
        <v>Commerces</v>
      </c>
      <c r="AE37" s="35" t="str">
        <f t="shared" si="18"/>
        <v>Commerces</v>
      </c>
      <c r="AF37" s="35" t="str">
        <f t="shared" si="18"/>
        <v>Commerces</v>
      </c>
      <c r="AG37" s="35" t="str">
        <f t="shared" si="18"/>
        <v>Vestiaires seuls</v>
      </c>
      <c r="AH37" s="35" t="str">
        <f t="shared" si="18"/>
        <v>Vestiaires seuls</v>
      </c>
      <c r="AI37" s="35" t="str">
        <f t="shared" si="18"/>
        <v>Vestiaires seuls</v>
      </c>
      <c r="AJ37" s="35" t="str">
        <f t="shared" si="18"/>
        <v>Etablissements_sanitaires_avec_hébergement</v>
      </c>
      <c r="AK37" s="35" t="str">
        <f t="shared" si="18"/>
        <v>Etablissements_sanitaires_avec_hébergement</v>
      </c>
      <c r="AL37" s="35" t="str">
        <f t="shared" si="18"/>
        <v>Etablissements_sanitaires_avec_hébergement</v>
      </c>
      <c r="AM37" s="35" t="str">
        <f t="shared" si="18"/>
        <v>Etablissements_de_santé</v>
      </c>
      <c r="AN37" s="35" t="str">
        <f t="shared" si="18"/>
        <v>Etablissements_de_santé</v>
      </c>
      <c r="AO37" s="35" t="str">
        <f t="shared" si="18"/>
        <v>Etablissements_de_santé</v>
      </c>
      <c r="AP37" s="35" t="str">
        <f t="shared" si="18"/>
        <v>Aérogares</v>
      </c>
      <c r="AQ37" s="35" t="str">
        <f t="shared" si="18"/>
        <v>Aérogares</v>
      </c>
      <c r="AR37" s="35" t="str">
        <f t="shared" si="18"/>
        <v>Aérogares</v>
      </c>
      <c r="AS37" s="35" t="str">
        <f t="shared" si="18"/>
        <v>Industries_ou_artisanats</v>
      </c>
      <c r="AT37" s="35" t="str">
        <f t="shared" si="18"/>
        <v>Industries_ou_artisanats</v>
      </c>
      <c r="AU37" s="35" t="str">
        <f t="shared" si="18"/>
        <v>Industries_ou_artisanats</v>
      </c>
      <c r="AV37" s="35" t="str">
        <f t="shared" si="18"/>
        <v>Etablissements_sportifs_municipaux_ou_scolaires</v>
      </c>
      <c r="AW37" s="35" t="str">
        <f t="shared" si="18"/>
        <v>Etablissements_sportifs_municipaux_ou_scolaires</v>
      </c>
      <c r="AX37" s="35" t="str">
        <f t="shared" si="18"/>
        <v>Etablissements_sportifs_municipaux_ou_scolaires</v>
      </c>
      <c r="AY37" s="35" t="str">
        <f t="shared" si="18"/>
        <v>Restaurants_scolaires</v>
      </c>
      <c r="AZ37" s="35" t="str">
        <f t="shared" si="18"/>
        <v>Restaurants_scolaires</v>
      </c>
      <c r="BA37" s="35" t="str">
        <f t="shared" si="18"/>
        <v>Restaurants_scolaires</v>
      </c>
      <c r="BB37" s="35" t="str">
        <f t="shared" si="18"/>
        <v>Etablissements_sportifs_privés</v>
      </c>
      <c r="BC37" s="35" t="str">
        <f t="shared" si="18"/>
        <v>Etablissements_sportifs_privés</v>
      </c>
      <c r="BD37" s="35" t="str">
        <f t="shared" si="18"/>
        <v>Etablissements_sportifs_privés</v>
      </c>
    </row>
    <row r="38" spans="3:56" s="305" customFormat="1">
      <c r="C38" s="308">
        <v>1</v>
      </c>
      <c r="D38" s="305">
        <f>C38</f>
        <v>1</v>
      </c>
      <c r="E38" s="305">
        <f>D38</f>
        <v>1</v>
      </c>
      <c r="F38" s="305">
        <f>E38+1</f>
        <v>2</v>
      </c>
      <c r="G38" s="305">
        <f>F38</f>
        <v>2</v>
      </c>
      <c r="H38" s="305">
        <f>G38</f>
        <v>2</v>
      </c>
      <c r="I38" s="305">
        <f>H38+1</f>
        <v>3</v>
      </c>
      <c r="J38" s="305">
        <f t="shared" si="2"/>
        <v>3</v>
      </c>
      <c r="K38" s="305">
        <f t="shared" si="2"/>
        <v>3</v>
      </c>
      <c r="L38" s="305">
        <f>K38+1</f>
        <v>4</v>
      </c>
      <c r="M38" s="305">
        <f t="shared" si="3"/>
        <v>4</v>
      </c>
      <c r="N38" s="305">
        <f t="shared" si="3"/>
        <v>4</v>
      </c>
      <c r="O38" s="305">
        <f>N38+1</f>
        <v>5</v>
      </c>
      <c r="P38" s="305">
        <f t="shared" si="4"/>
        <v>5</v>
      </c>
      <c r="Q38" s="305">
        <f t="shared" si="4"/>
        <v>5</v>
      </c>
      <c r="R38" s="305">
        <f>Q38+1</f>
        <v>6</v>
      </c>
      <c r="S38" s="305">
        <f t="shared" si="5"/>
        <v>6</v>
      </c>
      <c r="T38" s="305">
        <f t="shared" si="5"/>
        <v>6</v>
      </c>
      <c r="U38" s="305">
        <f>T38+1</f>
        <v>7</v>
      </c>
      <c r="V38" s="305">
        <f t="shared" si="6"/>
        <v>7</v>
      </c>
      <c r="W38" s="305">
        <f t="shared" si="6"/>
        <v>7</v>
      </c>
      <c r="X38" s="305">
        <f>W38+1</f>
        <v>8</v>
      </c>
      <c r="Y38" s="305">
        <f t="shared" si="7"/>
        <v>8</v>
      </c>
      <c r="Z38" s="305">
        <f t="shared" si="7"/>
        <v>8</v>
      </c>
      <c r="AA38" s="305">
        <f>Z38+1</f>
        <v>9</v>
      </c>
      <c r="AB38" s="305">
        <f t="shared" si="8"/>
        <v>9</v>
      </c>
      <c r="AC38" s="305">
        <f t="shared" si="8"/>
        <v>9</v>
      </c>
      <c r="AD38" s="305">
        <f>AC38+1</f>
        <v>10</v>
      </c>
      <c r="AE38" s="305">
        <f t="shared" si="9"/>
        <v>10</v>
      </c>
      <c r="AF38" s="305">
        <f t="shared" si="9"/>
        <v>10</v>
      </c>
      <c r="AG38" s="305">
        <f>AF38+1</f>
        <v>11</v>
      </c>
      <c r="AH38" s="305">
        <f t="shared" si="10"/>
        <v>11</v>
      </c>
      <c r="AI38" s="305">
        <f t="shared" si="10"/>
        <v>11</v>
      </c>
      <c r="AJ38" s="305">
        <f>AI38+1</f>
        <v>12</v>
      </c>
      <c r="AK38" s="305">
        <f t="shared" si="11"/>
        <v>12</v>
      </c>
      <c r="AL38" s="305">
        <f t="shared" si="11"/>
        <v>12</v>
      </c>
      <c r="AM38" s="305">
        <f>AL38+1</f>
        <v>13</v>
      </c>
      <c r="AN38" s="305">
        <f t="shared" si="12"/>
        <v>13</v>
      </c>
      <c r="AO38" s="305">
        <f t="shared" si="12"/>
        <v>13</v>
      </c>
      <c r="AP38" s="305">
        <f>AO38+1</f>
        <v>14</v>
      </c>
      <c r="AQ38" s="305">
        <f t="shared" si="13"/>
        <v>14</v>
      </c>
      <c r="AR38" s="305">
        <f t="shared" si="13"/>
        <v>14</v>
      </c>
      <c r="AS38" s="305">
        <f>AR38+1</f>
        <v>15</v>
      </c>
      <c r="AT38" s="305">
        <f t="shared" si="14"/>
        <v>15</v>
      </c>
      <c r="AU38" s="305">
        <f t="shared" si="14"/>
        <v>15</v>
      </c>
      <c r="AV38" s="305">
        <f>AU38+1</f>
        <v>16</v>
      </c>
      <c r="AW38" s="305">
        <f t="shared" si="15"/>
        <v>16</v>
      </c>
      <c r="AX38" s="305">
        <f t="shared" si="15"/>
        <v>16</v>
      </c>
      <c r="AY38" s="305">
        <f>AX38+1</f>
        <v>17</v>
      </c>
      <c r="AZ38" s="305">
        <f t="shared" si="16"/>
        <v>17</v>
      </c>
      <c r="BA38" s="305">
        <f t="shared" si="16"/>
        <v>17</v>
      </c>
      <c r="BB38" s="305">
        <f>BA38+1</f>
        <v>18</v>
      </c>
      <c r="BC38" s="305">
        <f t="shared" si="17"/>
        <v>18</v>
      </c>
      <c r="BD38" s="305">
        <f t="shared" si="17"/>
        <v>18</v>
      </c>
    </row>
    <row r="39" spans="3:56">
      <c r="C39" s="566" t="str">
        <f>VLOOKUP(C38,$B$4:$C$21,2,FALSE)</f>
        <v>Maisons_individuelles_ou_accolées</v>
      </c>
      <c r="D39" s="567"/>
      <c r="E39" s="568"/>
      <c r="F39" s="566" t="str">
        <f>VLOOKUP(F38,$B$4:$C$21,2,FALSE)</f>
        <v>Logement_collectif</v>
      </c>
      <c r="G39" s="567"/>
      <c r="H39" s="568"/>
      <c r="I39" s="566" t="str">
        <f>VLOOKUP(I38,$B$4:$C$21,2,FALSE)</f>
        <v>Bureaux</v>
      </c>
      <c r="J39" s="567"/>
      <c r="K39" s="568"/>
      <c r="L39" s="566" t="str">
        <f>VLOOKUP(L38,$B$4:$C$21,2,FALSE)</f>
        <v>Enseignement_primaire_ou_secondaire</v>
      </c>
      <c r="M39" s="567"/>
      <c r="N39" s="568"/>
      <c r="O39" s="566" t="str">
        <f>VLOOKUP(O38,$B$4:$C$21,2,FALSE)</f>
        <v>Médiathèques_et_bibliothèques</v>
      </c>
      <c r="P39" s="567"/>
      <c r="Q39" s="568"/>
      <c r="R39" s="566" t="str">
        <f>VLOOKUP(R38,$B$4:$C$21,2,FALSE)</f>
        <v>Bâtiments_universitaires_d'enseignement_et_de_recherche_et_bâtiments_d’enseignements_atypiques</v>
      </c>
      <c r="S39" s="567"/>
      <c r="T39" s="568"/>
      <c r="U39" s="566" t="str">
        <f>VLOOKUP(U38,$B$4:$C$21,2,FALSE)</f>
        <v>Hôtels</v>
      </c>
      <c r="V39" s="567"/>
      <c r="W39" s="568"/>
      <c r="X39" s="566" t="str">
        <f>VLOOKUP(X38,$B$4:$C$21,2,FALSE)</f>
        <v>Etablissements_d'accueil_de_la_petite_enfance </v>
      </c>
      <c r="Y39" s="567"/>
      <c r="Z39" s="568"/>
      <c r="AA39" s="566" t="str">
        <f>VLOOKUP(AA38,$B$4:$C$21,2,FALSE)</f>
        <v>Restaurants</v>
      </c>
      <c r="AB39" s="567"/>
      <c r="AC39" s="568"/>
      <c r="AD39" s="566" t="str">
        <f>VLOOKUP(AD38,$B$4:$C$21,2,FALSE)</f>
        <v>Commerces</v>
      </c>
      <c r="AE39" s="567"/>
      <c r="AF39" s="568"/>
      <c r="AG39" s="566" t="str">
        <f>VLOOKUP(AG38,$B$4:$C$21,2,FALSE)</f>
        <v>Vestiaires seuls</v>
      </c>
      <c r="AH39" s="567"/>
      <c r="AI39" s="568"/>
      <c r="AJ39" s="566" t="str">
        <f>VLOOKUP(AJ38,$B$4:$C$21,2,FALSE)</f>
        <v>Etablissements_sanitaires_avec_hébergement</v>
      </c>
      <c r="AK39" s="567"/>
      <c r="AL39" s="568"/>
      <c r="AM39" s="566" t="str">
        <f>VLOOKUP(AM38,$B$4:$C$21,2,FALSE)</f>
        <v>Etablissements_de_santé</v>
      </c>
      <c r="AN39" s="567"/>
      <c r="AO39" s="568"/>
      <c r="AP39" s="566" t="str">
        <f>VLOOKUP(AP38,$B$4:$C$21,2,FALSE)</f>
        <v>Aérogares</v>
      </c>
      <c r="AQ39" s="567"/>
      <c r="AR39" s="568"/>
      <c r="AS39" s="566" t="str">
        <f>VLOOKUP(AS38,$B$4:$C$21,2,FALSE)</f>
        <v>Industries_ou_artisanats</v>
      </c>
      <c r="AT39" s="567"/>
      <c r="AU39" s="568"/>
      <c r="AV39" s="566" t="str">
        <f>VLOOKUP(AV38,$B$4:$C$21,2,FALSE)</f>
        <v>Etablissements_sportifs_municipaux_ou_scolaires</v>
      </c>
      <c r="AW39" s="567"/>
      <c r="AX39" s="568"/>
      <c r="AY39" s="566" t="str">
        <f>VLOOKUP(AY38,$B$4:$C$21,2,FALSE)</f>
        <v>Restaurants_scolaires</v>
      </c>
      <c r="AZ39" s="567"/>
      <c r="BA39" s="568"/>
      <c r="BB39" s="566" t="str">
        <f>VLOOKUP(BB38,$B$4:$C$21,2,FALSE)</f>
        <v>Etablissements_sportifs_privés</v>
      </c>
      <c r="BC39" s="567"/>
      <c r="BD39" s="568"/>
    </row>
  </sheetData>
  <mergeCells count="20">
    <mergeCell ref="AD39:AF39"/>
    <mergeCell ref="C2:E2"/>
    <mergeCell ref="F2:K2"/>
    <mergeCell ref="C39:E39"/>
    <mergeCell ref="F39:H39"/>
    <mergeCell ref="I39:K39"/>
    <mergeCell ref="L39:N39"/>
    <mergeCell ref="O39:Q39"/>
    <mergeCell ref="R39:T39"/>
    <mergeCell ref="U39:W39"/>
    <mergeCell ref="X39:Z39"/>
    <mergeCell ref="AA39:AC39"/>
    <mergeCell ref="AY39:BA39"/>
    <mergeCell ref="BB39:BD39"/>
    <mergeCell ref="AG39:AI39"/>
    <mergeCell ref="AJ39:AL39"/>
    <mergeCell ref="AM39:AO39"/>
    <mergeCell ref="AP39:AR39"/>
    <mergeCell ref="AS39:AU39"/>
    <mergeCell ref="AV39:AX39"/>
  </mergeCells>
  <conditionalFormatting sqref="O3:P6 S3:XFD3 A3:N7 R4:XFD12 P7 A8:P12 A13:XFD38 A39:C39 F39 I39 L39 O39 R39 U39 X39 AA39 AD39 AG39 AJ39 AM39 AP39 AS39 AV39 AY39 BB39 BE39:XFD39 A40:XFD41">
    <cfRule type="cellIs" dxfId="15" priority="10" stopIfTrue="1" operator="equal">
      <formula>usage</formula>
    </cfRule>
  </conditionalFormatting>
  <conditionalFormatting sqref="Q3:Q10">
    <cfRule type="cellIs" dxfId="14" priority="1" stopIfTrue="1" operator="equal">
      <formula>usage</formula>
    </cfRule>
    <cfRule type="cellIs" dxfId="13" priority="2" operator="equal">
      <formula>$C$10</formula>
    </cfRule>
    <cfRule type="cellIs" dxfId="12" priority="3" operator="equal">
      <formula>$C$9</formula>
    </cfRule>
    <cfRule type="cellIs" dxfId="11" priority="4" operator="equal">
      <formula>$C$8</formula>
    </cfRule>
    <cfRule type="cellIs" dxfId="10" priority="5" operator="equal">
      <formula>$C$7</formula>
    </cfRule>
    <cfRule type="cellIs" dxfId="9" priority="6" operator="equal">
      <formula>$C$6</formula>
    </cfRule>
    <cfRule type="cellIs" dxfId="8" priority="7" operator="equal">
      <formula>$C$5</formula>
    </cfRule>
    <cfRule type="cellIs" dxfId="7" priority="8" operator="equal">
      <formula>$C$4</formula>
    </cfRule>
  </conditionalFormatting>
  <conditionalFormatting sqref="S3:XFD3 O3:P6 A3:N7 R4:XFD12 P7 A8:P12 A13:XFD38 A39:C39 F39 I39 L39 O39 R39 U39 X39 AA39 AD39 AG39 AJ39 AM39 AP39 AS39 AV39 AY39 BB39 BE39:XFD39 A40:XFD41">
    <cfRule type="cellIs" dxfId="6" priority="11" operator="equal">
      <formula>$C$10</formula>
    </cfRule>
    <cfRule type="cellIs" dxfId="5" priority="12" operator="equal">
      <formula>$C$9</formula>
    </cfRule>
    <cfRule type="cellIs" dxfId="4" priority="13" operator="equal">
      <formula>$C$8</formula>
    </cfRule>
    <cfRule type="cellIs" dxfId="3" priority="14" operator="equal">
      <formula>$C$7</formula>
    </cfRule>
    <cfRule type="cellIs" dxfId="2" priority="15" operator="equal">
      <formula>$C$6</formula>
    </cfRule>
    <cfRule type="cellIs" dxfId="1" priority="25" operator="equal">
      <formula>$C$5</formula>
    </cfRule>
    <cfRule type="cellIs" dxfId="0" priority="54" operator="equal">
      <formula>$C$4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9" stopIfTrue="1" operator="equal" id="{04AE476A-402C-4B28-8D9B-A451F7929E02}">
            <xm:f>Input_resultats!E15</xm:f>
            <x14:dxf>
              <font>
                <color rgb="FF9C5700"/>
              </font>
              <fill>
                <patternFill>
                  <bgColor rgb="FFFFEB9C"/>
                </patternFill>
              </fill>
            </x14:dxf>
          </x14:cfRule>
          <xm:sqref>O3:O6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64</vt:i4>
      </vt:variant>
    </vt:vector>
  </HeadingPairs>
  <TitlesOfParts>
    <vt:vector size="73" baseType="lpstr">
      <vt:lpstr>Info</vt:lpstr>
      <vt:lpstr>Input_resultats</vt:lpstr>
      <vt:lpstr>surélévations et extensions</vt:lpstr>
      <vt:lpstr>Calcul_dh</vt:lpstr>
      <vt:lpstr>Calcul_energie</vt:lpstr>
      <vt:lpstr>Calcul_bbio</vt:lpstr>
      <vt:lpstr>Calcul_matiere</vt:lpstr>
      <vt:lpstr>zone climatique</vt:lpstr>
      <vt:lpstr>Enumération</vt:lpstr>
      <vt:lpstr>bbiomaxmoyen</vt:lpstr>
      <vt:lpstr>categorie</vt:lpstr>
      <vt:lpstr>cepmaxmoyen</vt:lpstr>
      <vt:lpstr>cepnrmaxmoyen</vt:lpstr>
      <vt:lpstr>classe_inertie</vt:lpstr>
      <vt:lpstr>climatisé</vt:lpstr>
      <vt:lpstr>depotpc</vt:lpstr>
      <vt:lpstr>depotPC_année</vt:lpstr>
      <vt:lpstr>elevation</vt:lpstr>
      <vt:lpstr>Enseignement_primaire_ou_secondaire</vt:lpstr>
      <vt:lpstr>est_igh</vt:lpstr>
      <vt:lpstr>Etablissements_de_santé</vt:lpstr>
      <vt:lpstr>expobruit</vt:lpstr>
      <vt:lpstr>Hôtels</vt:lpstr>
      <vt:lpstr>HSPmoy</vt:lpstr>
      <vt:lpstr>icconstructionmaxmoyen</vt:lpstr>
      <vt:lpstr>icded</vt:lpstr>
      <vt:lpstr>icenergie</vt:lpstr>
      <vt:lpstr>iclot1</vt:lpstr>
      <vt:lpstr>iclot13</vt:lpstr>
      <vt:lpstr>iclot2</vt:lpstr>
      <vt:lpstr>ID_usage</vt:lpstr>
      <vt:lpstr>Industries_ou_artisanats</vt:lpstr>
      <vt:lpstr>mbbruit</vt:lpstr>
      <vt:lpstr>mbcombles</vt:lpstr>
      <vt:lpstr>mbgeo</vt:lpstr>
      <vt:lpstr>mbhsp</vt:lpstr>
      <vt:lpstr>mbsurfmoy</vt:lpstr>
      <vt:lpstr>mbsurtot</vt:lpstr>
      <vt:lpstr>mccat</vt:lpstr>
      <vt:lpstr>mccombles</vt:lpstr>
      <vt:lpstr>mcgeo</vt:lpstr>
      <vt:lpstr>mchsp</vt:lpstr>
      <vt:lpstr>mcsurfmoy</vt:lpstr>
      <vt:lpstr>mcsurftot</vt:lpstr>
      <vt:lpstr>miagrément</vt:lpstr>
      <vt:lpstr>miclimrcu</vt:lpstr>
      <vt:lpstr>micombles</vt:lpstr>
      <vt:lpstr>mided</vt:lpstr>
      <vt:lpstr>migeo</vt:lpstr>
      <vt:lpstr>mihsp</vt:lpstr>
      <vt:lpstr>miinfra</vt:lpstr>
      <vt:lpstr>mipv</vt:lpstr>
      <vt:lpstr>misurfmoy</vt:lpstr>
      <vt:lpstr>misurftot</vt:lpstr>
      <vt:lpstr>mivrd</vt:lpstr>
      <vt:lpstr>NL</vt:lpstr>
      <vt:lpstr>rcu</vt:lpstr>
      <vt:lpstr>rcu_classe</vt:lpstr>
      <vt:lpstr>Restaurants</vt:lpstr>
      <vt:lpstr>Restaurants_scolaires</vt:lpstr>
      <vt:lpstr>s_existant</vt:lpstr>
      <vt:lpstr>Sagrément</vt:lpstr>
      <vt:lpstr>scombles</vt:lpstr>
      <vt:lpstr>seuilded</vt:lpstr>
      <vt:lpstr>smoylgt</vt:lpstr>
      <vt:lpstr>sref</vt:lpstr>
      <vt:lpstr>sref_ext</vt:lpstr>
      <vt:lpstr>typo_travaux</vt:lpstr>
      <vt:lpstr>usage</vt:lpstr>
      <vt:lpstr>usage_detaillé</vt:lpstr>
      <vt:lpstr>usage_secondaire</vt:lpstr>
      <vt:lpstr>usage_surelev</vt:lpstr>
      <vt:lpstr>zoneclim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MEUNIER</dc:creator>
  <cp:lastModifiedBy>Guillaume MEUNIER (A4MT)</cp:lastModifiedBy>
  <dcterms:created xsi:type="dcterms:W3CDTF">2025-02-07T05:16:08Z</dcterms:created>
  <dcterms:modified xsi:type="dcterms:W3CDTF">2026-10-18T01:26:58Z</dcterms:modified>
</cp:coreProperties>
</file>