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1"/>
  </bookViews>
  <sheets>
    <sheet name="Tabelle1" sheetId="1" state="hidden" r:id="rId1"/>
    <sheet name="Sliding_in_Triangle" sheetId="8" r:id="rId2"/>
    <sheet name="UseCase" sheetId="7" r:id="rId3"/>
    <sheet name="LossPart" sheetId="2" state="hidden" r:id="rId4"/>
    <sheet name="Spec including financials" sheetId="6" state="hidden" r:id="rId5"/>
    <sheet name="NewSliding" sheetId="5" state="hidden" r:id="rId6"/>
    <sheet name="GrossClaim" sheetId="10" r:id="rId7"/>
    <sheet name="GrossPremium" sheetId="11" r:id="rId8"/>
    <sheet name="CededClaim" sheetId="9" r:id="rId9"/>
    <sheet name="Commission" sheetId="13" r:id="rId10"/>
    <sheet name="SlidingScaleCommission" sheetId="12" r:id="rId11"/>
  </sheets>
  <definedNames>
    <definedName name="LossRatio" localSheetId="1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1">Sliding_in_Triangle!$A$1:$M$237</definedName>
    <definedName name="_xlnm.Print_Area" localSheetId="4">'Spec including financials'!$A$6:$I$147</definedName>
    <definedName name="_xlnm.Print_Area" localSheetId="2">UseCase!$A$2:$B$49</definedName>
  </definedNames>
  <calcPr calcId="125725"/>
</workbook>
</file>

<file path=xl/calcChain.xml><?xml version="1.0" encoding="utf-8"?>
<calcChain xmlns="http://schemas.openxmlformats.org/spreadsheetml/2006/main">
  <c r="H149" i="8"/>
  <c r="H148" l="1"/>
  <c r="A5" i="13"/>
  <c r="A4"/>
  <c r="A3"/>
  <c r="A2"/>
  <c r="E1"/>
  <c r="D1"/>
  <c r="C1"/>
  <c r="B1"/>
  <c r="B3" i="12"/>
  <c r="C3"/>
  <c r="B4"/>
  <c r="C4"/>
  <c r="B5"/>
  <c r="C5"/>
  <c r="C2"/>
  <c r="B2"/>
  <c r="N127" i="8"/>
  <c r="O127"/>
  <c r="N128"/>
  <c r="O128" s="1"/>
  <c r="N129"/>
  <c r="O129" s="1"/>
  <c r="O130"/>
  <c r="M128"/>
  <c r="M141"/>
  <c r="M142"/>
  <c r="L140"/>
  <c r="L141"/>
  <c r="L142"/>
  <c r="M127"/>
  <c r="L127"/>
  <c r="N142" l="1"/>
  <c r="N18"/>
  <c r="N19"/>
  <c r="O19"/>
  <c r="M17"/>
  <c r="M18"/>
  <c r="M19"/>
  <c r="N12"/>
  <c r="N13"/>
  <c r="O13"/>
  <c r="C2" i="11"/>
  <c r="D2"/>
  <c r="E2"/>
  <c r="C3"/>
  <c r="D3"/>
  <c r="E3"/>
  <c r="C4"/>
  <c r="D4"/>
  <c r="E4"/>
  <c r="C5"/>
  <c r="D5"/>
  <c r="E5"/>
  <c r="B3"/>
  <c r="B4"/>
  <c r="B5"/>
  <c r="B2"/>
  <c r="A5"/>
  <c r="A4"/>
  <c r="A3"/>
  <c r="A2"/>
  <c r="E1"/>
  <c r="D1"/>
  <c r="C1"/>
  <c r="B1"/>
  <c r="C2" i="10"/>
  <c r="D2"/>
  <c r="E2"/>
  <c r="C3"/>
  <c r="D3"/>
  <c r="E3"/>
  <c r="C4"/>
  <c r="D4"/>
  <c r="E4"/>
  <c r="C5"/>
  <c r="D5"/>
  <c r="E5"/>
  <c r="B3"/>
  <c r="B4"/>
  <c r="B5"/>
  <c r="B2"/>
  <c r="A5"/>
  <c r="A4"/>
  <c r="A3"/>
  <c r="A2"/>
  <c r="E1"/>
  <c r="D1"/>
  <c r="C1"/>
  <c r="B1"/>
  <c r="F2" i="9"/>
  <c r="A3"/>
  <c r="A4"/>
  <c r="A5"/>
  <c r="A2"/>
  <c r="B4"/>
  <c r="C4"/>
  <c r="B5"/>
  <c r="C5"/>
  <c r="D5"/>
  <c r="C1"/>
  <c r="D1"/>
  <c r="E1"/>
  <c r="B1"/>
  <c r="F20" i="8" l="1"/>
  <c r="C20"/>
  <c r="F194"/>
  <c r="C194"/>
  <c r="E193"/>
  <c r="C193"/>
  <c r="D192"/>
  <c r="C192"/>
  <c r="C191"/>
  <c r="C208"/>
  <c r="C243" s="1"/>
  <c r="C207"/>
  <c r="C242" s="1"/>
  <c r="C206"/>
  <c r="C241" s="1"/>
  <c r="C148"/>
  <c r="C147"/>
  <c r="C146"/>
  <c r="E123"/>
  <c r="D123"/>
  <c r="C123"/>
  <c r="D121"/>
  <c r="C121"/>
  <c r="C119"/>
  <c r="E68"/>
  <c r="D68"/>
  <c r="C68"/>
  <c r="D66"/>
  <c r="C66"/>
  <c r="C64"/>
  <c r="C136"/>
  <c r="C135"/>
  <c r="C134"/>
  <c r="C166"/>
  <c r="C173" s="1"/>
  <c r="C186" s="1"/>
  <c r="B5" i="13" s="1"/>
  <c r="C165" i="8"/>
  <c r="C172" s="1"/>
  <c r="C185" s="1"/>
  <c r="B4" i="13" s="1"/>
  <c r="C164" i="8"/>
  <c r="C171" s="1"/>
  <c r="C184" s="1"/>
  <c r="B3" i="13" s="1"/>
  <c r="F154" i="8"/>
  <c r="E154"/>
  <c r="D154"/>
  <c r="C154"/>
  <c r="F92"/>
  <c r="C92"/>
  <c r="E91"/>
  <c r="C91"/>
  <c r="D90"/>
  <c r="C90"/>
  <c r="C89"/>
  <c r="F34"/>
  <c r="E34"/>
  <c r="D34"/>
  <c r="C34"/>
  <c r="F33"/>
  <c r="E33"/>
  <c r="D33"/>
  <c r="C33"/>
  <c r="F32"/>
  <c r="E32"/>
  <c r="D32"/>
  <c r="C32"/>
  <c r="F31"/>
  <c r="E31"/>
  <c r="D31"/>
  <c r="C31"/>
  <c r="D19"/>
  <c r="D136" s="1"/>
  <c r="D18"/>
  <c r="D135" s="1"/>
  <c r="E17"/>
  <c r="F17" s="1"/>
  <c r="F90" s="1"/>
  <c r="E191"/>
  <c r="C232"/>
  <c r="G237"/>
  <c r="F202"/>
  <c r="E202"/>
  <c r="D202"/>
  <c r="C202"/>
  <c r="E201"/>
  <c r="D201"/>
  <c r="C201"/>
  <c r="F200"/>
  <c r="E200"/>
  <c r="D200"/>
  <c r="C200"/>
  <c r="C199"/>
  <c r="F75"/>
  <c r="F74"/>
  <c r="E74"/>
  <c r="F73"/>
  <c r="E73"/>
  <c r="D73"/>
  <c r="F72"/>
  <c r="E72"/>
  <c r="D72"/>
  <c r="C72"/>
  <c r="H49"/>
  <c r="I49" s="1"/>
  <c r="H50"/>
  <c r="I50" s="1"/>
  <c r="H51"/>
  <c r="I51" s="1"/>
  <c r="H48"/>
  <c r="I48" s="1"/>
  <c r="H47"/>
  <c r="I47" s="1"/>
  <c r="H46"/>
  <c r="I46" s="1"/>
  <c r="E20" l="1"/>
  <c r="D20"/>
  <c r="D208"/>
  <c r="E192"/>
  <c r="D191"/>
  <c r="D193"/>
  <c r="D194"/>
  <c r="D207"/>
  <c r="F192"/>
  <c r="F38"/>
  <c r="F64" s="1"/>
  <c r="D147"/>
  <c r="E38"/>
  <c r="E64" s="1"/>
  <c r="D148"/>
  <c r="E37"/>
  <c r="E62" s="1"/>
  <c r="D37"/>
  <c r="D62" s="1"/>
  <c r="C37"/>
  <c r="C62" s="1"/>
  <c r="D38"/>
  <c r="D64" s="1"/>
  <c r="E39"/>
  <c r="E66" s="1"/>
  <c r="F40"/>
  <c r="F68" s="1"/>
  <c r="E79"/>
  <c r="C212"/>
  <c r="C218" s="1"/>
  <c r="C214"/>
  <c r="C220" s="1"/>
  <c r="C213"/>
  <c r="C219" s="1"/>
  <c r="D89"/>
  <c r="D91"/>
  <c r="E89"/>
  <c r="E90"/>
  <c r="D92"/>
  <c r="F191"/>
  <c r="E19"/>
  <c r="I54"/>
  <c r="F58" s="1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C100"/>
  <c r="C101"/>
  <c r="F101"/>
  <c r="C102"/>
  <c r="F102"/>
  <c r="C103"/>
  <c r="F103"/>
  <c r="C127"/>
  <c r="L139" s="1"/>
  <c r="D127"/>
  <c r="M139" s="1"/>
  <c r="E127"/>
  <c r="N139" s="1"/>
  <c r="F127"/>
  <c r="O139" s="1"/>
  <c r="D128"/>
  <c r="M140" s="1"/>
  <c r="E128"/>
  <c r="N140" s="1"/>
  <c r="F128"/>
  <c r="O140" s="1"/>
  <c r="E129"/>
  <c r="N141" s="1"/>
  <c r="F129"/>
  <c r="O141" s="1"/>
  <c r="F130"/>
  <c r="O142" s="1"/>
  <c r="E140" i="6"/>
  <c r="D139"/>
  <c r="C138"/>
  <c r="B137"/>
  <c r="D133" i="8" l="1"/>
  <c r="E133"/>
  <c r="F133"/>
  <c r="E134"/>
  <c r="F134"/>
  <c r="D134"/>
  <c r="M134" s="1"/>
  <c r="E135"/>
  <c r="N135" s="1"/>
  <c r="F136"/>
  <c r="O136" s="1"/>
  <c r="C133"/>
  <c r="L133" s="1"/>
  <c r="M133" s="1"/>
  <c r="N133" s="1"/>
  <c r="O133" s="1"/>
  <c r="D214"/>
  <c r="D243"/>
  <c r="D213"/>
  <c r="D242"/>
  <c r="F81"/>
  <c r="F148" s="1"/>
  <c r="D78"/>
  <c r="D205" s="1"/>
  <c r="E80"/>
  <c r="E147" s="1"/>
  <c r="E208"/>
  <c r="E194"/>
  <c r="F79"/>
  <c r="F119" s="1"/>
  <c r="E206"/>
  <c r="E78"/>
  <c r="E205" s="1"/>
  <c r="E148"/>
  <c r="E119"/>
  <c r="E146"/>
  <c r="C78"/>
  <c r="J147" s="1"/>
  <c r="D79"/>
  <c r="F37"/>
  <c r="E136"/>
  <c r="E92"/>
  <c r="F89"/>
  <c r="F18"/>
  <c r="F193" s="1"/>
  <c r="F201"/>
  <c r="D199"/>
  <c r="B67"/>
  <c r="B69"/>
  <c r="B63"/>
  <c r="B65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C205" i="8" l="1"/>
  <c r="M16" s="1"/>
  <c r="C145"/>
  <c r="N134"/>
  <c r="O134" s="1"/>
  <c r="O11"/>
  <c r="O17"/>
  <c r="N10"/>
  <c r="N16"/>
  <c r="O10"/>
  <c r="O16"/>
  <c r="E240"/>
  <c r="E214"/>
  <c r="E243"/>
  <c r="E212"/>
  <c r="E241"/>
  <c r="F208"/>
  <c r="F123"/>
  <c r="D117"/>
  <c r="F146"/>
  <c r="F206"/>
  <c r="D211"/>
  <c r="D145"/>
  <c r="D155" s="1"/>
  <c r="D163" s="1"/>
  <c r="D170" s="1"/>
  <c r="D183" s="1"/>
  <c r="C2" i="13" s="1"/>
  <c r="E121" i="8"/>
  <c r="E207"/>
  <c r="D206"/>
  <c r="C155"/>
  <c r="C163" s="1"/>
  <c r="C170" s="1"/>
  <c r="C183" s="1"/>
  <c r="E117"/>
  <c r="E145"/>
  <c r="E155" s="1"/>
  <c r="E163" s="1"/>
  <c r="E170" s="1"/>
  <c r="E183" s="1"/>
  <c r="D2" i="13" s="1"/>
  <c r="C117" i="8"/>
  <c r="D119"/>
  <c r="D146"/>
  <c r="F39"/>
  <c r="F62"/>
  <c r="F78"/>
  <c r="F205" s="1"/>
  <c r="F135"/>
  <c r="O135" s="1"/>
  <c r="F91"/>
  <c r="E199"/>
  <c r="E211" s="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M10" i="8" l="1"/>
  <c r="P11"/>
  <c r="P17"/>
  <c r="N11"/>
  <c r="N17"/>
  <c r="P10"/>
  <c r="P16"/>
  <c r="P13"/>
  <c r="P19"/>
  <c r="O12"/>
  <c r="O18"/>
  <c r="D4" i="9"/>
  <c r="F3"/>
  <c r="F240" i="8"/>
  <c r="G208"/>
  <c r="E5" i="9"/>
  <c r="F5" s="1"/>
  <c r="G206" i="8"/>
  <c r="G205"/>
  <c r="F212"/>
  <c r="F241"/>
  <c r="D212"/>
  <c r="D241"/>
  <c r="E213"/>
  <c r="E242"/>
  <c r="F214"/>
  <c r="F243"/>
  <c r="C211"/>
  <c r="C217" s="1"/>
  <c r="C223" s="1"/>
  <c r="C231" s="1"/>
  <c r="C237" s="1"/>
  <c r="D156"/>
  <c r="D164" s="1"/>
  <c r="D171" s="1"/>
  <c r="D184" s="1"/>
  <c r="D217"/>
  <c r="E217"/>
  <c r="E156"/>
  <c r="E164" s="1"/>
  <c r="E171" s="1"/>
  <c r="E184" s="1"/>
  <c r="F117"/>
  <c r="F145"/>
  <c r="F155" s="1"/>
  <c r="F163" s="1"/>
  <c r="F170" s="1"/>
  <c r="F183" s="1"/>
  <c r="E2" i="13" s="1"/>
  <c r="F66" i="8"/>
  <c r="F80"/>
  <c r="B79" i="6"/>
  <c r="F199" i="8"/>
  <c r="F211" s="1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E218" i="8" l="1"/>
  <c r="D3" i="13"/>
  <c r="D218" i="8"/>
  <c r="C3" i="13"/>
  <c r="D157" i="8"/>
  <c r="D165" s="1"/>
  <c r="D172" s="1"/>
  <c r="D185" s="1"/>
  <c r="F217"/>
  <c r="F207"/>
  <c r="E157"/>
  <c r="E165" s="1"/>
  <c r="E172" s="1"/>
  <c r="E185" s="1"/>
  <c r="F156"/>
  <c r="F164" s="1"/>
  <c r="F171" s="1"/>
  <c r="F184" s="1"/>
  <c r="F121"/>
  <c r="F147"/>
  <c r="D16" i="6"/>
  <c r="D9" s="1"/>
  <c r="E26"/>
  <c r="E19" s="1"/>
  <c r="E16" s="1"/>
  <c r="E9" s="1"/>
  <c r="C26"/>
  <c r="C13" s="1"/>
  <c r="C10" s="1"/>
  <c r="C9" s="1"/>
  <c r="K18" i="5"/>
  <c r="J34" i="2" s="1"/>
  <c r="F218" i="8" l="1"/>
  <c r="E3" i="13"/>
  <c r="D219" i="8"/>
  <c r="C4" i="13"/>
  <c r="E219" i="8"/>
  <c r="D4" i="13"/>
  <c r="P12" i="8"/>
  <c r="P18"/>
  <c r="G207"/>
  <c r="E4" i="9"/>
  <c r="F4" s="1"/>
  <c r="F213" i="8"/>
  <c r="F242"/>
  <c r="D158"/>
  <c r="D166" s="1"/>
  <c r="D173" s="1"/>
  <c r="D186" s="1"/>
  <c r="E158"/>
  <c r="E166" s="1"/>
  <c r="E173" s="1"/>
  <c r="E186" s="1"/>
  <c r="F157"/>
  <c r="F165" s="1"/>
  <c r="F172" s="1"/>
  <c r="F185" s="1"/>
  <c r="C6" i="2"/>
  <c r="E2" s="1"/>
  <c r="J5" i="1"/>
  <c r="K5" s="1"/>
  <c r="J6"/>
  <c r="K6" s="1"/>
  <c r="J7"/>
  <c r="K7" s="1"/>
  <c r="J8"/>
  <c r="K8" s="1"/>
  <c r="J4"/>
  <c r="K4" s="1"/>
  <c r="D220" i="8" l="1"/>
  <c r="C5" i="13"/>
  <c r="E220" i="8"/>
  <c r="D5" i="13"/>
  <c r="F219" i="8"/>
  <c r="E4" i="13"/>
  <c r="F158" i="8"/>
  <c r="F166" s="1"/>
  <c r="F173" s="1"/>
  <c r="F186" s="1"/>
  <c r="F223"/>
  <c r="F233" s="1"/>
  <c r="K10" i="1"/>
  <c r="E223" i="8"/>
  <c r="E233" s="1"/>
  <c r="D223"/>
  <c r="D233" s="1"/>
  <c r="D224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F220" i="8" l="1"/>
  <c r="E5" i="13"/>
  <c r="D231" i="8"/>
  <c r="D232"/>
  <c r="E224"/>
  <c r="E234" s="1"/>
  <c r="N23" i="2"/>
  <c r="Q23" s="1"/>
  <c r="S23" s="1"/>
  <c r="G33" i="1"/>
  <c r="C34"/>
  <c r="D34" s="1"/>
  <c r="F224" i="8" l="1"/>
  <c r="F234" s="1"/>
  <c r="D237"/>
  <c r="E225"/>
  <c r="E34" i="1"/>
  <c r="F34" s="1"/>
  <c r="C35"/>
  <c r="D35" s="1"/>
  <c r="E231" i="8" l="1"/>
  <c r="E232"/>
  <c r="F225"/>
  <c r="F235" s="1"/>
  <c r="F226"/>
  <c r="G34" i="1"/>
  <c r="E35"/>
  <c r="F35" s="1"/>
  <c r="C36"/>
  <c r="D36" s="1"/>
  <c r="E237" i="8" l="1"/>
  <c r="F231"/>
  <c r="F232"/>
  <c r="G35" i="1"/>
  <c r="C37"/>
  <c r="D37" s="1"/>
  <c r="E36"/>
  <c r="F36" s="1"/>
  <c r="F237" i="8" l="1"/>
  <c r="G36" i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<sst xmlns="http://schemas.openxmlformats.org/spreadsheetml/2006/main" count="526" uniqueCount="241">
  <si>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</si>
  <si>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</si>
  <si>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</si>
  <si>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</si>
  <si>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</si>
  <si>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</si>
  <si>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</si>
  <si>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</si>
  <si>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</si>
  <si>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</si>
  <si>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</si>
  <si>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</si>
  <si>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</si>
  <si>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</si>
  <si>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</si>
  <si>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</si>
  <si>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</si>
  <si>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</si>
  <si>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</si>
  <si>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</si>
  <si>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</si>
  <si>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</si>
  <si>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</si>
  <si>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</si>
  <si>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</si>
  <si>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</si>
  <si>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</si>
  <si>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</si>
  <si>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</si>
  <si>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</si>
  <si>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</si>
  <si>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</si>
  <si>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</si>
  <si>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</si>
  <si>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</si>
  <si>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</si>
  <si>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</si>
  <si>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</si>
  <si>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</si>
  <si>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</si>
  <si>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</si>
  <si>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</si>
  <si>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</si>
  <si>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</si>
  <si>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</si>
  <si>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</si>
  <si>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</si>
  <si>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</si>
  <si>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</si>
  <si>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</si>
  <si>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</si>
  <si>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</si>
  <si>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</si>
  <si>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</si>
  <si>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</si>
  <si>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</si>
  <si>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</si>
  <si>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</si>
  <si>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</si>
  <si>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</si>
  <si>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</si>
  <si>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</si>
  <si>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</si>
  <si>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</si>
  <si>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</si>
  <si>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</si>
  <si>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</si>
  <si>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</si>
  <si>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</si>
  <si>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</si>
  <si>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</si>
  <si>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</si>
  <si>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</si>
  <si>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</si>
  <si>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</si>
  <si>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</si>
  <si>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</si>
  <si>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</si>
  <si>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</si>
  <si>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</si>
  <si>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</si>
  <si>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</si>
  <si>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</si>
  <si>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</si>
  <si>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</si>
  <si>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</si>
  <si>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</si>
  <si>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</si>
  <si>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</si>
  <si>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</si>
  <si>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</si>
  <si>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</si>
  <si>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</si>
  <si>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</si>
  <si>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</si>
  <si>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</si>
  <si>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</si>
  <si>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</si>
  <si>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</si>
  <si>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</si>
  <si>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</si>
  <si>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</si>
  <si>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</si>
  <si>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</si>
  <si>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</si>
  <si>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</si>
  <si>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</si>
  <si>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</si>
  <si>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</si>
  <si>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</si>
  <si>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</si>
  <si>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</si>
  <si>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</si>
  <si>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</si>
  <si>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</si>
  <si>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</si>
  <si>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</si>
  <si>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</si>
  <si>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</si>
  <si>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</si>
  <si>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</si>
  <si>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</si>
  <si>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</si>
  <si>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</si>
  <si>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</si>
  <si>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</si>
  <si>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</si>
  <si>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</si>
  <si>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</si>
  <si>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</si>
  <si>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</si>
  <si>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</si>
  <si>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</si>
  <si>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</si>
  <si>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</si>
  <si>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</si>
  <si>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</si>
  <si>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</si>
  <si>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</si>
  <si>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</si>
  <si>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</si>
  <si>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</si>
  <si>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</si>
  <si>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</si>
  <si>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</si>
  <si>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</si>
  <si>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</si>
  <si>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</si>
  <si>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</si>
  <si>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</si>
  <si>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</si>
  <si>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</si>
  <si>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</si>
  <si>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</si>
  <si>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</si>
  <si>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</si>
  <si>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</si>
  <si>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</si>
  <si>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</si>
  <si>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</si>
  <si>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</si>
  <si>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</si>
  <si>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</si>
  <si>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</si>
  <si>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</si>
  <si>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</si>
  <si>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</si>
  <si>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</si>
  <si>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</si>
  <si>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</si>
  <si>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</si>
  <si>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</si>
  <si>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</si>
  <si>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</si>
  <si>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</si>
  <si>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</si>
  <si>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yes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</si>
  <si>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</si>
  <si>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</si>
  <si>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</si>
  <si>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</si>
  <si>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</si>
  <si>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</si>
  <si>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</si>
  <si>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</si>
  <si>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</si>
  <si>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</si>
  <si>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</si>
  <si>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</si>
  <si>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</si>
  <si>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</si>
  <si>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</si>
  <si>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</si>
  <si>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</si>
  <si>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</si>
  <si>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</si>
  <si>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</si>
  <si>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</si>
  <si>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</si>
  <si>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</si>
  <si>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</si>
  <si>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</si>
  <si>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</si>
  <si>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</si>
  <si>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</si>
  <si>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</si>
  <si>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</si>
  <si>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</si>
  <si>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</si>
  <si>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</si>
  <si>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Initial LCF</t>
  </si>
  <si>
    <t>R/I result  of UY-Year</t>
  </si>
  <si>
    <t>(RI result of this UY) + (LCF of previous year)</t>
  </si>
  <si>
    <t xml:space="preserve">Profit Commission 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</si>
  <si>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</si>
  <si>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</si>
  <si>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</si>
  <si>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</si>
  <si>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</si>
  <si>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</si>
  <si>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</si>
  <si>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</si>
  <si>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</si>
  <si>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</si>
  <si>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</si>
  <si>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</si>
  <si>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</si>
  <si>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</si>
  <si>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</si>
  <si>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</si>
  <si>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</si>
  <si>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</si>
  <si>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</si>
  <si>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>net + commission + ceded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</si>
  <si>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</si>
  <si>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</si>
  <si>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</si>
  <si>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</si>
  <si>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Gross Cumulative Claims</t>
  </si>
  <si>
    <t>Gross Cumulative Premium</t>
  </si>
  <si>
    <t>premium*(ceded share)*(100%- ceded loss ratio-CommissionRatioFixed-CostRatio)</t>
  </si>
</sst>
</file>

<file path=xl/styles.xml><?xml version="1.0" encoding="utf-8"?>
<styleSheet xmlns="http://schemas.openxmlformats.org/spreadsheetml/2006/main">
  <numFmts count="8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0" formatCode="#,##0;\-#,##0;\-"/>
    <numFmt numFmtId="171" formatCode="0.00000"/>
  </numFmts>
  <fonts count="13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</cellStyleXfs>
  <cellXfs count="225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0" fillId="0" borderId="8" xfId="0" applyBorder="1"/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0" fontId="0" fillId="0" borderId="6" xfId="0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9" fontId="2" fillId="2" borderId="8" xfId="0" applyNumberFormat="1" applyFont="1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170" fontId="0" fillId="0" borderId="0" xfId="0" applyNumberFormat="1"/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0" fontId="0" fillId="2" borderId="3" xfId="0" applyFill="1" applyBorder="1"/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2" borderId="0" xfId="0" applyNumberFormat="1" applyFont="1" applyFill="1"/>
    <xf numFmtId="0" fontId="0" fillId="0" borderId="0" xfId="0" applyAlignment="1"/>
    <xf numFmtId="169" fontId="0" fillId="0" borderId="3" xfId="0" applyNumberFormat="1" applyBorder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10" fontId="0" fillId="0" borderId="6" xfId="0" applyNumberFormat="1" applyFill="1" applyBorder="1"/>
    <xf numFmtId="10" fontId="0" fillId="0" borderId="3" xfId="0" applyNumberFormat="1" applyFill="1" applyBorder="1"/>
    <xf numFmtId="10" fontId="0" fillId="0" borderId="0" xfId="0" applyNumberFormat="1" applyFill="1" applyBorder="1"/>
    <xf numFmtId="2" fontId="0" fillId="0" borderId="0" xfId="0" applyNumberFormat="1"/>
    <xf numFmtId="171" fontId="0" fillId="0" borderId="0" xfId="0" applyNumberFormat="1"/>
    <xf numFmtId="169" fontId="12" fillId="9" borderId="0" xfId="4" applyNumberFormat="1"/>
    <xf numFmtId="171" fontId="11" fillId="8" borderId="0" xfId="3" applyNumberFormat="1"/>
    <xf numFmtId="0" fontId="0" fillId="0" borderId="0" xfId="0" applyNumberFormat="1"/>
    <xf numFmtId="168" fontId="0" fillId="0" borderId="0" xfId="0" applyNumberFormat="1" applyFill="1" applyBorder="1"/>
  </cellXfs>
  <cellStyles count="5">
    <cellStyle name="Bad" xfId="4" builtinId="27"/>
    <cellStyle name="Dezimal 2" xfId="2"/>
    <cellStyle name="Good" xfId="3" builtinId="26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93076480"/>
        <c:axId val="93094656"/>
      </c:lineChart>
      <c:catAx>
        <c:axId val="93076480"/>
        <c:scaling>
          <c:orientation val="minMax"/>
        </c:scaling>
        <c:axPos val="b"/>
        <c:numFmt formatCode="0.00%" sourceLinked="1"/>
        <c:tickLblPos val="nextTo"/>
        <c:crossAx val="93094656"/>
        <c:crosses val="autoZero"/>
        <c:auto val="1"/>
        <c:lblAlgn val="ctr"/>
        <c:lblOffset val="100"/>
      </c:catAx>
      <c:valAx>
        <c:axId val="93094656"/>
        <c:scaling>
          <c:orientation val="minMax"/>
        </c:scaling>
        <c:axPos val="l"/>
        <c:majorGridlines/>
        <c:numFmt formatCode="0.00%" sourceLinked="1"/>
        <c:tickLblPos val="nextTo"/>
        <c:crossAx val="930764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0.39999999999999991</c:v>
                </c:pt>
                <c:pt idx="20">
                  <c:v>0.37499999999999989</c:v>
                </c:pt>
                <c:pt idx="21">
                  <c:v>0.34999999999999987</c:v>
                </c:pt>
                <c:pt idx="22">
                  <c:v>0.32499999999999984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0.29999999999999893</c:v>
                </c:pt>
                <c:pt idx="28">
                  <c:v>0.23749999999999893</c:v>
                </c:pt>
                <c:pt idx="29">
                  <c:v>0.17499999999999893</c:v>
                </c:pt>
                <c:pt idx="30">
                  <c:v>0.11249999999999893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</c:numCache>
            </c:numRef>
          </c:yVal>
        </c:ser>
        <c:axId val="106055552"/>
        <c:axId val="106062208"/>
      </c:scatterChart>
      <c:valAx>
        <c:axId val="1060555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106062208"/>
        <c:crosses val="autoZero"/>
        <c:crossBetween val="midCat"/>
        <c:majorUnit val="0.1"/>
      </c:valAx>
      <c:valAx>
        <c:axId val="1060622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106055552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3"/>
  <sheetViews>
    <sheetView showGridLines="0" tabSelected="1" topLeftCell="A131" zoomScale="70" zoomScaleNormal="70" workbookViewId="0">
      <selection activeCell="C10" sqref="C10:F19"/>
    </sheetView>
  </sheetViews>
  <sheetFormatPr defaultColWidth="11.5546875" defaultRowHeight="13.2"/>
  <cols>
    <col min="1" max="1" width="14" customWidth="1"/>
    <col min="2" max="2" width="42.109375" style="122" customWidth="1"/>
    <col min="3" max="4" width="22.5546875" bestFit="1" customWidth="1"/>
    <col min="5" max="6" width="23.5546875" bestFit="1" customWidth="1"/>
    <col min="7" max="7" width="11" customWidth="1"/>
    <col min="14" max="14" width="16.5546875" bestFit="1" customWidth="1"/>
  </cols>
  <sheetData>
    <row r="1" spans="1:16" ht="22.8">
      <c r="B1" s="215" t="s">
        <v>237</v>
      </c>
      <c r="C1" s="126"/>
      <c r="D1" s="126"/>
      <c r="E1" s="126"/>
      <c r="F1" s="126"/>
      <c r="G1" s="126"/>
      <c r="H1" s="126"/>
      <c r="I1" s="126"/>
    </row>
    <row r="3" spans="1:16">
      <c r="B3" s="170" t="s">
        <v>140</v>
      </c>
    </row>
    <row r="4" spans="1:16">
      <c r="B4" s="169" t="s">
        <v>141</v>
      </c>
    </row>
    <row r="5" spans="1:16">
      <c r="B5" t="s">
        <v>139</v>
      </c>
    </row>
    <row r="6" spans="1:16">
      <c r="B6"/>
    </row>
    <row r="9" spans="1:16" s="32" customFormat="1" ht="14.4">
      <c r="A9"/>
      <c r="B9" s="124" t="s">
        <v>227</v>
      </c>
      <c r="C9" s="148" t="s">
        <v>116</v>
      </c>
      <c r="D9" s="148" t="s">
        <v>115</v>
      </c>
      <c r="E9" s="148" t="s">
        <v>114</v>
      </c>
      <c r="F9" s="148" t="s">
        <v>113</v>
      </c>
      <c r="H9" s="32" t="s">
        <v>138</v>
      </c>
    </row>
    <row r="10" spans="1:16" ht="14.4">
      <c r="B10" s="122" t="s">
        <v>112</v>
      </c>
      <c r="C10" s="159">
        <v>-500</v>
      </c>
      <c r="D10">
        <v>-500</v>
      </c>
      <c r="E10">
        <v>-1500</v>
      </c>
      <c r="F10" s="175">
        <v>-1500</v>
      </c>
      <c r="H10" t="s">
        <v>120</v>
      </c>
      <c r="M10" s="222">
        <f>C205/C10</f>
        <v>-1.1999999999999957E-2</v>
      </c>
      <c r="N10" s="220" t="e">
        <f>D205/(D10-C10)</f>
        <v>#DIV/0!</v>
      </c>
      <c r="O10" s="222">
        <f t="shared" ref="O10:P10" si="0">E205/(E10-D10)</f>
        <v>-5.7000000000000051E-2</v>
      </c>
      <c r="P10" s="220" t="e">
        <f t="shared" si="0"/>
        <v>#DIV/0!</v>
      </c>
    </row>
    <row r="11" spans="1:16">
      <c r="B11" s="122" t="s">
        <v>111</v>
      </c>
      <c r="D11" s="123">
        <v>-800</v>
      </c>
      <c r="E11">
        <v>-800</v>
      </c>
      <c r="F11">
        <v>-800</v>
      </c>
      <c r="H11" t="s">
        <v>188</v>
      </c>
      <c r="N11" s="220">
        <f t="shared" ref="N11:N13" si="1">D206/(D11-C11)</f>
        <v>-7.5000000000000067E-2</v>
      </c>
      <c r="O11" s="220" t="e">
        <f t="shared" ref="O11:O13" si="2">E206/(E11-D11)</f>
        <v>#DIV/0!</v>
      </c>
      <c r="P11" s="220" t="e">
        <f t="shared" ref="P11:P13" si="3">F206/(F11-E11)</f>
        <v>#DIV/0!</v>
      </c>
    </row>
    <row r="12" spans="1:16">
      <c r="B12" s="122" t="s">
        <v>110</v>
      </c>
      <c r="E12" s="123">
        <v>-800</v>
      </c>
      <c r="F12">
        <v>-800</v>
      </c>
      <c r="H12" t="s">
        <v>189</v>
      </c>
      <c r="N12" s="220" t="e">
        <f t="shared" si="1"/>
        <v>#DIV/0!</v>
      </c>
      <c r="O12" s="220">
        <f t="shared" si="2"/>
        <v>-7.5000000000000067E-2</v>
      </c>
      <c r="P12" s="220" t="e">
        <f t="shared" si="3"/>
        <v>#DIV/0!</v>
      </c>
    </row>
    <row r="13" spans="1:16">
      <c r="B13" s="122" t="s">
        <v>109</v>
      </c>
      <c r="F13" s="123">
        <v>-800</v>
      </c>
      <c r="N13" s="220" t="e">
        <f t="shared" si="1"/>
        <v>#DIV/0!</v>
      </c>
      <c r="O13" s="220" t="e">
        <f t="shared" si="2"/>
        <v>#DIV/0!</v>
      </c>
      <c r="P13" s="220">
        <f t="shared" si="3"/>
        <v>-7.5000000000000067E-2</v>
      </c>
    </row>
    <row r="15" spans="1:16" s="32" customFormat="1" ht="14.4">
      <c r="B15" s="124" t="s">
        <v>117</v>
      </c>
      <c r="C15" s="148" t="s">
        <v>116</v>
      </c>
      <c r="D15" s="148" t="s">
        <v>115</v>
      </c>
      <c r="E15" s="148" t="s">
        <v>114</v>
      </c>
      <c r="F15" s="148" t="s">
        <v>113</v>
      </c>
      <c r="H15" s="32" t="s">
        <v>122</v>
      </c>
    </row>
    <row r="16" spans="1:16" ht="14.4">
      <c r="B16" s="122" t="s">
        <v>112</v>
      </c>
      <c r="C16" s="161">
        <v>800</v>
      </c>
      <c r="D16" s="162">
        <v>900</v>
      </c>
      <c r="E16" s="162">
        <v>950</v>
      </c>
      <c r="F16" s="162">
        <v>1000</v>
      </c>
      <c r="H16" t="s">
        <v>123</v>
      </c>
      <c r="M16" s="162">
        <f>C205</f>
        <v>5.9999999999999787</v>
      </c>
      <c r="N16" s="162">
        <f t="shared" ref="N16:P19" si="4">D205</f>
        <v>0</v>
      </c>
      <c r="O16" s="162">
        <f t="shared" si="4"/>
        <v>57.00000000000005</v>
      </c>
      <c r="P16" s="221">
        <f t="shared" si="4"/>
        <v>60.00000000000005</v>
      </c>
    </row>
    <row r="17" spans="2:16" ht="14.4">
      <c r="B17" s="122" t="s">
        <v>111</v>
      </c>
      <c r="C17" s="160"/>
      <c r="D17" s="163">
        <v>1000</v>
      </c>
      <c r="E17" s="162">
        <f t="shared" ref="E17:F17" si="5">D17*1.1</f>
        <v>1100</v>
      </c>
      <c r="F17" s="162">
        <f t="shared" si="5"/>
        <v>1210</v>
      </c>
      <c r="H17" t="s">
        <v>192</v>
      </c>
      <c r="M17" s="162">
        <f t="shared" ref="M17:M19" si="6">C206</f>
        <v>0</v>
      </c>
      <c r="N17" s="162">
        <f t="shared" si="4"/>
        <v>60.00000000000005</v>
      </c>
      <c r="O17" s="221">
        <f t="shared" si="4"/>
        <v>42.00000000000005</v>
      </c>
      <c r="P17" s="221">
        <f t="shared" si="4"/>
        <v>22.199999999999974</v>
      </c>
    </row>
    <row r="18" spans="2:16" ht="14.4">
      <c r="B18" s="122" t="s">
        <v>110</v>
      </c>
      <c r="C18" s="160"/>
      <c r="D18" s="160">
        <f t="shared" ref="D18:F18" si="7">C18*1.1</f>
        <v>0</v>
      </c>
      <c r="E18" s="163">
        <v>1000</v>
      </c>
      <c r="F18" s="162">
        <f t="shared" si="7"/>
        <v>1100</v>
      </c>
      <c r="M18" s="162">
        <f t="shared" si="6"/>
        <v>0</v>
      </c>
      <c r="N18" s="162">
        <f t="shared" si="4"/>
        <v>0</v>
      </c>
      <c r="O18" s="221">
        <f t="shared" si="4"/>
        <v>60.00000000000005</v>
      </c>
      <c r="P18" s="221">
        <f t="shared" si="4"/>
        <v>42.00000000000005</v>
      </c>
    </row>
    <row r="19" spans="2:16">
      <c r="B19" s="122" t="s">
        <v>109</v>
      </c>
      <c r="C19" s="160"/>
      <c r="D19" s="160">
        <f t="shared" ref="D19:E19" si="8">C19*1.1</f>
        <v>0</v>
      </c>
      <c r="E19" s="160">
        <f t="shared" si="8"/>
        <v>0</v>
      </c>
      <c r="F19" s="163">
        <v>1000</v>
      </c>
      <c r="M19" s="162">
        <f t="shared" si="6"/>
        <v>0</v>
      </c>
      <c r="N19" s="162">
        <f t="shared" si="4"/>
        <v>0</v>
      </c>
      <c r="O19" s="162">
        <f t="shared" si="4"/>
        <v>0</v>
      </c>
      <c r="P19" s="162">
        <f t="shared" si="4"/>
        <v>60.00000000000005</v>
      </c>
    </row>
    <row r="20" spans="2:16">
      <c r="B20" s="138"/>
      <c r="C20">
        <f>C16/$F$16</f>
        <v>0.8</v>
      </c>
      <c r="D20">
        <f t="shared" ref="D20:F20" si="9">D16/$F$16</f>
        <v>0.9</v>
      </c>
      <c r="E20">
        <f t="shared" si="9"/>
        <v>0.95</v>
      </c>
      <c r="F20">
        <f t="shared" si="9"/>
        <v>1</v>
      </c>
    </row>
    <row r="21" spans="2:16" ht="14.4">
      <c r="B21" s="124" t="s">
        <v>160</v>
      </c>
      <c r="C21" s="148"/>
      <c r="D21" s="126"/>
      <c r="E21" s="126"/>
      <c r="F21" s="126"/>
    </row>
    <row r="22" spans="2:16">
      <c r="B22" s="157" t="s">
        <v>112</v>
      </c>
      <c r="C22" s="210">
        <v>0.6</v>
      </c>
    </row>
    <row r="23" spans="2:16">
      <c r="B23"/>
    </row>
    <row r="24" spans="2:16" ht="14.4">
      <c r="B24" s="124" t="s">
        <v>170</v>
      </c>
      <c r="C24" s="148" t="s">
        <v>25</v>
      </c>
      <c r="D24" s="148" t="s">
        <v>171</v>
      </c>
      <c r="E24" s="82"/>
      <c r="F24" s="82"/>
      <c r="H24" s="32" t="s">
        <v>172</v>
      </c>
    </row>
    <row r="25" spans="2:16">
      <c r="B25" s="122" t="s">
        <v>112</v>
      </c>
      <c r="C25" s="41">
        <v>0</v>
      </c>
      <c r="D25" s="41">
        <v>1000000</v>
      </c>
      <c r="H25" t="s">
        <v>173</v>
      </c>
    </row>
    <row r="26" spans="2:16">
      <c r="B26" s="122" t="s">
        <v>111</v>
      </c>
      <c r="C26" s="41">
        <v>0</v>
      </c>
      <c r="D26" s="41">
        <v>1000000</v>
      </c>
    </row>
    <row r="27" spans="2:16">
      <c r="B27" s="122" t="s">
        <v>110</v>
      </c>
      <c r="C27" s="41">
        <v>0</v>
      </c>
      <c r="D27" s="41">
        <v>1000000</v>
      </c>
      <c r="H27" s="2" t="s">
        <v>221</v>
      </c>
      <c r="I27" s="2"/>
      <c r="J27" s="2"/>
      <c r="K27" s="2"/>
    </row>
    <row r="28" spans="2:16">
      <c r="B28" s="122" t="s">
        <v>109</v>
      </c>
      <c r="C28" s="41">
        <v>0</v>
      </c>
      <c r="D28" s="41">
        <v>1000000</v>
      </c>
    </row>
    <row r="30" spans="2:16" ht="14.4">
      <c r="B30" s="124" t="s">
        <v>174</v>
      </c>
      <c r="C30" s="148" t="s">
        <v>116</v>
      </c>
      <c r="D30" s="148" t="s">
        <v>115</v>
      </c>
      <c r="E30" s="148" t="s">
        <v>114</v>
      </c>
      <c r="F30" s="148" t="s">
        <v>113</v>
      </c>
      <c r="H30" s="149" t="s">
        <v>205</v>
      </c>
    </row>
    <row r="31" spans="2:16">
      <c r="B31" s="122" t="s">
        <v>112</v>
      </c>
      <c r="C31" s="161">
        <f>-MIN(MAX(0,-C10-$C25),$D25)</f>
        <v>-500</v>
      </c>
      <c r="D31" s="162">
        <f t="shared" ref="D31:F31" si="10">-MIN(MAX(0,-D10-$C25),$D25)</f>
        <v>-500</v>
      </c>
      <c r="E31" s="162">
        <f t="shared" si="10"/>
        <v>-1500</v>
      </c>
      <c r="F31" s="162">
        <f t="shared" si="10"/>
        <v>-1500</v>
      </c>
      <c r="H31" s="32" t="s">
        <v>206</v>
      </c>
    </row>
    <row r="32" spans="2:16">
      <c r="B32" s="122" t="s">
        <v>111</v>
      </c>
      <c r="C32" s="160">
        <f t="shared" ref="C32:F32" si="11">-MIN(MAX(0,-C11-$C26),$D26)</f>
        <v>0</v>
      </c>
      <c r="D32" s="163">
        <f t="shared" si="11"/>
        <v>-800</v>
      </c>
      <c r="E32" s="162">
        <f t="shared" si="11"/>
        <v>-800</v>
      </c>
      <c r="F32" s="162">
        <f t="shared" si="11"/>
        <v>-800</v>
      </c>
    </row>
    <row r="33" spans="1:24">
      <c r="B33" s="122" t="s">
        <v>110</v>
      </c>
      <c r="C33" s="160">
        <f t="shared" ref="C33:F33" si="12">-MIN(MAX(0,-C12-$C27),$D27)</f>
        <v>0</v>
      </c>
      <c r="D33" s="160">
        <f t="shared" si="12"/>
        <v>0</v>
      </c>
      <c r="E33" s="163">
        <f t="shared" si="12"/>
        <v>-800</v>
      </c>
      <c r="F33" s="162">
        <f t="shared" si="12"/>
        <v>-800</v>
      </c>
    </row>
    <row r="34" spans="1:24">
      <c r="B34" s="122" t="s">
        <v>109</v>
      </c>
      <c r="C34" s="160">
        <f t="shared" ref="C34:F34" si="13">-MIN(MAX(0,-C13-$C28),$D28)</f>
        <v>0</v>
      </c>
      <c r="D34" s="160">
        <f t="shared" si="13"/>
        <v>0</v>
      </c>
      <c r="E34" s="160">
        <f t="shared" si="13"/>
        <v>0</v>
      </c>
      <c r="F34" s="163">
        <f t="shared" si="13"/>
        <v>-800</v>
      </c>
    </row>
    <row r="36" spans="1:24" ht="14.4">
      <c r="B36" s="124" t="s">
        <v>175</v>
      </c>
      <c r="C36" s="148" t="s">
        <v>116</v>
      </c>
      <c r="D36" s="148" t="s">
        <v>115</v>
      </c>
      <c r="E36" s="148" t="s">
        <v>114</v>
      </c>
      <c r="F36" s="148" t="s">
        <v>113</v>
      </c>
      <c r="H36" s="173"/>
    </row>
    <row r="37" spans="1:24">
      <c r="B37" s="122" t="s">
        <v>112</v>
      </c>
      <c r="C37" s="158">
        <f>-C31/C16</f>
        <v>0.625</v>
      </c>
      <c r="D37" s="25">
        <f>-D31/D16</f>
        <v>0.55555555555555558</v>
      </c>
      <c r="E37" s="25">
        <f>-E31/E16</f>
        <v>1.5789473684210527</v>
      </c>
      <c r="F37" s="25">
        <f>-F31/F16</f>
        <v>1.5</v>
      </c>
    </row>
    <row r="38" spans="1:24">
      <c r="B38" s="122" t="s">
        <v>111</v>
      </c>
      <c r="C38" s="25"/>
      <c r="D38" s="125">
        <f>-D32/D17</f>
        <v>0.8</v>
      </c>
      <c r="E38" s="25">
        <f>-E32/E17</f>
        <v>0.72727272727272729</v>
      </c>
      <c r="F38" s="25">
        <f>-F32/F17</f>
        <v>0.66115702479338845</v>
      </c>
    </row>
    <row r="39" spans="1:24">
      <c r="B39" s="122" t="s">
        <v>110</v>
      </c>
      <c r="C39" s="25"/>
      <c r="D39" s="25"/>
      <c r="E39" s="125">
        <f>-E33/E18</f>
        <v>0.8</v>
      </c>
      <c r="F39" s="25">
        <f>-F33/F18</f>
        <v>0.72727272727272729</v>
      </c>
    </row>
    <row r="40" spans="1:24">
      <c r="B40" s="122" t="s">
        <v>109</v>
      </c>
      <c r="C40" s="25"/>
      <c r="D40" s="25"/>
      <c r="E40" s="25"/>
      <c r="F40" s="125">
        <f>-F34/F19</f>
        <v>0.8</v>
      </c>
    </row>
    <row r="41" spans="1:24">
      <c r="B41"/>
    </row>
    <row r="42" spans="1:24">
      <c r="B42"/>
    </row>
    <row r="43" spans="1:24" s="150" customFormat="1" ht="15.6">
      <c r="B43" s="151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13" t="s">
        <v>13</v>
      </c>
      <c r="E45" s="214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1</v>
      </c>
      <c r="F46" s="35"/>
      <c r="G46" s="35"/>
      <c r="H46" s="27">
        <f t="shared" ref="H46:H51" si="14">MIN($D$57,D47)-MIN($D$57,D46)</f>
        <v>0.6</v>
      </c>
      <c r="I46" s="5">
        <f t="shared" ref="I46:I51" si="15">H46*E46</f>
        <v>0.6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0.6</v>
      </c>
      <c r="E47" s="44">
        <v>0.5</v>
      </c>
      <c r="F47" s="35"/>
      <c r="G47" s="35"/>
      <c r="H47" s="27">
        <f t="shared" si="14"/>
        <v>5.0000000000000044E-2</v>
      </c>
      <c r="I47" s="5">
        <f t="shared" si="15"/>
        <v>2.5000000000000022E-2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0.7</v>
      </c>
      <c r="E48" s="44">
        <v>0.5</v>
      </c>
      <c r="F48" s="35"/>
      <c r="G48" s="35"/>
      <c r="H48" s="27">
        <f t="shared" si="14"/>
        <v>0</v>
      </c>
      <c r="I48" s="5">
        <f t="shared" si="1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>
        <v>0.8</v>
      </c>
      <c r="E49" s="44">
        <v>1</v>
      </c>
      <c r="F49" s="35"/>
      <c r="G49" s="35"/>
      <c r="H49" s="27">
        <f t="shared" si="14"/>
        <v>0</v>
      </c>
      <c r="I49" s="5">
        <f t="shared" ref="I49:I50" si="1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14"/>
        <v>0</v>
      </c>
      <c r="I50" s="5">
        <f t="shared" si="1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14"/>
        <v>0</v>
      </c>
      <c r="I51" s="5">
        <f t="shared" si="1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>
      <c r="A52" s="35"/>
      <c r="B52" s="63" t="s">
        <v>21</v>
      </c>
      <c r="C52" s="64"/>
      <c r="D52" s="171"/>
      <c r="E52" s="171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>
      <c r="A54" s="35"/>
      <c r="B54" s="66"/>
      <c r="C54" s="67"/>
      <c r="D54" s="155" t="s">
        <v>28</v>
      </c>
      <c r="E54" s="46"/>
      <c r="F54" s="35"/>
      <c r="G54" s="153"/>
      <c r="H54" s="154" t="s">
        <v>135</v>
      </c>
      <c r="I54" s="71">
        <f>SUM(I46:I51)</f>
        <v>0.625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>
      <c r="A57" s="35"/>
      <c r="B57" s="35" t="s">
        <v>1</v>
      </c>
      <c r="C57" s="35" t="s">
        <v>3</v>
      </c>
      <c r="D57" s="172">
        <v>0.65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>
      <c r="A58" s="35"/>
      <c r="B58" s="35" t="s">
        <v>51</v>
      </c>
      <c r="C58" s="35" t="s">
        <v>159</v>
      </c>
      <c r="D58" s="35"/>
      <c r="E58" s="35"/>
      <c r="F58" s="62">
        <f>I54</f>
        <v>0.625</v>
      </c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61" spans="1:24" ht="14.4">
      <c r="B61" s="152" t="s">
        <v>124</v>
      </c>
      <c r="C61" s="148" t="s">
        <v>116</v>
      </c>
      <c r="D61" s="148" t="s">
        <v>115</v>
      </c>
      <c r="E61" s="148" t="s">
        <v>114</v>
      </c>
      <c r="F61" s="148" t="s">
        <v>113</v>
      </c>
    </row>
    <row r="62" spans="1:24">
      <c r="A62" s="137" t="s">
        <v>3</v>
      </c>
      <c r="B62" s="136" t="s">
        <v>112</v>
      </c>
      <c r="C62" s="216">
        <f t="shared" ref="C62:F62" si="17">C37</f>
        <v>0.625</v>
      </c>
      <c r="D62" s="218">
        <f t="shared" si="17"/>
        <v>0.55555555555555558</v>
      </c>
      <c r="E62" s="218">
        <f t="shared" si="17"/>
        <v>1.5789473684210527</v>
      </c>
      <c r="F62" s="218">
        <f t="shared" si="17"/>
        <v>1.5</v>
      </c>
    </row>
    <row r="63" spans="1:24">
      <c r="A63" s="130" t="s">
        <v>121</v>
      </c>
      <c r="B63" s="129">
        <f>$I$54</f>
        <v>0.625</v>
      </c>
      <c r="C63" s="217">
        <f t="dataTable" ref="C63:F63" dt2D="0" dtr="1" r1="D57"/>
        <v>0.61250000000000004</v>
      </c>
      <c r="D63" s="217">
        <v>0.55555555555555558</v>
      </c>
      <c r="E63" s="217">
        <v>1.4789473684210526</v>
      </c>
      <c r="F63" s="217">
        <v>1.4</v>
      </c>
    </row>
    <row r="64" spans="1:24">
      <c r="A64" s="137" t="s">
        <v>3</v>
      </c>
      <c r="B64" s="136" t="s">
        <v>111</v>
      </c>
      <c r="C64" s="20">
        <f>C38</f>
        <v>0</v>
      </c>
      <c r="D64" s="195">
        <f t="shared" ref="D64:F64" si="18">D38</f>
        <v>0.8</v>
      </c>
      <c r="E64" s="198">
        <f t="shared" si="18"/>
        <v>0.72727272727272729</v>
      </c>
      <c r="F64" s="198">
        <f t="shared" si="18"/>
        <v>0.66115702479338845</v>
      </c>
    </row>
    <row r="65" spans="1:8">
      <c r="A65" s="130" t="s">
        <v>121</v>
      </c>
      <c r="B65" s="129">
        <f>$I$54</f>
        <v>0.625</v>
      </c>
      <c r="C65" s="127">
        <f t="dataTable" ref="C65:F65" dt2D="0" dtr="1" r1="D57" ca="1"/>
        <v>0</v>
      </c>
      <c r="D65" s="197">
        <v>0.7</v>
      </c>
      <c r="E65" s="197">
        <v>0.66363636363636358</v>
      </c>
      <c r="F65" s="197">
        <v>0.63057851239669427</v>
      </c>
    </row>
    <row r="66" spans="1:8">
      <c r="A66" s="137" t="s">
        <v>3</v>
      </c>
      <c r="B66" s="136" t="s">
        <v>110</v>
      </c>
      <c r="C66" s="20">
        <f>C39</f>
        <v>0</v>
      </c>
      <c r="D66" s="20">
        <f t="shared" ref="D66:F66" si="19">D39</f>
        <v>0</v>
      </c>
      <c r="E66" s="195">
        <f t="shared" si="19"/>
        <v>0.8</v>
      </c>
      <c r="F66" s="198">
        <f t="shared" si="19"/>
        <v>0.72727272727272729</v>
      </c>
    </row>
    <row r="67" spans="1:8">
      <c r="A67" s="130" t="s">
        <v>121</v>
      </c>
      <c r="B67" s="129">
        <f>$I$54</f>
        <v>0.625</v>
      </c>
      <c r="C67" s="127">
        <f t="dataTable" ref="C67:F67" dt2D="0" dtr="1" r1="D57" ca="1"/>
        <v>0</v>
      </c>
      <c r="D67" s="127">
        <v>0</v>
      </c>
      <c r="E67" s="197">
        <v>0.7</v>
      </c>
      <c r="F67" s="197">
        <v>0.66363636363636358</v>
      </c>
    </row>
    <row r="68" spans="1:8">
      <c r="A68" s="137" t="s">
        <v>3</v>
      </c>
      <c r="B68" s="136" t="s">
        <v>109</v>
      </c>
      <c r="C68" s="20">
        <f>C40</f>
        <v>0</v>
      </c>
      <c r="D68" s="20">
        <f t="shared" ref="D68:F68" si="20">D40</f>
        <v>0</v>
      </c>
      <c r="E68" s="20">
        <f t="shared" si="20"/>
        <v>0</v>
      </c>
      <c r="F68" s="195">
        <f t="shared" si="20"/>
        <v>0.8</v>
      </c>
    </row>
    <row r="69" spans="1:8">
      <c r="A69" s="130" t="s">
        <v>121</v>
      </c>
      <c r="B69" s="129">
        <f>$I$54</f>
        <v>0.625</v>
      </c>
      <c r="C69" s="127">
        <f t="dataTable" ref="C69:F69" dt2D="0" dtr="1" r1="D57" ca="1"/>
        <v>0</v>
      </c>
      <c r="D69" s="127">
        <v>0</v>
      </c>
      <c r="E69" s="127">
        <v>0</v>
      </c>
      <c r="F69" s="197">
        <v>0.7</v>
      </c>
    </row>
    <row r="71" spans="1:8" ht="14.4">
      <c r="A71" s="152"/>
      <c r="B71" s="124" t="s">
        <v>126</v>
      </c>
      <c r="C71" s="148" t="s">
        <v>116</v>
      </c>
      <c r="D71" s="148" t="s">
        <v>115</v>
      </c>
      <c r="E71" s="148" t="s">
        <v>114</v>
      </c>
      <c r="F71" s="148" t="s">
        <v>113</v>
      </c>
    </row>
    <row r="72" spans="1:8">
      <c r="B72" s="122" t="s">
        <v>112</v>
      </c>
      <c r="C72" s="158">
        <f>C63</f>
        <v>0.61250000000000004</v>
      </c>
      <c r="D72" s="25">
        <f t="shared" ref="D72:F72" si="21">D63</f>
        <v>0.55555555555555558</v>
      </c>
      <c r="E72" s="25">
        <f t="shared" si="21"/>
        <v>1.4789473684210526</v>
      </c>
      <c r="F72" s="25">
        <f t="shared" si="21"/>
        <v>1.4</v>
      </c>
    </row>
    <row r="73" spans="1:8">
      <c r="B73" s="122" t="s">
        <v>111</v>
      </c>
      <c r="C73" s="25"/>
      <c r="D73" s="125">
        <f t="shared" ref="D73:F73" si="22">D65</f>
        <v>0.7</v>
      </c>
      <c r="E73" s="25">
        <f t="shared" si="22"/>
        <v>0.66363636363636358</v>
      </c>
      <c r="F73" s="25">
        <f t="shared" si="22"/>
        <v>0.63057851239669427</v>
      </c>
    </row>
    <row r="74" spans="1:8">
      <c r="B74" s="122" t="s">
        <v>110</v>
      </c>
      <c r="C74" s="25"/>
      <c r="D74" s="25"/>
      <c r="E74" s="125">
        <f t="shared" ref="E74:F74" si="23">E67</f>
        <v>0.7</v>
      </c>
      <c r="F74" s="25">
        <f t="shared" si="23"/>
        <v>0.66363636363636358</v>
      </c>
    </row>
    <row r="75" spans="1:8">
      <c r="B75" s="122" t="s">
        <v>109</v>
      </c>
      <c r="C75" s="25"/>
      <c r="D75" s="25"/>
      <c r="E75" s="25"/>
      <c r="F75" s="125">
        <f t="shared" ref="F75" si="24">F69</f>
        <v>0.7</v>
      </c>
    </row>
    <row r="76" spans="1:8">
      <c r="C76" s="25"/>
      <c r="D76" s="25"/>
      <c r="E76" s="25"/>
      <c r="F76" s="128"/>
    </row>
    <row r="77" spans="1:8" ht="14.4">
      <c r="B77" s="124" t="s">
        <v>219</v>
      </c>
      <c r="C77" s="148" t="s">
        <v>116</v>
      </c>
      <c r="D77" s="148" t="s">
        <v>115</v>
      </c>
      <c r="E77" s="148" t="s">
        <v>114</v>
      </c>
      <c r="F77" s="148" t="s">
        <v>113</v>
      </c>
      <c r="H77" t="s">
        <v>220</v>
      </c>
    </row>
    <row r="78" spans="1:8">
      <c r="B78" s="122" t="s">
        <v>112</v>
      </c>
      <c r="C78" s="158">
        <f>C37-C72</f>
        <v>1.2499999999999956E-2</v>
      </c>
      <c r="D78" s="25">
        <f>D37-D72</f>
        <v>0</v>
      </c>
      <c r="E78" s="25">
        <f>E37-E72</f>
        <v>0.10000000000000009</v>
      </c>
      <c r="F78" s="25">
        <f>F37-F72</f>
        <v>0.10000000000000009</v>
      </c>
      <c r="H78" t="s">
        <v>222</v>
      </c>
    </row>
    <row r="79" spans="1:8">
      <c r="B79" s="122" t="s">
        <v>111</v>
      </c>
      <c r="C79" s="25"/>
      <c r="D79" s="125">
        <f>D38-D73</f>
        <v>0.10000000000000009</v>
      </c>
      <c r="E79" s="25">
        <f>E38-E73</f>
        <v>6.3636363636363713E-2</v>
      </c>
      <c r="F79" s="25">
        <f>F38-F73</f>
        <v>3.057851239669418E-2</v>
      </c>
      <c r="H79" t="s">
        <v>223</v>
      </c>
    </row>
    <row r="80" spans="1:8">
      <c r="B80" s="122" t="s">
        <v>110</v>
      </c>
      <c r="C80" s="25"/>
      <c r="D80" s="25"/>
      <c r="E80" s="125">
        <f>E39-E74</f>
        <v>0.10000000000000009</v>
      </c>
      <c r="F80" s="25">
        <f>F39-F74</f>
        <v>6.3636363636363713E-2</v>
      </c>
      <c r="H80" t="s">
        <v>226</v>
      </c>
    </row>
    <row r="81" spans="1:14">
      <c r="A81" t="s">
        <v>224</v>
      </c>
      <c r="B81" s="122" t="s">
        <v>109</v>
      </c>
      <c r="C81" s="25"/>
      <c r="D81" s="25"/>
      <c r="E81" s="25"/>
      <c r="F81" s="125">
        <f>F40-F75</f>
        <v>0.10000000000000009</v>
      </c>
      <c r="H81" t="s">
        <v>225</v>
      </c>
    </row>
    <row r="82" spans="1:14">
      <c r="B82"/>
    </row>
    <row r="83" spans="1:14">
      <c r="B83"/>
    </row>
    <row r="84" spans="1:14" s="150" customFormat="1" ht="15.6">
      <c r="B84" s="151" t="s">
        <v>178</v>
      </c>
    </row>
    <row r="85" spans="1:14" s="180" customFormat="1" ht="15.6">
      <c r="B85" s="181"/>
    </row>
    <row r="86" spans="1:14" s="180" customFormat="1">
      <c r="B86" s="189" t="s">
        <v>178</v>
      </c>
      <c r="C86" s="17">
        <v>0.3</v>
      </c>
    </row>
    <row r="87" spans="1:14" s="180" customFormat="1" ht="15.6">
      <c r="B87" s="181"/>
    </row>
    <row r="88" spans="1:14" ht="14.4">
      <c r="B88" s="124" t="s">
        <v>193</v>
      </c>
      <c r="C88" s="148" t="s">
        <v>116</v>
      </c>
      <c r="D88" s="148" t="s">
        <v>115</v>
      </c>
      <c r="E88" s="148" t="s">
        <v>114</v>
      </c>
      <c r="F88" s="148" t="s">
        <v>113</v>
      </c>
      <c r="H88" s="173"/>
    </row>
    <row r="89" spans="1:14">
      <c r="B89" s="122" t="s">
        <v>112</v>
      </c>
      <c r="C89" s="161">
        <f t="shared" ref="C89:F92" si="25">$C$86*$C$22*C16</f>
        <v>144</v>
      </c>
      <c r="D89" s="162">
        <f t="shared" si="25"/>
        <v>162</v>
      </c>
      <c r="E89" s="162">
        <f t="shared" si="25"/>
        <v>171</v>
      </c>
      <c r="F89" s="162">
        <f t="shared" si="25"/>
        <v>180</v>
      </c>
      <c r="H89" s="32" t="s">
        <v>184</v>
      </c>
    </row>
    <row r="90" spans="1:14">
      <c r="B90" s="122" t="s">
        <v>111</v>
      </c>
      <c r="C90" s="160">
        <f t="shared" si="25"/>
        <v>0</v>
      </c>
      <c r="D90" s="163">
        <f t="shared" si="25"/>
        <v>180</v>
      </c>
      <c r="E90" s="162">
        <f t="shared" si="25"/>
        <v>198</v>
      </c>
      <c r="F90" s="162">
        <f t="shared" si="25"/>
        <v>217.79999999999998</v>
      </c>
    </row>
    <row r="91" spans="1:14">
      <c r="B91" s="122" t="s">
        <v>110</v>
      </c>
      <c r="C91" s="160">
        <f t="shared" si="25"/>
        <v>0</v>
      </c>
      <c r="D91" s="160">
        <f t="shared" si="25"/>
        <v>0</v>
      </c>
      <c r="E91" s="163">
        <f t="shared" si="25"/>
        <v>180</v>
      </c>
      <c r="F91" s="162">
        <f t="shared" si="25"/>
        <v>198</v>
      </c>
    </row>
    <row r="92" spans="1:14">
      <c r="B92" s="122" t="s">
        <v>109</v>
      </c>
      <c r="C92" s="160">
        <f t="shared" si="25"/>
        <v>0</v>
      </c>
      <c r="D92" s="160">
        <f t="shared" si="25"/>
        <v>0</v>
      </c>
      <c r="E92" s="160">
        <f t="shared" si="25"/>
        <v>0</v>
      </c>
      <c r="F92" s="163">
        <f t="shared" si="25"/>
        <v>180</v>
      </c>
    </row>
    <row r="93" spans="1:14" s="180" customFormat="1" ht="15.6">
      <c r="B93" s="181"/>
    </row>
    <row r="95" spans="1:14" s="150" customFormat="1" ht="15.6">
      <c r="B95" s="151" t="s">
        <v>92</v>
      </c>
    </row>
    <row r="96" spans="1:14">
      <c r="A96" s="144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>
      <c r="A97" s="142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>
      <c r="A98" s="142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0.4</v>
      </c>
      <c r="G98" s="35"/>
      <c r="H98" s="35"/>
      <c r="I98" s="35"/>
      <c r="J98" s="35"/>
      <c r="K98" s="35"/>
      <c r="L98" s="35"/>
      <c r="M98" s="35"/>
      <c r="N98" s="35"/>
    </row>
    <row r="99" spans="1:51">
      <c r="A99" s="142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0.05</v>
      </c>
      <c r="G99" s="35"/>
      <c r="H99" s="35"/>
      <c r="I99" s="35"/>
      <c r="J99" s="35"/>
      <c r="K99" s="35"/>
      <c r="L99" s="35"/>
      <c r="M99" s="35"/>
      <c r="N99" s="35"/>
    </row>
    <row r="100" spans="1:51">
      <c r="A100" s="142"/>
      <c r="B100" s="63" t="s">
        <v>130</v>
      </c>
      <c r="C100" s="64" t="str">
        <f>IF(AND(D97&lt;=LossRatio,LossRatio&lt;D100),"X","")</f>
        <v/>
      </c>
      <c r="D100" s="51">
        <v>0.5</v>
      </c>
      <c r="E100" s="51">
        <v>0.4</v>
      </c>
      <c r="F100" s="141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2"/>
      <c r="B101" s="65"/>
      <c r="C101" s="53" t="str">
        <f>IF(AND(D100&lt;=LossRatio,LossRatio&lt;D101),"X","")</f>
        <v/>
      </c>
      <c r="D101" s="50">
        <v>0.6</v>
      </c>
      <c r="E101" s="50">
        <v>0.3</v>
      </c>
      <c r="F101" s="140">
        <f>TREND(E100:E101,D100:D101,LossRatio,TRUE)</f>
        <v>0.20000000000000007</v>
      </c>
      <c r="G101" s="35"/>
      <c r="H101" s="35"/>
      <c r="I101" s="63"/>
      <c r="J101" s="135">
        <v>0</v>
      </c>
      <c r="K101" s="135">
        <f>J101+2.5%</f>
        <v>2.5000000000000001E-2</v>
      </c>
      <c r="L101" s="135">
        <f t="shared" ref="L101:AY101" si="26">K101+2.5%</f>
        <v>0.05</v>
      </c>
      <c r="M101" s="135">
        <f t="shared" si="26"/>
        <v>7.5000000000000011E-2</v>
      </c>
      <c r="N101" s="135">
        <f t="shared" si="26"/>
        <v>0.1</v>
      </c>
      <c r="O101" s="145">
        <f t="shared" si="26"/>
        <v>0.125</v>
      </c>
      <c r="P101" s="145">
        <f t="shared" si="26"/>
        <v>0.15</v>
      </c>
      <c r="Q101" s="145">
        <f t="shared" si="26"/>
        <v>0.17499999999999999</v>
      </c>
      <c r="R101" s="145">
        <f t="shared" si="26"/>
        <v>0.19999999999999998</v>
      </c>
      <c r="S101" s="145">
        <f t="shared" si="26"/>
        <v>0.22499999999999998</v>
      </c>
      <c r="T101" s="145">
        <f t="shared" si="26"/>
        <v>0.24999999999999997</v>
      </c>
      <c r="U101" s="145">
        <f t="shared" si="26"/>
        <v>0.27499999999999997</v>
      </c>
      <c r="V101" s="145">
        <f t="shared" si="26"/>
        <v>0.3</v>
      </c>
      <c r="W101" s="145">
        <f t="shared" si="26"/>
        <v>0.32500000000000001</v>
      </c>
      <c r="X101" s="145">
        <f t="shared" si="26"/>
        <v>0.35000000000000003</v>
      </c>
      <c r="Y101" s="145">
        <f t="shared" si="26"/>
        <v>0.37500000000000006</v>
      </c>
      <c r="Z101" s="145">
        <f t="shared" si="26"/>
        <v>0.40000000000000008</v>
      </c>
      <c r="AA101" s="145">
        <f t="shared" si="26"/>
        <v>0.4250000000000001</v>
      </c>
      <c r="AB101" s="145">
        <f t="shared" si="26"/>
        <v>0.45000000000000012</v>
      </c>
      <c r="AC101" s="145">
        <f t="shared" si="26"/>
        <v>0.47500000000000014</v>
      </c>
      <c r="AD101" s="145">
        <f t="shared" si="26"/>
        <v>0.50000000000000011</v>
      </c>
      <c r="AE101" s="145">
        <f t="shared" si="26"/>
        <v>0.52500000000000013</v>
      </c>
      <c r="AF101" s="145">
        <f t="shared" si="26"/>
        <v>0.55000000000000016</v>
      </c>
      <c r="AG101" s="145">
        <f t="shared" si="26"/>
        <v>0.57500000000000018</v>
      </c>
      <c r="AH101" s="145">
        <f t="shared" si="26"/>
        <v>0.6000000000000002</v>
      </c>
      <c r="AI101" s="145">
        <f t="shared" si="26"/>
        <v>0.62500000000000022</v>
      </c>
      <c r="AJ101" s="145">
        <f t="shared" si="26"/>
        <v>0.65000000000000024</v>
      </c>
      <c r="AK101" s="145">
        <f t="shared" si="26"/>
        <v>0.67500000000000027</v>
      </c>
      <c r="AL101" s="145">
        <f t="shared" si="26"/>
        <v>0.70000000000000029</v>
      </c>
      <c r="AM101" s="145">
        <f t="shared" si="26"/>
        <v>0.72500000000000031</v>
      </c>
      <c r="AN101" s="145">
        <f t="shared" si="26"/>
        <v>0.75000000000000033</v>
      </c>
      <c r="AO101" s="145">
        <f t="shared" si="26"/>
        <v>0.77500000000000036</v>
      </c>
      <c r="AP101" s="145">
        <f t="shared" si="26"/>
        <v>0.80000000000000038</v>
      </c>
      <c r="AQ101" s="145">
        <f t="shared" si="26"/>
        <v>0.8250000000000004</v>
      </c>
      <c r="AR101" s="145">
        <f t="shared" si="26"/>
        <v>0.85000000000000042</v>
      </c>
      <c r="AS101" s="145">
        <f t="shared" si="26"/>
        <v>0.87500000000000044</v>
      </c>
      <c r="AT101" s="145">
        <f t="shared" si="26"/>
        <v>0.90000000000000047</v>
      </c>
      <c r="AU101" s="145">
        <f t="shared" si="26"/>
        <v>0.92500000000000049</v>
      </c>
      <c r="AV101" s="145">
        <f t="shared" si="26"/>
        <v>0.95000000000000051</v>
      </c>
      <c r="AW101" s="145">
        <f t="shared" si="26"/>
        <v>0.97500000000000053</v>
      </c>
      <c r="AX101" s="145">
        <f t="shared" si="26"/>
        <v>1.0000000000000004</v>
      </c>
      <c r="AY101" s="147">
        <f t="shared" si="26"/>
        <v>1.0250000000000004</v>
      </c>
    </row>
    <row r="102" spans="1:51">
      <c r="A102" s="142"/>
      <c r="B102" s="65"/>
      <c r="C102" s="53" t="str">
        <f>IF(AND(D101&lt;=LossRatio,LossRatio&lt;D102),"X","")</f>
        <v/>
      </c>
      <c r="D102" s="50">
        <v>0.7</v>
      </c>
      <c r="E102" s="50">
        <v>0.3</v>
      </c>
      <c r="F102" s="140">
        <f>TREND(E101:E102,D101:D102,LossRatio,TRUE)</f>
        <v>0.3</v>
      </c>
      <c r="G102" s="35"/>
      <c r="H102" s="35"/>
      <c r="I102" s="156">
        <f>F106</f>
        <v>0.29999999999999982</v>
      </c>
      <c r="J102" s="127">
        <f t="dataTable" ref="J102:AY102" dt2D="0" dtr="1" r1="D105"/>
        <v>0.4</v>
      </c>
      <c r="K102" s="127">
        <v>0.4</v>
      </c>
      <c r="L102" s="127">
        <v>0.4</v>
      </c>
      <c r="M102" s="127">
        <v>0.4</v>
      </c>
      <c r="N102" s="127">
        <v>0.4</v>
      </c>
      <c r="O102" s="128">
        <v>0.4</v>
      </c>
      <c r="P102" s="128">
        <v>0.4</v>
      </c>
      <c r="Q102" s="128">
        <v>0.4</v>
      </c>
      <c r="R102" s="128">
        <v>0.4</v>
      </c>
      <c r="S102" s="128">
        <v>0.4</v>
      </c>
      <c r="T102" s="128">
        <v>0.4</v>
      </c>
      <c r="U102" s="128">
        <v>0.4</v>
      </c>
      <c r="V102" s="128">
        <v>0.4</v>
      </c>
      <c r="W102" s="128">
        <v>0.4</v>
      </c>
      <c r="X102" s="128">
        <v>0.4</v>
      </c>
      <c r="Y102" s="128">
        <v>0.4</v>
      </c>
      <c r="Z102" s="128">
        <v>0.4</v>
      </c>
      <c r="AA102" s="128">
        <v>0.4</v>
      </c>
      <c r="AB102" s="128">
        <v>0.4</v>
      </c>
      <c r="AC102" s="128">
        <v>0.4</v>
      </c>
      <c r="AD102" s="128">
        <v>0.39999999999999991</v>
      </c>
      <c r="AE102" s="128">
        <v>0.37499999999999989</v>
      </c>
      <c r="AF102" s="128">
        <v>0.34999999999999987</v>
      </c>
      <c r="AG102" s="128">
        <v>0.32499999999999984</v>
      </c>
      <c r="AH102" s="128">
        <v>0.3</v>
      </c>
      <c r="AI102" s="128">
        <v>0.3</v>
      </c>
      <c r="AJ102" s="128">
        <v>0.3</v>
      </c>
      <c r="AK102" s="128">
        <v>0.3</v>
      </c>
      <c r="AL102" s="128">
        <v>0.29999999999999893</v>
      </c>
      <c r="AM102" s="128">
        <v>0.23749999999999893</v>
      </c>
      <c r="AN102" s="128">
        <v>0.17499999999999893</v>
      </c>
      <c r="AO102" s="128">
        <v>0.11249999999999893</v>
      </c>
      <c r="AP102" s="128">
        <v>0.05</v>
      </c>
      <c r="AQ102" s="128">
        <v>0.05</v>
      </c>
      <c r="AR102" s="128">
        <v>0.05</v>
      </c>
      <c r="AS102" s="128">
        <v>0.05</v>
      </c>
      <c r="AT102" s="128">
        <v>0.05</v>
      </c>
      <c r="AU102" s="128">
        <v>0.05</v>
      </c>
      <c r="AV102" s="128">
        <v>0.05</v>
      </c>
      <c r="AW102" s="128">
        <v>0.05</v>
      </c>
      <c r="AX102" s="128">
        <v>0.05</v>
      </c>
      <c r="AY102" s="146">
        <v>0.05</v>
      </c>
    </row>
    <row r="103" spans="1:51">
      <c r="A103" s="142"/>
      <c r="B103" s="66"/>
      <c r="C103" s="67" t="str">
        <f>IF(AND(D102&lt;=LossRatio,LossRatio&lt;D103),"X","")</f>
        <v>X</v>
      </c>
      <c r="D103" s="50">
        <v>0.8</v>
      </c>
      <c r="E103" s="50">
        <v>0.05</v>
      </c>
      <c r="F103" s="139">
        <f>TREND(E102:E103,D102:D103,LossRatio,TRUE)</f>
        <v>0.29999999999999982</v>
      </c>
      <c r="G103" s="35"/>
      <c r="H103" s="35"/>
      <c r="I103" s="35"/>
      <c r="J103" s="35"/>
      <c r="K103" s="35"/>
      <c r="L103" s="35"/>
      <c r="M103" s="35"/>
      <c r="N103" s="35"/>
    </row>
    <row r="104" spans="1:51">
      <c r="A104" s="143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>
      <c r="A105" s="143"/>
      <c r="B105" s="35" t="s">
        <v>1</v>
      </c>
      <c r="C105" s="35" t="s">
        <v>3</v>
      </c>
      <c r="D105" s="28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>
      <c r="A106" s="143"/>
      <c r="B106" s="35" t="s">
        <v>51</v>
      </c>
      <c r="C106" s="35" t="s">
        <v>41</v>
      </c>
      <c r="D106" s="35"/>
      <c r="E106" s="35"/>
      <c r="F106" s="62">
        <f>VLOOKUP("X",C98:F103,4,FALSE)</f>
        <v>0.29999999999999982</v>
      </c>
      <c r="G106" s="35"/>
      <c r="H106" s="35"/>
      <c r="I106" s="35"/>
      <c r="J106" s="35"/>
      <c r="K106" s="35"/>
      <c r="L106" s="35"/>
      <c r="M106" s="35"/>
      <c r="N106" s="35"/>
    </row>
    <row r="107" spans="1:51">
      <c r="A107" s="142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>
      <c r="A108" s="142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>
      <c r="A109" s="142"/>
      <c r="B109" s="35"/>
      <c r="C109" s="165" t="s">
        <v>133</v>
      </c>
      <c r="D109" s="166"/>
      <c r="E109" s="167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>
      <c r="A110" s="142"/>
      <c r="B110" s="35"/>
      <c r="C110" s="65" t="s">
        <v>49</v>
      </c>
      <c r="D110" s="54" t="s">
        <v>22</v>
      </c>
      <c r="E110" s="168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>
      <c r="A111" s="142"/>
      <c r="B111" s="35"/>
      <c r="C111" s="65" t="s">
        <v>49</v>
      </c>
      <c r="D111" s="55" t="s">
        <v>194</v>
      </c>
      <c r="E111" s="168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>
      <c r="A112" s="142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5">
      <c r="A113" s="142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5">
      <c r="B114"/>
    </row>
    <row r="115" spans="1:15">
      <c r="B115"/>
    </row>
    <row r="116" spans="1:15" ht="14.4">
      <c r="B116" s="152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5" s="26" customFormat="1">
      <c r="A117" s="137" t="s">
        <v>3</v>
      </c>
      <c r="B117" s="136" t="s">
        <v>112</v>
      </c>
      <c r="C117" s="195">
        <f>C78</f>
        <v>1.2499999999999956E-2</v>
      </c>
      <c r="D117" s="196">
        <f t="shared" ref="D117:F117" si="27">D78</f>
        <v>0</v>
      </c>
      <c r="E117" s="196">
        <f t="shared" si="27"/>
        <v>0.10000000000000009</v>
      </c>
      <c r="F117" s="196">
        <f t="shared" si="27"/>
        <v>0.10000000000000009</v>
      </c>
    </row>
    <row r="118" spans="1:15" s="126" customFormat="1">
      <c r="A118" s="130" t="s">
        <v>41</v>
      </c>
      <c r="B118" s="129">
        <f>$F$106</f>
        <v>0.29999999999999982</v>
      </c>
      <c r="C118" s="197">
        <f t="dataTable" ref="C118:F118" dt2D="0" dtr="1" r1="D105" ca="1"/>
        <v>0.4</v>
      </c>
      <c r="D118" s="197">
        <v>0.4</v>
      </c>
      <c r="E118" s="197">
        <v>0.4</v>
      </c>
      <c r="F118" s="197">
        <v>0.4</v>
      </c>
    </row>
    <row r="119" spans="1:15" s="131" customFormat="1">
      <c r="A119" s="134" t="s">
        <v>3</v>
      </c>
      <c r="B119" s="133" t="s">
        <v>111</v>
      </c>
      <c r="C119" s="20">
        <f t="shared" ref="C119:F119" si="28">C79</f>
        <v>0</v>
      </c>
      <c r="D119" s="195">
        <f t="shared" si="28"/>
        <v>0.10000000000000009</v>
      </c>
      <c r="E119" s="198">
        <f t="shared" si="28"/>
        <v>6.3636363636363713E-2</v>
      </c>
      <c r="F119" s="198">
        <f t="shared" si="28"/>
        <v>3.057851239669418E-2</v>
      </c>
    </row>
    <row r="120" spans="1:15" s="126" customFormat="1">
      <c r="A120" s="130" t="s">
        <v>41</v>
      </c>
      <c r="B120" s="129">
        <f>$F$106</f>
        <v>0.29999999999999982</v>
      </c>
      <c r="C120" s="127">
        <f t="dataTable" ref="C120:F120" dt2D="0" dtr="1" r1="D105" ca="1"/>
        <v>0.4</v>
      </c>
      <c r="D120" s="197">
        <v>0.4</v>
      </c>
      <c r="E120" s="197">
        <v>0.4</v>
      </c>
      <c r="F120" s="197">
        <v>0.4</v>
      </c>
    </row>
    <row r="121" spans="1:15" s="131" customFormat="1">
      <c r="A121" s="134" t="s">
        <v>3</v>
      </c>
      <c r="B121" s="133" t="s">
        <v>110</v>
      </c>
      <c r="C121" s="20">
        <f t="shared" ref="C121:F121" si="29">C80</f>
        <v>0</v>
      </c>
      <c r="D121" s="20">
        <f t="shared" si="29"/>
        <v>0</v>
      </c>
      <c r="E121" s="195">
        <f t="shared" si="29"/>
        <v>0.10000000000000009</v>
      </c>
      <c r="F121" s="198">
        <f t="shared" si="29"/>
        <v>6.3636363636363713E-2</v>
      </c>
    </row>
    <row r="122" spans="1:15" s="126" customFormat="1">
      <c r="A122" s="130" t="s">
        <v>41</v>
      </c>
      <c r="B122" s="129">
        <f>$F$106</f>
        <v>0.29999999999999982</v>
      </c>
      <c r="C122" s="127">
        <f t="dataTable" ref="C122:F122" dt2D="0" dtr="1" r1="D105" ca="1"/>
        <v>0.4</v>
      </c>
      <c r="D122" s="127">
        <v>0.4</v>
      </c>
      <c r="E122" s="197">
        <v>0.4</v>
      </c>
      <c r="F122" s="197">
        <v>0.4</v>
      </c>
    </row>
    <row r="123" spans="1:15" s="131" customFormat="1">
      <c r="A123" s="134" t="s">
        <v>3</v>
      </c>
      <c r="B123" s="133" t="s">
        <v>109</v>
      </c>
      <c r="C123" s="20">
        <f t="shared" ref="C123:F123" si="30">C81</f>
        <v>0</v>
      </c>
      <c r="D123" s="20">
        <f t="shared" si="30"/>
        <v>0</v>
      </c>
      <c r="E123" s="20">
        <f t="shared" si="30"/>
        <v>0</v>
      </c>
      <c r="F123" s="195">
        <f t="shared" si="30"/>
        <v>0.10000000000000009</v>
      </c>
    </row>
    <row r="124" spans="1:15" s="126" customFormat="1">
      <c r="A124" s="130" t="s">
        <v>41</v>
      </c>
      <c r="B124" s="129">
        <f>$F$106</f>
        <v>0.29999999999999982</v>
      </c>
      <c r="C124" s="127">
        <f t="dataTable" ref="C124:F124" dt2D="0" dtr="1" r1="D105" ca="1"/>
        <v>0.4</v>
      </c>
      <c r="D124" s="127">
        <v>0.4</v>
      </c>
      <c r="E124" s="127">
        <v>0.4</v>
      </c>
      <c r="F124" s="197">
        <v>0.4</v>
      </c>
    </row>
    <row r="126" spans="1:15" ht="14.4">
      <c r="B126" s="124" t="s">
        <v>182</v>
      </c>
      <c r="C126" s="148" t="s">
        <v>116</v>
      </c>
      <c r="D126" s="148" t="s">
        <v>115</v>
      </c>
      <c r="E126" s="148" t="s">
        <v>114</v>
      </c>
      <c r="F126" s="148" t="s">
        <v>113</v>
      </c>
      <c r="H126" s="173"/>
    </row>
    <row r="127" spans="1:15">
      <c r="B127" s="122" t="s">
        <v>112</v>
      </c>
      <c r="C127" s="158">
        <f>C118</f>
        <v>0.4</v>
      </c>
      <c r="D127" s="25">
        <f>D118</f>
        <v>0.4</v>
      </c>
      <c r="E127" s="25">
        <f>E118</f>
        <v>0.4</v>
      </c>
      <c r="F127" s="25">
        <f>F118</f>
        <v>0.4</v>
      </c>
      <c r="H127" s="32"/>
      <c r="L127" s="162">
        <f>C16</f>
        <v>800</v>
      </c>
      <c r="M127" s="162">
        <f>D16-L127</f>
        <v>100</v>
      </c>
      <c r="N127" s="162">
        <f t="shared" ref="N127:O130" si="31">E16-M127</f>
        <v>850</v>
      </c>
      <c r="O127" s="162">
        <f t="shared" si="31"/>
        <v>150</v>
      </c>
    </row>
    <row r="128" spans="1:15">
      <c r="B128" s="122" t="s">
        <v>111</v>
      </c>
      <c r="C128" s="25"/>
      <c r="D128" s="125">
        <f>D120</f>
        <v>0.4</v>
      </c>
      <c r="E128" s="25">
        <f>E120</f>
        <v>0.4</v>
      </c>
      <c r="F128" s="25">
        <f>F120</f>
        <v>0.4</v>
      </c>
      <c r="L128" s="162"/>
      <c r="M128" s="162">
        <f t="shared" ref="M128" si="32">D17-L128</f>
        <v>1000</v>
      </c>
      <c r="N128" s="162">
        <f t="shared" si="31"/>
        <v>100</v>
      </c>
      <c r="O128" s="162">
        <f t="shared" si="31"/>
        <v>1110</v>
      </c>
    </row>
    <row r="129" spans="2:15">
      <c r="B129" s="122" t="s">
        <v>110</v>
      </c>
      <c r="C129" s="25"/>
      <c r="D129" s="25"/>
      <c r="E129" s="125">
        <f>E122</f>
        <v>0.4</v>
      </c>
      <c r="F129" s="25">
        <f>F122</f>
        <v>0.4</v>
      </c>
      <c r="L129" s="162"/>
      <c r="M129" s="162"/>
      <c r="N129" s="162">
        <f t="shared" si="31"/>
        <v>1000</v>
      </c>
      <c r="O129" s="162">
        <f t="shared" si="31"/>
        <v>100</v>
      </c>
    </row>
    <row r="130" spans="2:15">
      <c r="B130" s="122" t="s">
        <v>109</v>
      </c>
      <c r="C130" s="25"/>
      <c r="D130" s="25"/>
      <c r="E130" s="25"/>
      <c r="F130" s="125">
        <f>F124</f>
        <v>0.4</v>
      </c>
      <c r="L130" s="162"/>
      <c r="M130" s="162"/>
      <c r="N130" s="162"/>
      <c r="O130" s="162">
        <f t="shared" si="31"/>
        <v>1000</v>
      </c>
    </row>
    <row r="131" spans="2:15">
      <c r="C131" s="25"/>
      <c r="D131" s="25"/>
      <c r="E131" s="25"/>
      <c r="F131" s="132"/>
    </row>
    <row r="132" spans="2:15" ht="14.4">
      <c r="B132" s="124" t="s">
        <v>183</v>
      </c>
      <c r="C132" s="148" t="s">
        <v>116</v>
      </c>
      <c r="D132" s="148" t="s">
        <v>115</v>
      </c>
      <c r="E132" s="148" t="s">
        <v>114</v>
      </c>
      <c r="F132" s="148" t="s">
        <v>113</v>
      </c>
      <c r="H132" s="173"/>
    </row>
    <row r="133" spans="2:15">
      <c r="B133" s="122" t="s">
        <v>112</v>
      </c>
      <c r="C133" s="161">
        <f t="shared" ref="C133:F136" si="33">C127*$C$22*C16</f>
        <v>192</v>
      </c>
      <c r="D133" s="162">
        <f t="shared" si="33"/>
        <v>216</v>
      </c>
      <c r="E133" s="162">
        <f t="shared" si="33"/>
        <v>228</v>
      </c>
      <c r="F133" s="162">
        <f t="shared" si="33"/>
        <v>240</v>
      </c>
      <c r="H133" s="32" t="s">
        <v>185</v>
      </c>
      <c r="L133" s="162">
        <f>C133</f>
        <v>192</v>
      </c>
      <c r="M133" s="162">
        <f>D133-L133</f>
        <v>24</v>
      </c>
      <c r="N133" s="162">
        <f t="shared" ref="N133:O133" si="34">E133-M133</f>
        <v>204</v>
      </c>
      <c r="O133" s="162">
        <f t="shared" si="34"/>
        <v>36</v>
      </c>
    </row>
    <row r="134" spans="2:15">
      <c r="B134" s="122" t="s">
        <v>111</v>
      </c>
      <c r="C134" s="160">
        <f t="shared" si="33"/>
        <v>0</v>
      </c>
      <c r="D134" s="163">
        <f t="shared" si="33"/>
        <v>240</v>
      </c>
      <c r="E134" s="162">
        <f t="shared" si="33"/>
        <v>264</v>
      </c>
      <c r="F134" s="162">
        <f t="shared" si="33"/>
        <v>290.39999999999998</v>
      </c>
      <c r="M134" s="162">
        <f t="shared" ref="M134" si="35">D134-L134</f>
        <v>240</v>
      </c>
      <c r="N134" s="162">
        <f t="shared" ref="N134:N135" si="36">E134-M134</f>
        <v>24</v>
      </c>
      <c r="O134" s="162">
        <f t="shared" ref="O134:O136" si="37">F134-N134</f>
        <v>266.39999999999998</v>
      </c>
    </row>
    <row r="135" spans="2:15">
      <c r="B135" s="122" t="s">
        <v>110</v>
      </c>
      <c r="C135" s="160">
        <f t="shared" si="33"/>
        <v>0</v>
      </c>
      <c r="D135" s="160">
        <f t="shared" si="33"/>
        <v>0</v>
      </c>
      <c r="E135" s="163">
        <f t="shared" si="33"/>
        <v>240</v>
      </c>
      <c r="F135" s="162">
        <f t="shared" si="33"/>
        <v>264</v>
      </c>
      <c r="M135" s="162"/>
      <c r="N135" s="162">
        <f t="shared" si="36"/>
        <v>240</v>
      </c>
      <c r="O135" s="162">
        <f t="shared" si="37"/>
        <v>24</v>
      </c>
    </row>
    <row r="136" spans="2:15">
      <c r="B136" s="122" t="s">
        <v>109</v>
      </c>
      <c r="C136" s="160">
        <f t="shared" si="33"/>
        <v>0</v>
      </c>
      <c r="D136" s="160">
        <f t="shared" si="33"/>
        <v>0</v>
      </c>
      <c r="E136" s="160">
        <f t="shared" si="33"/>
        <v>0</v>
      </c>
      <c r="F136" s="163">
        <f t="shared" si="33"/>
        <v>240</v>
      </c>
      <c r="M136" s="162"/>
      <c r="N136" s="162"/>
      <c r="O136" s="162">
        <f t="shared" si="37"/>
        <v>240</v>
      </c>
    </row>
    <row r="138" spans="2:15" s="150" customFormat="1" ht="15.6">
      <c r="B138" s="151" t="s">
        <v>169</v>
      </c>
    </row>
    <row r="139" spans="2:15">
      <c r="B139"/>
      <c r="L139">
        <f>L127*C127*$C$22</f>
        <v>192</v>
      </c>
      <c r="M139">
        <f t="shared" ref="M139:O142" si="38">M127*D127*$C$22</f>
        <v>24</v>
      </c>
      <c r="N139">
        <f t="shared" si="38"/>
        <v>204</v>
      </c>
      <c r="O139">
        <f t="shared" si="38"/>
        <v>36</v>
      </c>
    </row>
    <row r="140" spans="2:15" s="176" customFormat="1">
      <c r="B140" s="177" t="s">
        <v>166</v>
      </c>
      <c r="C140" s="28">
        <v>0.05</v>
      </c>
      <c r="D140" s="176" t="s">
        <v>167</v>
      </c>
      <c r="L140">
        <f t="shared" ref="L140:L142" si="39">L128*C128*$C$22</f>
        <v>0</v>
      </c>
      <c r="M140">
        <f t="shared" si="38"/>
        <v>240</v>
      </c>
      <c r="N140">
        <f t="shared" si="38"/>
        <v>24</v>
      </c>
      <c r="O140">
        <f t="shared" si="38"/>
        <v>266.39999999999998</v>
      </c>
    </row>
    <row r="141" spans="2:15" s="176" customFormat="1">
      <c r="B141" s="177" t="s">
        <v>168</v>
      </c>
      <c r="C141" s="28">
        <v>0.05</v>
      </c>
      <c r="D141" s="176" t="s">
        <v>167</v>
      </c>
      <c r="L141">
        <f t="shared" si="39"/>
        <v>0</v>
      </c>
      <c r="M141">
        <f t="shared" si="38"/>
        <v>0</v>
      </c>
      <c r="N141">
        <f t="shared" si="38"/>
        <v>240</v>
      </c>
      <c r="O141">
        <f t="shared" si="38"/>
        <v>24</v>
      </c>
    </row>
    <row r="142" spans="2:15" s="176" customFormat="1">
      <c r="B142" s="179" t="s">
        <v>165</v>
      </c>
      <c r="C142" s="28">
        <v>0.5</v>
      </c>
      <c r="L142">
        <f t="shared" si="39"/>
        <v>0</v>
      </c>
      <c r="M142">
        <f t="shared" si="38"/>
        <v>0</v>
      </c>
      <c r="N142">
        <f t="shared" si="38"/>
        <v>0</v>
      </c>
      <c r="O142">
        <f t="shared" si="38"/>
        <v>240</v>
      </c>
    </row>
    <row r="143" spans="2:15">
      <c r="B143"/>
    </row>
    <row r="144" spans="2:15" ht="14.4">
      <c r="B144" s="124" t="s">
        <v>211</v>
      </c>
      <c r="C144" s="148" t="s">
        <v>116</v>
      </c>
      <c r="D144" s="148" t="s">
        <v>115</v>
      </c>
      <c r="E144" s="148" t="s">
        <v>114</v>
      </c>
      <c r="F144" s="148" t="s">
        <v>113</v>
      </c>
      <c r="H144" s="173"/>
    </row>
    <row r="145" spans="2:10">
      <c r="B145" s="122" t="s">
        <v>112</v>
      </c>
      <c r="C145" s="161">
        <f t="shared" ref="C145:F148" si="40">C16*$C$22*(1-C78-$C$140-$C$141)</f>
        <v>426</v>
      </c>
      <c r="D145" s="162">
        <f t="shared" si="40"/>
        <v>485.99999999999994</v>
      </c>
      <c r="E145" s="162">
        <f t="shared" si="40"/>
        <v>455.99999999999989</v>
      </c>
      <c r="F145" s="162">
        <f t="shared" si="40"/>
        <v>479.99999999999989</v>
      </c>
      <c r="H145" s="32" t="s">
        <v>240</v>
      </c>
    </row>
    <row r="146" spans="2:10">
      <c r="B146" s="122" t="s">
        <v>111</v>
      </c>
      <c r="C146" s="160">
        <f t="shared" si="40"/>
        <v>0</v>
      </c>
      <c r="D146" s="163">
        <f t="shared" si="40"/>
        <v>479.99999999999989</v>
      </c>
      <c r="E146" s="162">
        <f t="shared" si="40"/>
        <v>551.99999999999989</v>
      </c>
      <c r="F146" s="162">
        <f t="shared" si="40"/>
        <v>631.19999999999993</v>
      </c>
    </row>
    <row r="147" spans="2:10">
      <c r="B147" s="122" t="s">
        <v>110</v>
      </c>
      <c r="C147" s="160">
        <f t="shared" si="40"/>
        <v>0</v>
      </c>
      <c r="D147" s="160">
        <f t="shared" si="40"/>
        <v>0</v>
      </c>
      <c r="E147" s="163">
        <f t="shared" si="40"/>
        <v>479.99999999999989</v>
      </c>
      <c r="F147" s="162">
        <f t="shared" si="40"/>
        <v>551.99999999999989</v>
      </c>
      <c r="J147" s="3">
        <f>1-C78-$C$140-$C$141</f>
        <v>0.88749999999999996</v>
      </c>
    </row>
    <row r="148" spans="2:10">
      <c r="B148" s="122" t="s">
        <v>109</v>
      </c>
      <c r="C148" s="160">
        <f t="shared" si="40"/>
        <v>0</v>
      </c>
      <c r="D148" s="160">
        <f t="shared" si="40"/>
        <v>0</v>
      </c>
      <c r="E148" s="160">
        <f t="shared" si="40"/>
        <v>0</v>
      </c>
      <c r="F148" s="163">
        <f t="shared" si="40"/>
        <v>479.99999999999989</v>
      </c>
      <c r="H148" s="224">
        <f>800*0.6*(1-500/800-0.05-0.05)</f>
        <v>132</v>
      </c>
    </row>
    <row r="149" spans="2:10">
      <c r="B149"/>
      <c r="H149">
        <f>800*0.6</f>
        <v>480</v>
      </c>
    </row>
    <row r="150" spans="2:10">
      <c r="B150"/>
    </row>
    <row r="151" spans="2:10" s="176" customFormat="1">
      <c r="B151" s="178" t="s">
        <v>204</v>
      </c>
      <c r="C151" s="41">
        <v>-500</v>
      </c>
    </row>
    <row r="152" spans="2:10">
      <c r="B152"/>
    </row>
    <row r="153" spans="2:10" s="176" customFormat="1" ht="14.4">
      <c r="B153" s="178" t="s">
        <v>214</v>
      </c>
      <c r="C153" s="203" t="s">
        <v>116</v>
      </c>
      <c r="D153" s="203" t="s">
        <v>115</v>
      </c>
      <c r="E153" s="203" t="s">
        <v>114</v>
      </c>
      <c r="F153" s="203" t="s">
        <v>113</v>
      </c>
      <c r="H153" s="173"/>
    </row>
    <row r="154" spans="2:10" s="176" customFormat="1" ht="14.4">
      <c r="B154" s="189" t="s">
        <v>210</v>
      </c>
      <c r="C154" s="203">
        <f>$C$151</f>
        <v>-500</v>
      </c>
      <c r="D154" s="203">
        <f t="shared" ref="D154:F154" si="41">$C$151</f>
        <v>-500</v>
      </c>
      <c r="E154" s="203">
        <f t="shared" si="41"/>
        <v>-500</v>
      </c>
      <c r="F154" s="203">
        <f t="shared" si="41"/>
        <v>-500</v>
      </c>
      <c r="H154" s="208" t="s">
        <v>210</v>
      </c>
    </row>
    <row r="155" spans="2:10" s="176" customFormat="1">
      <c r="B155" s="179" t="s">
        <v>112</v>
      </c>
      <c r="C155" s="204">
        <f>C145+MIN(0,C154)</f>
        <v>-74</v>
      </c>
      <c r="D155" s="205">
        <f>D145+MIN(0,D154)</f>
        <v>-14.000000000000057</v>
      </c>
      <c r="E155" s="205">
        <f>E145+MIN(0,E154)</f>
        <v>-44.000000000000114</v>
      </c>
      <c r="F155" s="205">
        <f>F145+MIN(0,F154)</f>
        <v>-20.000000000000114</v>
      </c>
      <c r="H155" s="32" t="s">
        <v>212</v>
      </c>
    </row>
    <row r="156" spans="2:10" s="176" customFormat="1">
      <c r="B156" s="179" t="s">
        <v>111</v>
      </c>
      <c r="C156" s="206"/>
      <c r="D156" s="207">
        <f t="shared" ref="D156:F158" si="42">D146+MIN(0,D155)</f>
        <v>465.99999999999983</v>
      </c>
      <c r="E156" s="205">
        <f t="shared" si="42"/>
        <v>507.99999999999977</v>
      </c>
      <c r="F156" s="205">
        <f t="shared" si="42"/>
        <v>611.19999999999982</v>
      </c>
    </row>
    <row r="157" spans="2:10" s="176" customFormat="1">
      <c r="B157" s="179" t="s">
        <v>110</v>
      </c>
      <c r="C157" s="206"/>
      <c r="D157" s="206">
        <f t="shared" si="42"/>
        <v>0</v>
      </c>
      <c r="E157" s="207">
        <f t="shared" si="42"/>
        <v>479.99999999999989</v>
      </c>
      <c r="F157" s="205">
        <f t="shared" si="42"/>
        <v>551.99999999999989</v>
      </c>
    </row>
    <row r="158" spans="2:10" s="176" customFormat="1">
      <c r="B158" s="179" t="s">
        <v>109</v>
      </c>
      <c r="C158" s="206"/>
      <c r="D158" s="206">
        <f t="shared" si="42"/>
        <v>0</v>
      </c>
      <c r="E158" s="206">
        <f t="shared" si="42"/>
        <v>0</v>
      </c>
      <c r="F158" s="207">
        <f t="shared" si="42"/>
        <v>479.99999999999989</v>
      </c>
    </row>
    <row r="159" spans="2:10" s="176" customFormat="1">
      <c r="B159" s="179"/>
      <c r="C159" s="206"/>
      <c r="D159" s="206"/>
      <c r="E159" s="206"/>
      <c r="F159" s="191"/>
    </row>
    <row r="160" spans="2:10">
      <c r="B160" s="124" t="s">
        <v>177</v>
      </c>
      <c r="C160" s="182" t="s">
        <v>176</v>
      </c>
    </row>
    <row r="161" spans="2:8">
      <c r="B161"/>
    </row>
    <row r="162" spans="2:8" ht="14.4">
      <c r="B162" s="124" t="s">
        <v>215</v>
      </c>
      <c r="C162" s="148" t="s">
        <v>116</v>
      </c>
      <c r="D162" s="148" t="s">
        <v>115</v>
      </c>
      <c r="E162" s="148" t="s">
        <v>114</v>
      </c>
      <c r="F162" s="148" t="s">
        <v>113</v>
      </c>
    </row>
    <row r="163" spans="2:8">
      <c r="B163" s="122" t="s">
        <v>112</v>
      </c>
      <c r="C163" s="161">
        <f t="shared" ref="C163:F166" si="43">IF($C$160="yes",C155,C145)</f>
        <v>-74</v>
      </c>
      <c r="D163" s="162">
        <f t="shared" si="43"/>
        <v>-14.000000000000057</v>
      </c>
      <c r="E163" s="162">
        <f t="shared" si="43"/>
        <v>-44.000000000000114</v>
      </c>
      <c r="F163" s="162">
        <f t="shared" si="43"/>
        <v>-20.000000000000114</v>
      </c>
    </row>
    <row r="164" spans="2:8">
      <c r="B164" s="122" t="s">
        <v>111</v>
      </c>
      <c r="C164" s="160">
        <f t="shared" si="43"/>
        <v>0</v>
      </c>
      <c r="D164" s="163">
        <f t="shared" si="43"/>
        <v>465.99999999999983</v>
      </c>
      <c r="E164" s="162">
        <f t="shared" si="43"/>
        <v>507.99999999999977</v>
      </c>
      <c r="F164" s="162">
        <f t="shared" si="43"/>
        <v>611.19999999999982</v>
      </c>
    </row>
    <row r="165" spans="2:8">
      <c r="B165" s="122" t="s">
        <v>110</v>
      </c>
      <c r="C165" s="160">
        <f t="shared" si="43"/>
        <v>0</v>
      </c>
      <c r="D165" s="160">
        <f t="shared" si="43"/>
        <v>0</v>
      </c>
      <c r="E165" s="163">
        <f t="shared" si="43"/>
        <v>479.99999999999989</v>
      </c>
      <c r="F165" s="162">
        <f t="shared" si="43"/>
        <v>551.99999999999989</v>
      </c>
    </row>
    <row r="166" spans="2:8">
      <c r="B166" s="122" t="s">
        <v>109</v>
      </c>
      <c r="C166" s="160">
        <f t="shared" si="43"/>
        <v>0</v>
      </c>
      <c r="D166" s="160">
        <f t="shared" si="43"/>
        <v>0</v>
      </c>
      <c r="E166" s="160">
        <f t="shared" si="43"/>
        <v>0</v>
      </c>
      <c r="F166" s="163">
        <f t="shared" si="43"/>
        <v>479.99999999999989</v>
      </c>
    </row>
    <row r="167" spans="2:8" s="176" customFormat="1">
      <c r="B167" s="179"/>
      <c r="C167" s="206"/>
      <c r="D167" s="206"/>
      <c r="E167" s="206"/>
      <c r="F167" s="191"/>
    </row>
    <row r="168" spans="2:8" s="176" customFormat="1">
      <c r="B168" s="179"/>
      <c r="C168" s="206"/>
      <c r="D168" s="206"/>
      <c r="E168" s="206"/>
      <c r="F168" s="191"/>
    </row>
    <row r="169" spans="2:8" ht="14.4">
      <c r="B169" s="124" t="s">
        <v>213</v>
      </c>
      <c r="C169" s="148" t="s">
        <v>116</v>
      </c>
      <c r="D169" s="148" t="s">
        <v>115</v>
      </c>
      <c r="E169" s="148" t="s">
        <v>114</v>
      </c>
      <c r="F169" s="148" t="s">
        <v>113</v>
      </c>
      <c r="H169" s="32" t="s">
        <v>216</v>
      </c>
    </row>
    <row r="170" spans="2:8">
      <c r="B170" s="122" t="s">
        <v>112</v>
      </c>
      <c r="C170" s="161">
        <f>$C$142*MAX(0,C163)</f>
        <v>0</v>
      </c>
      <c r="D170" s="162">
        <f t="shared" ref="D170:F170" si="44">$C$142*MAX(0,D163)</f>
        <v>0</v>
      </c>
      <c r="E170" s="162">
        <f t="shared" si="44"/>
        <v>0</v>
      </c>
      <c r="F170" s="162">
        <f t="shared" si="44"/>
        <v>0</v>
      </c>
      <c r="H170" s="32"/>
    </row>
    <row r="171" spans="2:8">
      <c r="B171" s="122" t="s">
        <v>111</v>
      </c>
      <c r="C171" s="160">
        <f t="shared" ref="C171:F171" si="45">$C$142*MAX(0,C164)</f>
        <v>0</v>
      </c>
      <c r="D171" s="163">
        <f t="shared" si="45"/>
        <v>232.99999999999991</v>
      </c>
      <c r="E171" s="162">
        <f t="shared" si="45"/>
        <v>253.99999999999989</v>
      </c>
      <c r="F171" s="162">
        <f t="shared" si="45"/>
        <v>305.59999999999991</v>
      </c>
    </row>
    <row r="172" spans="2:8">
      <c r="B172" s="122" t="s">
        <v>110</v>
      </c>
      <c r="C172" s="160">
        <f t="shared" ref="C172:F172" si="46">$C$142*MAX(0,C165)</f>
        <v>0</v>
      </c>
      <c r="D172" s="160">
        <f t="shared" si="46"/>
        <v>0</v>
      </c>
      <c r="E172" s="163">
        <f t="shared" si="46"/>
        <v>239.99999999999994</v>
      </c>
      <c r="F172" s="162">
        <f t="shared" si="46"/>
        <v>275.99999999999994</v>
      </c>
    </row>
    <row r="173" spans="2:8">
      <c r="B173" s="122" t="s">
        <v>109</v>
      </c>
      <c r="C173" s="160">
        <f t="shared" ref="C173:F173" si="47">$C$142*MAX(0,C166)</f>
        <v>0</v>
      </c>
      <c r="D173" s="160">
        <f t="shared" si="47"/>
        <v>0</v>
      </c>
      <c r="E173" s="160">
        <f t="shared" si="47"/>
        <v>0</v>
      </c>
      <c r="F173" s="163">
        <f t="shared" si="47"/>
        <v>239.99999999999994</v>
      </c>
    </row>
    <row r="174" spans="2:8">
      <c r="B174"/>
    </row>
    <row r="175" spans="2:8">
      <c r="B175"/>
    </row>
    <row r="176" spans="2:8">
      <c r="B176"/>
    </row>
    <row r="177" spans="2:8">
      <c r="B177" s="124" t="s">
        <v>186</v>
      </c>
      <c r="C177" s="182" t="s">
        <v>180</v>
      </c>
      <c r="F177" s="35" t="s">
        <v>187</v>
      </c>
    </row>
    <row r="178" spans="2:8">
      <c r="B178" s="22"/>
      <c r="F178" s="35" t="s">
        <v>181</v>
      </c>
    </row>
    <row r="179" spans="2:8">
      <c r="B179" s="22"/>
      <c r="F179" s="35" t="s">
        <v>180</v>
      </c>
    </row>
    <row r="180" spans="2:8">
      <c r="B180" s="22"/>
    </row>
    <row r="181" spans="2:8">
      <c r="B181"/>
    </row>
    <row r="182" spans="2:8" ht="14.4">
      <c r="B182" s="124" t="s">
        <v>179</v>
      </c>
      <c r="C182" s="148" t="s">
        <v>116</v>
      </c>
      <c r="D182" s="148" t="s">
        <v>115</v>
      </c>
      <c r="E182" s="148" t="s">
        <v>114</v>
      </c>
      <c r="F182" s="148" t="s">
        <v>113</v>
      </c>
    </row>
    <row r="183" spans="2:8">
      <c r="B183" s="122" t="s">
        <v>112</v>
      </c>
      <c r="C183" s="161">
        <f t="shared" ref="C183:F186" si="48">IF($C$177="profit",C170,IF($C$177="fix",C89,C133))</f>
        <v>0</v>
      </c>
      <c r="D183" s="162">
        <f t="shared" si="48"/>
        <v>0</v>
      </c>
      <c r="E183" s="162">
        <f t="shared" si="48"/>
        <v>0</v>
      </c>
      <c r="F183" s="162">
        <f t="shared" si="48"/>
        <v>0</v>
      </c>
    </row>
    <row r="184" spans="2:8">
      <c r="B184" s="122" t="s">
        <v>111</v>
      </c>
      <c r="C184" s="160">
        <f t="shared" si="48"/>
        <v>0</v>
      </c>
      <c r="D184" s="163">
        <f t="shared" si="48"/>
        <v>232.99999999999991</v>
      </c>
      <c r="E184" s="162">
        <f t="shared" si="48"/>
        <v>253.99999999999989</v>
      </c>
      <c r="F184" s="162">
        <f t="shared" si="48"/>
        <v>305.59999999999991</v>
      </c>
    </row>
    <row r="185" spans="2:8">
      <c r="B185" s="122" t="s">
        <v>110</v>
      </c>
      <c r="C185" s="160">
        <f t="shared" si="48"/>
        <v>0</v>
      </c>
      <c r="D185" s="160">
        <f t="shared" si="48"/>
        <v>0</v>
      </c>
      <c r="E185" s="163">
        <f t="shared" si="48"/>
        <v>239.99999999999994</v>
      </c>
      <c r="F185" s="162">
        <f t="shared" si="48"/>
        <v>275.99999999999994</v>
      </c>
    </row>
    <row r="186" spans="2:8">
      <c r="B186" s="122" t="s">
        <v>109</v>
      </c>
      <c r="C186" s="160">
        <f t="shared" si="48"/>
        <v>0</v>
      </c>
      <c r="D186" s="160">
        <f t="shared" si="48"/>
        <v>0</v>
      </c>
      <c r="E186" s="160">
        <f t="shared" si="48"/>
        <v>0</v>
      </c>
      <c r="F186" s="163">
        <f t="shared" si="48"/>
        <v>239.99999999999994</v>
      </c>
    </row>
    <row r="187" spans="2:8">
      <c r="C187" s="160"/>
      <c r="D187" s="160"/>
      <c r="E187" s="160"/>
      <c r="F187" s="212"/>
    </row>
    <row r="188" spans="2:8" s="150" customFormat="1" ht="15.6">
      <c r="B188" s="151" t="s">
        <v>230</v>
      </c>
    </row>
    <row r="189" spans="2:8">
      <c r="B189"/>
    </row>
    <row r="190" spans="2:8" ht="14.4">
      <c r="B190" s="124" t="s">
        <v>231</v>
      </c>
      <c r="C190" s="148" t="s">
        <v>116</v>
      </c>
      <c r="D190" s="148" t="s">
        <v>115</v>
      </c>
      <c r="E190" s="148" t="s">
        <v>114</v>
      </c>
      <c r="F190" s="148" t="s">
        <v>113</v>
      </c>
    </row>
    <row r="191" spans="2:8">
      <c r="B191" s="122" t="s">
        <v>112</v>
      </c>
      <c r="C191" s="161">
        <f>-$C$22*C16</f>
        <v>-480</v>
      </c>
      <c r="D191" s="162">
        <f t="shared" ref="D191:F191" si="49">-$C$22*D16</f>
        <v>-540</v>
      </c>
      <c r="E191" s="162">
        <f t="shared" si="49"/>
        <v>-570</v>
      </c>
      <c r="F191" s="162">
        <f t="shared" si="49"/>
        <v>-600</v>
      </c>
      <c r="H191" t="s">
        <v>232</v>
      </c>
    </row>
    <row r="192" spans="2:8">
      <c r="B192" s="122" t="s">
        <v>111</v>
      </c>
      <c r="C192" s="160">
        <f t="shared" ref="C192:F192" si="50">-$C$22*C17</f>
        <v>0</v>
      </c>
      <c r="D192" s="163">
        <f t="shared" si="50"/>
        <v>-600</v>
      </c>
      <c r="E192" s="162">
        <f t="shared" si="50"/>
        <v>-660</v>
      </c>
      <c r="F192" s="162">
        <f t="shared" si="50"/>
        <v>-726</v>
      </c>
    </row>
    <row r="193" spans="2:8">
      <c r="B193" s="122" t="s">
        <v>110</v>
      </c>
      <c r="C193" s="160">
        <f t="shared" ref="C193:F193" si="51">-$C$22*C18</f>
        <v>0</v>
      </c>
      <c r="D193" s="160">
        <f t="shared" si="51"/>
        <v>0</v>
      </c>
      <c r="E193" s="163">
        <f t="shared" si="51"/>
        <v>-600</v>
      </c>
      <c r="F193" s="162">
        <f t="shared" si="51"/>
        <v>-660</v>
      </c>
    </row>
    <row r="194" spans="2:8">
      <c r="B194" s="122" t="s">
        <v>109</v>
      </c>
      <c r="C194" s="160">
        <f t="shared" ref="C194:F194" si="52">-$C$22*C19</f>
        <v>0</v>
      </c>
      <c r="D194" s="160">
        <f t="shared" si="52"/>
        <v>0</v>
      </c>
      <c r="E194" s="160">
        <f t="shared" si="52"/>
        <v>0</v>
      </c>
      <c r="F194" s="163">
        <f t="shared" si="52"/>
        <v>-600</v>
      </c>
    </row>
    <row r="195" spans="2:8">
      <c r="B195"/>
    </row>
    <row r="196" spans="2:8" s="150" customFormat="1" ht="15.6">
      <c r="B196" s="151" t="s">
        <v>55</v>
      </c>
    </row>
    <row r="197" spans="2:8">
      <c r="B197"/>
    </row>
    <row r="198" spans="2:8" ht="14.4">
      <c r="B198" s="124" t="s">
        <v>125</v>
      </c>
      <c r="C198" s="148" t="s">
        <v>116</v>
      </c>
      <c r="D198" s="148" t="s">
        <v>115</v>
      </c>
      <c r="E198" s="148" t="s">
        <v>114</v>
      </c>
      <c r="F198" s="148" t="s">
        <v>113</v>
      </c>
      <c r="H198" s="174" t="s">
        <v>161</v>
      </c>
    </row>
    <row r="199" spans="2:8">
      <c r="B199" s="122" t="s">
        <v>112</v>
      </c>
      <c r="C199" s="161">
        <f>C10</f>
        <v>-500</v>
      </c>
      <c r="D199" s="162">
        <f t="shared" ref="D199:F199" si="53">D10</f>
        <v>-500</v>
      </c>
      <c r="E199" s="162">
        <f t="shared" si="53"/>
        <v>-1500</v>
      </c>
      <c r="F199" s="162">
        <f t="shared" si="53"/>
        <v>-1500</v>
      </c>
      <c r="H199" s="169"/>
    </row>
    <row r="200" spans="2:8">
      <c r="B200" s="122" t="s">
        <v>111</v>
      </c>
      <c r="C200" s="160">
        <f t="shared" ref="C200:F200" si="54">C11</f>
        <v>0</v>
      </c>
      <c r="D200" s="163">
        <f t="shared" si="54"/>
        <v>-800</v>
      </c>
      <c r="E200" s="162">
        <f t="shared" si="54"/>
        <v>-800</v>
      </c>
      <c r="F200" s="162">
        <f t="shared" si="54"/>
        <v>-800</v>
      </c>
      <c r="H200" s="169"/>
    </row>
    <row r="201" spans="2:8">
      <c r="B201" s="122" t="s">
        <v>110</v>
      </c>
      <c r="C201" s="160">
        <f t="shared" ref="C201:F201" si="55">C12</f>
        <v>0</v>
      </c>
      <c r="D201" s="160">
        <f t="shared" si="55"/>
        <v>0</v>
      </c>
      <c r="E201" s="163">
        <f t="shared" si="55"/>
        <v>-800</v>
      </c>
      <c r="F201" s="162">
        <f t="shared" si="55"/>
        <v>-800</v>
      </c>
      <c r="H201" s="169"/>
    </row>
    <row r="202" spans="2:8">
      <c r="B202" s="122" t="s">
        <v>109</v>
      </c>
      <c r="C202" s="160">
        <f t="shared" ref="C202:F202" si="56">C13</f>
        <v>0</v>
      </c>
      <c r="D202" s="160">
        <f t="shared" si="56"/>
        <v>0</v>
      </c>
      <c r="E202" s="160">
        <f t="shared" si="56"/>
        <v>0</v>
      </c>
      <c r="F202" s="163">
        <f t="shared" si="56"/>
        <v>-800</v>
      </c>
      <c r="H202" s="169"/>
    </row>
    <row r="203" spans="2:8">
      <c r="C203" s="160"/>
      <c r="D203" s="160"/>
      <c r="E203" s="160"/>
      <c r="F203" s="164"/>
      <c r="H203" s="169"/>
    </row>
    <row r="204" spans="2:8" ht="14.4">
      <c r="B204" s="124" t="s">
        <v>162</v>
      </c>
      <c r="C204" s="148" t="s">
        <v>116</v>
      </c>
      <c r="D204" s="148" t="s">
        <v>115</v>
      </c>
      <c r="E204" s="148" t="s">
        <v>114</v>
      </c>
      <c r="F204" s="148" t="s">
        <v>113</v>
      </c>
      <c r="H204" s="174" t="s">
        <v>228</v>
      </c>
    </row>
    <row r="205" spans="2:8">
      <c r="B205" s="122" t="s">
        <v>112</v>
      </c>
      <c r="C205" s="162">
        <f>C78*C16*$C$22</f>
        <v>5.9999999999999787</v>
      </c>
      <c r="D205" s="162">
        <f>D78*D16*$C$22</f>
        <v>0</v>
      </c>
      <c r="E205" s="162">
        <f t="shared" ref="E205:F205" si="57">E78*E16*$C$22</f>
        <v>57.00000000000005</v>
      </c>
      <c r="F205" s="162">
        <f t="shared" si="57"/>
        <v>60.00000000000005</v>
      </c>
      <c r="G205" s="162">
        <f>SUM(C205:F205)</f>
        <v>123.00000000000009</v>
      </c>
    </row>
    <row r="206" spans="2:8">
      <c r="B206" s="122" t="s">
        <v>111</v>
      </c>
      <c r="C206" s="160">
        <f t="shared" ref="C206:F206" si="58">C79*C17*$C$22</f>
        <v>0</v>
      </c>
      <c r="D206" s="163">
        <f t="shared" si="58"/>
        <v>60.00000000000005</v>
      </c>
      <c r="E206" s="162">
        <f t="shared" si="58"/>
        <v>42.00000000000005</v>
      </c>
      <c r="F206" s="162">
        <f t="shared" si="58"/>
        <v>22.199999999999974</v>
      </c>
      <c r="G206" s="162">
        <f t="shared" ref="G206:G208" si="59">SUM(C206:F206)</f>
        <v>124.20000000000007</v>
      </c>
      <c r="H206" s="169"/>
    </row>
    <row r="207" spans="2:8">
      <c r="B207" s="122" t="s">
        <v>110</v>
      </c>
      <c r="C207" s="160">
        <f t="shared" ref="C207:F207" si="60">C80*C18*$C$22</f>
        <v>0</v>
      </c>
      <c r="D207" s="160">
        <f t="shared" si="60"/>
        <v>0</v>
      </c>
      <c r="E207" s="163">
        <f t="shared" si="60"/>
        <v>60.00000000000005</v>
      </c>
      <c r="F207" s="162">
        <f t="shared" si="60"/>
        <v>42.00000000000005</v>
      </c>
      <c r="G207" s="162">
        <f t="shared" si="59"/>
        <v>102.0000000000001</v>
      </c>
      <c r="H207" s="169"/>
    </row>
    <row r="208" spans="2:8">
      <c r="B208" s="122" t="s">
        <v>109</v>
      </c>
      <c r="C208" s="160">
        <f t="shared" ref="C208:F208" si="61">C81*C19*$C$22</f>
        <v>0</v>
      </c>
      <c r="D208" s="160">
        <f t="shared" si="61"/>
        <v>0</v>
      </c>
      <c r="E208" s="160">
        <f t="shared" si="61"/>
        <v>0</v>
      </c>
      <c r="F208" s="163">
        <f t="shared" si="61"/>
        <v>60.00000000000005</v>
      </c>
      <c r="G208" s="162">
        <f t="shared" si="59"/>
        <v>60.00000000000005</v>
      </c>
      <c r="H208" s="169"/>
    </row>
    <row r="209" spans="2:8">
      <c r="C209" s="160"/>
      <c r="D209" s="160"/>
      <c r="E209" s="160"/>
      <c r="F209" s="164"/>
      <c r="G209" s="162"/>
      <c r="H209" s="169"/>
    </row>
    <row r="210" spans="2:8" ht="14.4">
      <c r="B210" s="124" t="s">
        <v>127</v>
      </c>
      <c r="C210" s="148" t="s">
        <v>116</v>
      </c>
      <c r="D210" s="148" t="s">
        <v>115</v>
      </c>
      <c r="E210" s="148" t="s">
        <v>114</v>
      </c>
      <c r="F210" s="148" t="s">
        <v>113</v>
      </c>
      <c r="G210" s="32"/>
      <c r="H210" s="174" t="s">
        <v>217</v>
      </c>
    </row>
    <row r="211" spans="2:8">
      <c r="B211" s="122" t="s">
        <v>112</v>
      </c>
      <c r="C211" s="161">
        <f>C199+C205</f>
        <v>-494</v>
      </c>
      <c r="D211" s="162">
        <f t="shared" ref="D211:F211" si="62">D199+D205</f>
        <v>-500</v>
      </c>
      <c r="E211" s="162">
        <f t="shared" si="62"/>
        <v>-1443</v>
      </c>
      <c r="F211" s="162">
        <f t="shared" si="62"/>
        <v>-1440</v>
      </c>
    </row>
    <row r="212" spans="2:8">
      <c r="B212" s="122" t="s">
        <v>111</v>
      </c>
      <c r="C212" s="160">
        <f t="shared" ref="C212:F212" si="63">C200+C206</f>
        <v>0</v>
      </c>
      <c r="D212" s="163">
        <f t="shared" si="63"/>
        <v>-740</v>
      </c>
      <c r="E212" s="162">
        <f t="shared" si="63"/>
        <v>-758</v>
      </c>
      <c r="F212" s="162">
        <f t="shared" si="63"/>
        <v>-777.80000000000007</v>
      </c>
    </row>
    <row r="213" spans="2:8">
      <c r="B213" s="122" t="s">
        <v>110</v>
      </c>
      <c r="C213" s="160">
        <f t="shared" ref="C213:F213" si="64">C201+C207</f>
        <v>0</v>
      </c>
      <c r="D213" s="160">
        <f t="shared" si="64"/>
        <v>0</v>
      </c>
      <c r="E213" s="163">
        <f t="shared" si="64"/>
        <v>-740</v>
      </c>
      <c r="F213" s="162">
        <f t="shared" si="64"/>
        <v>-758</v>
      </c>
    </row>
    <row r="214" spans="2:8">
      <c r="B214" s="122" t="s">
        <v>109</v>
      </c>
      <c r="C214" s="160">
        <f t="shared" ref="C214:F214" si="65">C202+C208</f>
        <v>0</v>
      </c>
      <c r="D214" s="160">
        <f t="shared" si="65"/>
        <v>0</v>
      </c>
      <c r="E214" s="160">
        <f t="shared" si="65"/>
        <v>0</v>
      </c>
      <c r="F214" s="163">
        <f t="shared" si="65"/>
        <v>-740</v>
      </c>
    </row>
    <row r="215" spans="2:8">
      <c r="B215"/>
    </row>
    <row r="216" spans="2:8" ht="14.4">
      <c r="B216" s="124" t="s">
        <v>199</v>
      </c>
      <c r="C216" s="148" t="s">
        <v>116</v>
      </c>
      <c r="D216" s="148" t="s">
        <v>115</v>
      </c>
      <c r="E216" s="148" t="s">
        <v>114</v>
      </c>
      <c r="F216" s="148" t="s">
        <v>113</v>
      </c>
      <c r="H216" s="174" t="s">
        <v>233</v>
      </c>
    </row>
    <row r="217" spans="2:8">
      <c r="B217" s="122" t="s">
        <v>112</v>
      </c>
      <c r="C217" s="161">
        <f t="shared" ref="C217:F220" si="66">C211+C183+C191</f>
        <v>-974</v>
      </c>
      <c r="D217" s="162">
        <f t="shared" si="66"/>
        <v>-1040</v>
      </c>
      <c r="E217" s="162">
        <f t="shared" si="66"/>
        <v>-2013</v>
      </c>
      <c r="F217" s="162">
        <f t="shared" si="66"/>
        <v>-2040</v>
      </c>
    </row>
    <row r="218" spans="2:8">
      <c r="B218" s="122" t="s">
        <v>111</v>
      </c>
      <c r="C218" s="160">
        <f t="shared" si="66"/>
        <v>0</v>
      </c>
      <c r="D218" s="163">
        <f t="shared" si="66"/>
        <v>-1107</v>
      </c>
      <c r="E218" s="162">
        <f t="shared" si="66"/>
        <v>-1164</v>
      </c>
      <c r="F218" s="162">
        <f t="shared" si="66"/>
        <v>-1198.2000000000003</v>
      </c>
    </row>
    <row r="219" spans="2:8">
      <c r="B219" s="122" t="s">
        <v>110</v>
      </c>
      <c r="C219" s="160">
        <f t="shared" si="66"/>
        <v>0</v>
      </c>
      <c r="D219" s="160">
        <f t="shared" si="66"/>
        <v>0</v>
      </c>
      <c r="E219" s="163">
        <f t="shared" si="66"/>
        <v>-1100</v>
      </c>
      <c r="F219" s="162">
        <f t="shared" si="66"/>
        <v>-1142</v>
      </c>
    </row>
    <row r="220" spans="2:8">
      <c r="B220" s="122" t="s">
        <v>109</v>
      </c>
      <c r="C220" s="160">
        <f t="shared" si="66"/>
        <v>0</v>
      </c>
      <c r="D220" s="160">
        <f t="shared" si="66"/>
        <v>0</v>
      </c>
      <c r="E220" s="160">
        <f t="shared" si="66"/>
        <v>0</v>
      </c>
      <c r="F220" s="163">
        <f t="shared" si="66"/>
        <v>-1100</v>
      </c>
    </row>
    <row r="221" spans="2:8">
      <c r="B221"/>
    </row>
    <row r="222" spans="2:8" ht="14.4">
      <c r="B222" s="124" t="s">
        <v>200</v>
      </c>
      <c r="C222" s="148" t="s">
        <v>116</v>
      </c>
      <c r="D222" s="148" t="s">
        <v>115</v>
      </c>
      <c r="E222" s="148" t="s">
        <v>114</v>
      </c>
      <c r="F222" s="148" t="s">
        <v>113</v>
      </c>
    </row>
    <row r="223" spans="2:8">
      <c r="B223" s="122" t="s">
        <v>112</v>
      </c>
      <c r="C223" s="161">
        <f>C217</f>
        <v>-974</v>
      </c>
      <c r="D223" s="162">
        <f>D217-C217</f>
        <v>-66</v>
      </c>
      <c r="E223" s="162">
        <f t="shared" ref="E223:F224" si="67">E217-D217</f>
        <v>-973</v>
      </c>
      <c r="F223" s="162">
        <f t="shared" si="67"/>
        <v>-27</v>
      </c>
    </row>
    <row r="224" spans="2:8">
      <c r="B224" s="122" t="s">
        <v>111</v>
      </c>
      <c r="C224" s="160"/>
      <c r="D224" s="163">
        <f>D218</f>
        <v>-1107</v>
      </c>
      <c r="E224" s="162">
        <f t="shared" si="67"/>
        <v>-57</v>
      </c>
      <c r="F224" s="162">
        <f t="shared" si="67"/>
        <v>-34.200000000000273</v>
      </c>
    </row>
    <row r="225" spans="2:7">
      <c r="B225" s="122" t="s">
        <v>110</v>
      </c>
      <c r="C225" s="160"/>
      <c r="D225" s="160"/>
      <c r="E225" s="163">
        <f>E219</f>
        <v>-1100</v>
      </c>
      <c r="F225" s="162">
        <f t="shared" ref="F225" si="68">F219-E219</f>
        <v>-42</v>
      </c>
    </row>
    <row r="226" spans="2:7">
      <c r="B226" s="122" t="s">
        <v>109</v>
      </c>
      <c r="C226" s="160"/>
      <c r="D226" s="160"/>
      <c r="E226" s="160"/>
      <c r="F226" s="163">
        <f>F220</f>
        <v>-1100</v>
      </c>
    </row>
    <row r="227" spans="2:7">
      <c r="B227"/>
    </row>
    <row r="228" spans="2:7">
      <c r="B228"/>
    </row>
    <row r="230" spans="2:7" ht="14.4">
      <c r="B230" s="124"/>
      <c r="C230" s="148" t="s">
        <v>116</v>
      </c>
      <c r="D230" s="148" t="s">
        <v>115</v>
      </c>
      <c r="E230" s="148" t="s">
        <v>114</v>
      </c>
      <c r="F230" s="148" t="s">
        <v>113</v>
      </c>
    </row>
    <row r="231" spans="2:7" ht="14.4">
      <c r="B231" s="194" t="s">
        <v>234</v>
      </c>
      <c r="C231" s="184">
        <f>C223</f>
        <v>-974</v>
      </c>
      <c r="D231" s="184">
        <f>D224</f>
        <v>-1107</v>
      </c>
      <c r="E231" s="184">
        <f>E225</f>
        <v>-1100</v>
      </c>
      <c r="F231" s="183">
        <f>F226</f>
        <v>-1100</v>
      </c>
    </row>
    <row r="232" spans="2:7" ht="14.4">
      <c r="B232" s="192" t="s">
        <v>236</v>
      </c>
      <c r="C232" s="193">
        <f>SUM(C233:C236)</f>
        <v>0</v>
      </c>
      <c r="D232" s="193">
        <f>SUM(D233:D236)</f>
        <v>-66</v>
      </c>
      <c r="E232" s="193">
        <f t="shared" ref="E232:F232" si="69">SUM(E233:E236)</f>
        <v>-1030</v>
      </c>
      <c r="F232" s="193">
        <f t="shared" si="69"/>
        <v>-103.20000000000027</v>
      </c>
    </row>
    <row r="233" spans="2:7">
      <c r="B233" s="122" t="s">
        <v>112</v>
      </c>
      <c r="C233" s="186"/>
      <c r="D233" s="191">
        <f>D223</f>
        <v>-66</v>
      </c>
      <c r="E233" s="191">
        <f t="shared" ref="E233:F233" si="70">E223</f>
        <v>-973</v>
      </c>
      <c r="F233" s="191">
        <f t="shared" si="70"/>
        <v>-27</v>
      </c>
    </row>
    <row r="234" spans="2:7">
      <c r="B234" s="122" t="s">
        <v>111</v>
      </c>
      <c r="C234" s="190"/>
      <c r="D234" s="186"/>
      <c r="E234" s="191">
        <f>E224</f>
        <v>-57</v>
      </c>
      <c r="F234" s="191">
        <f>F224</f>
        <v>-34.200000000000273</v>
      </c>
    </row>
    <row r="235" spans="2:7">
      <c r="B235" s="122" t="s">
        <v>110</v>
      </c>
      <c r="C235" s="190"/>
      <c r="D235" s="186"/>
      <c r="E235" s="186"/>
      <c r="F235" s="191">
        <f>F225</f>
        <v>-42</v>
      </c>
    </row>
    <row r="236" spans="2:7">
      <c r="B236" s="122" t="s">
        <v>109</v>
      </c>
      <c r="C236" s="190"/>
      <c r="D236" s="186"/>
      <c r="E236" s="186"/>
      <c r="F236" s="186"/>
    </row>
    <row r="237" spans="2:7" s="32" customFormat="1">
      <c r="B237" s="136" t="s">
        <v>235</v>
      </c>
      <c r="C237" s="187">
        <f>C231+C232</f>
        <v>-974</v>
      </c>
      <c r="D237" s="187">
        <f>D231+D232</f>
        <v>-1173</v>
      </c>
      <c r="E237" s="187">
        <f>E231+E232</f>
        <v>-2130</v>
      </c>
      <c r="F237" s="187">
        <f>F231+F232</f>
        <v>-1203.2000000000003</v>
      </c>
      <c r="G237" s="185">
        <f>G231+G232</f>
        <v>0</v>
      </c>
    </row>
    <row r="240" spans="2:7">
      <c r="C240" s="162">
        <v>6</v>
      </c>
      <c r="D240" s="162">
        <v>1</v>
      </c>
      <c r="E240" s="162">
        <f>E205</f>
        <v>57.00000000000005</v>
      </c>
      <c r="F240" s="162">
        <f>F205</f>
        <v>60.00000000000005</v>
      </c>
    </row>
    <row r="241" spans="3:6">
      <c r="C241" s="162">
        <f t="shared" ref="C241:F241" si="71">C206</f>
        <v>0</v>
      </c>
      <c r="D241" s="162">
        <f t="shared" si="71"/>
        <v>60.00000000000005</v>
      </c>
      <c r="E241" s="162">
        <f t="shared" si="71"/>
        <v>42.00000000000005</v>
      </c>
      <c r="F241" s="162">
        <f t="shared" si="71"/>
        <v>22.199999999999974</v>
      </c>
    </row>
    <row r="242" spans="3:6">
      <c r="C242" s="162">
        <f t="shared" ref="C242:F242" si="72">C207</f>
        <v>0</v>
      </c>
      <c r="D242" s="162">
        <f t="shared" si="72"/>
        <v>0</v>
      </c>
      <c r="E242" s="162">
        <f t="shared" si="72"/>
        <v>60.00000000000005</v>
      </c>
      <c r="F242" s="162">
        <f t="shared" si="72"/>
        <v>42.00000000000005</v>
      </c>
    </row>
    <row r="243" spans="3:6">
      <c r="C243" s="162">
        <f t="shared" ref="C243:F243" si="73">C208</f>
        <v>0</v>
      </c>
      <c r="D243" s="162">
        <f t="shared" si="73"/>
        <v>0</v>
      </c>
      <c r="E243" s="162">
        <f t="shared" si="73"/>
        <v>0</v>
      </c>
      <c r="F243" s="162">
        <f t="shared" si="73"/>
        <v>60.00000000000005</v>
      </c>
    </row>
  </sheetData>
  <dataValidations disablePrompts="1" count="1">
    <dataValidation type="list" allowBlank="1" showInputMessage="1" showErrorMessage="1" sqref="C177">
      <formula1>$F$177:$F$179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174" max="12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6" zoomScale="80" zoomScaleNormal="80" workbookViewId="0">
      <selection activeCell="B43" sqref="B43"/>
    </sheetView>
  </sheetViews>
  <sheetFormatPr defaultColWidth="11.5546875" defaultRowHeight="13.2"/>
  <cols>
    <col min="1" max="1" width="36.88671875" style="32" customWidth="1"/>
    <col min="2" max="2" width="82.6640625" style="200" customWidth="1"/>
  </cols>
  <sheetData>
    <row r="2" spans="1:2">
      <c r="B2" s="199" t="s">
        <v>104</v>
      </c>
    </row>
    <row r="4" spans="1:2">
      <c r="A4" s="121" t="s">
        <v>152</v>
      </c>
    </row>
    <row r="5" spans="1:2">
      <c r="B5" s="200" t="s">
        <v>146</v>
      </c>
    </row>
    <row r="6" spans="1:2">
      <c r="B6" s="209" t="s">
        <v>4</v>
      </c>
    </row>
    <row r="7" spans="1:2">
      <c r="B7" s="209" t="s">
        <v>92</v>
      </c>
    </row>
    <row r="8" spans="1:2">
      <c r="B8" s="209" t="s">
        <v>137</v>
      </c>
    </row>
    <row r="9" spans="1:2">
      <c r="B9" s="200" t="s">
        <v>147</v>
      </c>
    </row>
    <row r="11" spans="1:2">
      <c r="B11" s="200" t="s">
        <v>218</v>
      </c>
    </row>
    <row r="12" spans="1:2">
      <c r="B12" s="200" t="s">
        <v>144</v>
      </c>
    </row>
    <row r="13" spans="1:2">
      <c r="B13" s="200" t="s">
        <v>145</v>
      </c>
    </row>
    <row r="15" spans="1:2">
      <c r="A15" s="121" t="s">
        <v>4</v>
      </c>
    </row>
    <row r="16" spans="1:2">
      <c r="A16" s="40"/>
      <c r="B16" s="211" t="s">
        <v>229</v>
      </c>
    </row>
    <row r="17" spans="1:9">
      <c r="B17" s="200" t="s">
        <v>156</v>
      </c>
    </row>
    <row r="18" spans="1:9">
      <c r="B18" s="200" t="s">
        <v>208</v>
      </c>
    </row>
    <row r="19" spans="1:9" ht="26.4">
      <c r="B19" s="200" t="s">
        <v>157</v>
      </c>
    </row>
    <row r="20" spans="1:9">
      <c r="B20" s="200" t="s">
        <v>154</v>
      </c>
    </row>
    <row r="21" spans="1:9">
      <c r="B21" s="201" t="s">
        <v>155</v>
      </c>
    </row>
    <row r="22" spans="1:9" ht="26.4">
      <c r="B22" s="201" t="s">
        <v>136</v>
      </c>
    </row>
    <row r="24" spans="1:9">
      <c r="A24" s="121" t="s">
        <v>41</v>
      </c>
    </row>
    <row r="25" spans="1:9">
      <c r="B25" s="202" t="s">
        <v>148</v>
      </c>
      <c r="C25" s="131"/>
      <c r="D25" s="131"/>
      <c r="E25" s="131"/>
      <c r="F25" s="131"/>
      <c r="G25" s="131"/>
      <c r="H25" s="131"/>
      <c r="I25" s="131"/>
    </row>
    <row r="26" spans="1:9">
      <c r="A26" s="188" t="s">
        <v>178</v>
      </c>
      <c r="B26" s="200" t="s">
        <v>163</v>
      </c>
    </row>
    <row r="27" spans="1:9">
      <c r="A27" s="188"/>
    </row>
    <row r="28" spans="1:9" ht="26.4">
      <c r="B28" s="200" t="s">
        <v>149</v>
      </c>
    </row>
    <row r="29" spans="1:9">
      <c r="B29" s="200" t="s">
        <v>150</v>
      </c>
    </row>
    <row r="30" spans="1:9">
      <c r="B30" s="200" t="s">
        <v>151</v>
      </c>
    </row>
    <row r="31" spans="1:9">
      <c r="B31" s="200" t="s">
        <v>142</v>
      </c>
    </row>
    <row r="32" spans="1:9">
      <c r="B32" s="200" t="s">
        <v>143</v>
      </c>
    </row>
    <row r="34" spans="1:2">
      <c r="A34" s="188" t="s">
        <v>92</v>
      </c>
      <c r="B34" s="200" t="s">
        <v>207</v>
      </c>
    </row>
    <row r="35" spans="1:2">
      <c r="A35" s="188"/>
    </row>
    <row r="36" spans="1:2">
      <c r="A36" s="188" t="s">
        <v>137</v>
      </c>
      <c r="B36" s="200" t="s">
        <v>190</v>
      </c>
    </row>
    <row r="37" spans="1:2">
      <c r="B37" s="200" t="s">
        <v>191</v>
      </c>
    </row>
    <row r="38" spans="1:2">
      <c r="B38" s="200" t="s">
        <v>202</v>
      </c>
    </row>
    <row r="39" spans="1:2">
      <c r="B39" s="200" t="s">
        <v>203</v>
      </c>
    </row>
    <row r="41" spans="1:2">
      <c r="A41" s="121" t="s">
        <v>164</v>
      </c>
    </row>
    <row r="42" spans="1:2">
      <c r="B42" s="200" t="s">
        <v>196</v>
      </c>
    </row>
    <row r="43" spans="1:2">
      <c r="B43" s="200" t="s">
        <v>197</v>
      </c>
    </row>
    <row r="44" spans="1:2">
      <c r="B44" s="200" t="s">
        <v>198</v>
      </c>
    </row>
    <row r="45" spans="1:2">
      <c r="B45" s="200" t="s">
        <v>195</v>
      </c>
    </row>
    <row r="46" spans="1:2">
      <c r="B46" s="200" t="s">
        <v>209</v>
      </c>
    </row>
    <row r="47" spans="1:2">
      <c r="A47" s="121" t="s">
        <v>201</v>
      </c>
    </row>
    <row r="48" spans="1:2">
      <c r="B48" s="200" t="s">
        <v>153</v>
      </c>
    </row>
    <row r="49" spans="2:2">
      <c r="B49" s="200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2" sqref="A2"/>
    </sheetView>
  </sheetViews>
  <sheetFormatPr defaultRowHeight="13.2"/>
  <cols>
    <col min="1" max="1" width="21.44140625" bestFit="1" customWidth="1"/>
  </cols>
  <sheetData>
    <row r="1" spans="1:6">
      <c r="A1" t="s">
        <v>238</v>
      </c>
      <c r="B1" t="str">
        <f>Sliding_in_Triangle!C204</f>
        <v>CY 2012</v>
      </c>
      <c r="C1" t="str">
        <f>Sliding_in_Triangle!D204</f>
        <v>CY 2013</v>
      </c>
      <c r="D1" t="str">
        <f>Sliding_in_Triangle!E204</f>
        <v>CY 2014</v>
      </c>
      <c r="E1" t="str">
        <f>Sliding_in_Triangle!F204</f>
        <v>CY 2015</v>
      </c>
    </row>
    <row r="2" spans="1:6">
      <c r="A2" t="str">
        <f>Sliding_in_Triangle!B205</f>
        <v>UY 2012</v>
      </c>
      <c r="B2" s="219">
        <f>Sliding_in_Triangle!C10</f>
        <v>-500</v>
      </c>
      <c r="C2" s="219">
        <f>Sliding_in_Triangle!D10</f>
        <v>-500</v>
      </c>
      <c r="D2" s="219">
        <f>Sliding_in_Triangle!E10</f>
        <v>-1500</v>
      </c>
      <c r="E2" s="219">
        <f>Sliding_in_Triangle!F10</f>
        <v>-1500</v>
      </c>
      <c r="F2" s="219"/>
    </row>
    <row r="3" spans="1:6">
      <c r="A3" t="str">
        <f>Sliding_in_Triangle!B206</f>
        <v>UY 2013</v>
      </c>
      <c r="B3" s="219">
        <f>Sliding_in_Triangle!C11</f>
        <v>0</v>
      </c>
      <c r="C3" s="219">
        <f>Sliding_in_Triangle!D11</f>
        <v>-800</v>
      </c>
      <c r="D3" s="219">
        <f>Sliding_in_Triangle!E11</f>
        <v>-800</v>
      </c>
      <c r="E3" s="219">
        <f>Sliding_in_Triangle!F11</f>
        <v>-800</v>
      </c>
      <c r="F3" s="219"/>
    </row>
    <row r="4" spans="1:6">
      <c r="A4" t="str">
        <f>Sliding_in_Triangle!B207</f>
        <v>UY 2014</v>
      </c>
      <c r="B4" s="219">
        <f>Sliding_in_Triangle!C12</f>
        <v>0</v>
      </c>
      <c r="C4" s="219">
        <f>Sliding_in_Triangle!D12</f>
        <v>0</v>
      </c>
      <c r="D4" s="219">
        <f>Sliding_in_Triangle!E12</f>
        <v>-800</v>
      </c>
      <c r="E4" s="219">
        <f>Sliding_in_Triangle!F12</f>
        <v>-800</v>
      </c>
      <c r="F4" s="219"/>
    </row>
    <row r="5" spans="1:6">
      <c r="A5" t="str">
        <f>Sliding_in_Triangle!B208</f>
        <v>UY 2015</v>
      </c>
      <c r="B5" s="219">
        <f>Sliding_in_Triangle!C13</f>
        <v>0</v>
      </c>
      <c r="C5" s="219">
        <f>Sliding_in_Triangle!D13</f>
        <v>0</v>
      </c>
      <c r="D5" s="219">
        <f>Sliding_in_Triangle!E13</f>
        <v>0</v>
      </c>
      <c r="E5" s="219">
        <f>Sliding_in_Triangle!F13</f>
        <v>-800</v>
      </c>
      <c r="F5" s="2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2" sqref="A2"/>
    </sheetView>
  </sheetViews>
  <sheetFormatPr defaultRowHeight="13.2"/>
  <cols>
    <col min="1" max="1" width="21.44140625" bestFit="1" customWidth="1"/>
  </cols>
  <sheetData>
    <row r="1" spans="1:6">
      <c r="A1" t="s">
        <v>239</v>
      </c>
      <c r="B1" t="str">
        <f>Sliding_in_Triangle!C204</f>
        <v>CY 2012</v>
      </c>
      <c r="C1" t="str">
        <f>Sliding_in_Triangle!D204</f>
        <v>CY 2013</v>
      </c>
      <c r="D1" t="str">
        <f>Sliding_in_Triangle!E204</f>
        <v>CY 2014</v>
      </c>
      <c r="E1" t="str">
        <f>Sliding_in_Triangle!F204</f>
        <v>CY 2015</v>
      </c>
    </row>
    <row r="2" spans="1:6">
      <c r="A2" t="str">
        <f>Sliding_in_Triangle!B205</f>
        <v>UY 2012</v>
      </c>
      <c r="B2" s="219">
        <f>Sliding_in_Triangle!C16</f>
        <v>800</v>
      </c>
      <c r="C2" s="219">
        <f>Sliding_in_Triangle!D16</f>
        <v>900</v>
      </c>
      <c r="D2" s="219">
        <f>Sliding_in_Triangle!E16</f>
        <v>950</v>
      </c>
      <c r="E2" s="219">
        <f>Sliding_in_Triangle!F16</f>
        <v>1000</v>
      </c>
      <c r="F2" s="219"/>
    </row>
    <row r="3" spans="1:6">
      <c r="A3" t="str">
        <f>Sliding_in_Triangle!B206</f>
        <v>UY 2013</v>
      </c>
      <c r="B3" s="219">
        <f>Sliding_in_Triangle!C17</f>
        <v>0</v>
      </c>
      <c r="C3" s="219">
        <f>Sliding_in_Triangle!D17</f>
        <v>1000</v>
      </c>
      <c r="D3" s="219">
        <f>Sliding_in_Triangle!E17</f>
        <v>1100</v>
      </c>
      <c r="E3" s="219">
        <f>Sliding_in_Triangle!F17</f>
        <v>1210</v>
      </c>
      <c r="F3" s="219"/>
    </row>
    <row r="4" spans="1:6">
      <c r="A4" t="str">
        <f>Sliding_in_Triangle!B207</f>
        <v>UY 2014</v>
      </c>
      <c r="B4" s="219">
        <f>Sliding_in_Triangle!C18</f>
        <v>0</v>
      </c>
      <c r="C4" s="219">
        <f>Sliding_in_Triangle!D18</f>
        <v>0</v>
      </c>
      <c r="D4" s="219">
        <f>Sliding_in_Triangle!E18</f>
        <v>1000</v>
      </c>
      <c r="E4" s="219">
        <f>Sliding_in_Triangle!F18</f>
        <v>1100</v>
      </c>
      <c r="F4" s="219"/>
    </row>
    <row r="5" spans="1:6">
      <c r="A5" t="str">
        <f>Sliding_in_Triangle!B208</f>
        <v>UY 2015</v>
      </c>
      <c r="B5" s="219">
        <f>Sliding_in_Triangle!C19</f>
        <v>0</v>
      </c>
      <c r="C5" s="219">
        <f>Sliding_in_Triangle!D19</f>
        <v>0</v>
      </c>
      <c r="D5" s="219">
        <f>Sliding_in_Triangle!E19</f>
        <v>0</v>
      </c>
      <c r="E5" s="219">
        <f>Sliding_in_Triangle!F19</f>
        <v>1000</v>
      </c>
      <c r="F5" s="2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4" sqref="E4"/>
    </sheetView>
  </sheetViews>
  <sheetFormatPr defaultRowHeight="13.2"/>
  <sheetData>
    <row r="1" spans="1:6">
      <c r="B1" t="str">
        <f>Sliding_in_Triangle!C204</f>
        <v>CY 2012</v>
      </c>
      <c r="C1" t="str">
        <f>Sliding_in_Triangle!D204</f>
        <v>CY 2013</v>
      </c>
      <c r="D1" t="str">
        <f>Sliding_in_Triangle!E204</f>
        <v>CY 2014</v>
      </c>
      <c r="E1" t="str">
        <f>Sliding_in_Triangle!F204</f>
        <v>CY 2015</v>
      </c>
    </row>
    <row r="2" spans="1:6">
      <c r="A2" t="str">
        <f>Sliding_in_Triangle!B205</f>
        <v>UY 2012</v>
      </c>
      <c r="B2" s="219">
        <v>6</v>
      </c>
      <c r="C2" s="219">
        <v>0</v>
      </c>
      <c r="D2" s="219">
        <v>57</v>
      </c>
      <c r="E2" s="219">
        <v>60</v>
      </c>
      <c r="F2" s="219">
        <f>SUM(B2:E2)</f>
        <v>123</v>
      </c>
    </row>
    <row r="3" spans="1:6">
      <c r="A3" t="str">
        <f>Sliding_in_Triangle!B206</f>
        <v>UY 2013</v>
      </c>
      <c r="B3" s="219">
        <v>0</v>
      </c>
      <c r="C3" s="219">
        <v>60</v>
      </c>
      <c r="D3" s="219">
        <v>42</v>
      </c>
      <c r="E3" s="219">
        <v>22.2</v>
      </c>
      <c r="F3" s="219">
        <f t="shared" ref="F3:F5" si="0">SUM(B3:E3)</f>
        <v>124.2</v>
      </c>
    </row>
    <row r="4" spans="1:6">
      <c r="A4" t="str">
        <f>Sliding_in_Triangle!B207</f>
        <v>UY 2014</v>
      </c>
      <c r="B4" s="219">
        <f>Sliding_in_Triangle!C207</f>
        <v>0</v>
      </c>
      <c r="C4" s="219">
        <f>Sliding_in_Triangle!D207</f>
        <v>0</v>
      </c>
      <c r="D4" s="219">
        <f>Sliding_in_Triangle!E207</f>
        <v>60.00000000000005</v>
      </c>
      <c r="E4" s="219">
        <f>Sliding_in_Triangle!F207</f>
        <v>42.00000000000005</v>
      </c>
      <c r="F4" s="219">
        <f t="shared" si="0"/>
        <v>102.0000000000001</v>
      </c>
    </row>
    <row r="5" spans="1:6">
      <c r="A5" t="str">
        <f>Sliding_in_Triangle!B208</f>
        <v>UY 2015</v>
      </c>
      <c r="B5" s="219">
        <f>Sliding_in_Triangle!C208</f>
        <v>0</v>
      </c>
      <c r="C5" s="219">
        <f>Sliding_in_Triangle!D208</f>
        <v>0</v>
      </c>
      <c r="D5" s="219">
        <f>Sliding_in_Triangle!E208</f>
        <v>0</v>
      </c>
      <c r="E5" s="219">
        <f>Sliding_in_Triangle!F208</f>
        <v>60.00000000000005</v>
      </c>
      <c r="F5" s="219">
        <f t="shared" si="0"/>
        <v>60.00000000000005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3" sqref="B3"/>
    </sheetView>
  </sheetViews>
  <sheetFormatPr defaultRowHeight="13.2"/>
  <sheetData>
    <row r="1" spans="1:5">
      <c r="B1" t="str">
        <f>Sliding_in_Triangle!C204</f>
        <v>CY 2012</v>
      </c>
      <c r="C1" t="str">
        <f>Sliding_in_Triangle!D204</f>
        <v>CY 2013</v>
      </c>
      <c r="D1" t="str">
        <f>Sliding_in_Triangle!E204</f>
        <v>CY 2014</v>
      </c>
      <c r="E1" t="str">
        <f>Sliding_in_Triangle!F204</f>
        <v>CY 2015</v>
      </c>
    </row>
    <row r="2" spans="1:5">
      <c r="A2" t="str">
        <f>Sliding_in_Triangle!B205</f>
        <v>UY 2012</v>
      </c>
      <c r="B2" s="219">
        <v>0</v>
      </c>
      <c r="C2" s="219">
        <f>Sliding_in_Triangle!D183</f>
        <v>0</v>
      </c>
      <c r="D2" s="219">
        <f>Sliding_in_Triangle!E183</f>
        <v>0</v>
      </c>
      <c r="E2" s="219">
        <f>Sliding_in_Triangle!F183</f>
        <v>0</v>
      </c>
    </row>
    <row r="3" spans="1:5">
      <c r="A3" t="str">
        <f>Sliding_in_Triangle!B206</f>
        <v>UY 2013</v>
      </c>
      <c r="B3" s="219">
        <f>Sliding_in_Triangle!C184</f>
        <v>0</v>
      </c>
      <c r="C3" s="219">
        <f>Sliding_in_Triangle!D184</f>
        <v>232.99999999999991</v>
      </c>
      <c r="D3" s="219">
        <f>Sliding_in_Triangle!E184</f>
        <v>253.99999999999989</v>
      </c>
      <c r="E3" s="219">
        <f>Sliding_in_Triangle!F184</f>
        <v>305.59999999999991</v>
      </c>
    </row>
    <row r="4" spans="1:5">
      <c r="A4" t="str">
        <f>Sliding_in_Triangle!B207</f>
        <v>UY 2014</v>
      </c>
      <c r="B4" s="219">
        <f>Sliding_in_Triangle!C185</f>
        <v>0</v>
      </c>
      <c r="C4" s="219">
        <f>Sliding_in_Triangle!D185</f>
        <v>0</v>
      </c>
      <c r="D4" s="219">
        <f>Sliding_in_Triangle!E185</f>
        <v>239.99999999999994</v>
      </c>
      <c r="E4" s="219">
        <f>Sliding_in_Triangle!F185</f>
        <v>275.99999999999994</v>
      </c>
    </row>
    <row r="5" spans="1:5">
      <c r="A5" t="str">
        <f>Sliding_in_Triangle!B208</f>
        <v>UY 2015</v>
      </c>
      <c r="B5" s="219">
        <f>Sliding_in_Triangle!C186</f>
        <v>0</v>
      </c>
      <c r="C5" s="219">
        <f>Sliding_in_Triangle!D186</f>
        <v>0</v>
      </c>
      <c r="D5" s="219">
        <f>Sliding_in_Triangle!E186</f>
        <v>0</v>
      </c>
      <c r="E5" s="219">
        <f>Sliding_in_Triangle!F186</f>
        <v>239.99999999999994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B2" sqref="B2:C5"/>
    </sheetView>
  </sheetViews>
  <sheetFormatPr defaultRowHeight="13.2"/>
  <sheetData>
    <row r="2" spans="2:3">
      <c r="B2" s="223">
        <f>Sliding_in_Triangle!D100</f>
        <v>0.5</v>
      </c>
      <c r="C2" s="223">
        <f>Sliding_in_Triangle!E100</f>
        <v>0.4</v>
      </c>
    </row>
    <row r="3" spans="2:3">
      <c r="B3" s="223">
        <f>Sliding_in_Triangle!D101</f>
        <v>0.6</v>
      </c>
      <c r="C3" s="223">
        <f>Sliding_in_Triangle!E101</f>
        <v>0.3</v>
      </c>
    </row>
    <row r="4" spans="2:3">
      <c r="B4" s="223">
        <f>Sliding_in_Triangle!D102</f>
        <v>0.7</v>
      </c>
      <c r="C4" s="223">
        <f>Sliding_in_Triangle!E102</f>
        <v>0.3</v>
      </c>
    </row>
    <row r="5" spans="2:3">
      <c r="B5" s="223">
        <f>Sliding_in_Triangle!D103</f>
        <v>0.8</v>
      </c>
      <c r="C5" s="223">
        <f>Sliding_in_Triangle!E103</f>
        <v>0.05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Tabelle1</vt:lpstr>
      <vt:lpstr>Sliding_in_Triangle</vt:lpstr>
      <vt:lpstr>UseCase</vt:lpstr>
      <vt:lpstr>LossPart</vt:lpstr>
      <vt:lpstr>Spec including financials</vt:lpstr>
      <vt:lpstr>NewSliding</vt:lpstr>
      <vt:lpstr>GrossClaim</vt:lpstr>
      <vt:lpstr>GrossPremium</vt:lpstr>
      <vt:lpstr>CededClaim</vt:lpstr>
      <vt:lpstr>Commission</vt:lpstr>
      <vt:lpstr>SlidingScaleCommission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2012-12-13T16:13:04Z</dcterms:modified>
</cp:coreProperties>
</file>