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DieseArbeitsmappe" autoCompressPictures="0" defaultThemeVersion="124226"/>
  <bookViews>
    <workbookView xWindow="-72" yWindow="12" windowWidth="18912" windowHeight="8700" tabRatio="605" firstSheet="1" activeTab="2"/>
  </bookViews>
  <sheets>
    <sheet name="Tabelle1" sheetId="1" state="hidden" r:id="rId1"/>
    <sheet name="Input_for_Test" sheetId="9" r:id="rId2"/>
    <sheet name="Sliding_in_Triangle" sheetId="8" r:id="rId3"/>
    <sheet name="UseCase" sheetId="7" r:id="rId4"/>
    <sheet name="LossPart" sheetId="2" state="hidden" r:id="rId5"/>
    <sheet name="Spec including financials" sheetId="6" state="hidden" r:id="rId6"/>
    <sheet name="NewSliding" sheetId="5" state="hidden" r:id="rId7"/>
  </sheets>
  <definedNames>
    <definedName name="LossRatio" localSheetId="2">Sliding_in_Triangle!$D$105</definedName>
    <definedName name="LossRatio">NewSliding!$K$17</definedName>
    <definedName name="maxCo">Tabelle1!$E$22</definedName>
    <definedName name="maxLR">Tabelle1!$F$20</definedName>
    <definedName name="minCo">Tabelle1!$E$19</definedName>
    <definedName name="minLR">Tabelle1!$F$24</definedName>
    <definedName name="_xlnm.Print_Area" localSheetId="2">Sliding_in_Triangle!$A$1:$M$279</definedName>
    <definedName name="_xlnm.Print_Area" localSheetId="5">'Spec including financials'!$A$6:$I$147</definedName>
    <definedName name="_xlnm.Print_Area" localSheetId="3">UseCase!$A$2:$B$49</definedName>
  </definedNames>
  <calcPr calcId="125725"/>
</workbook>
</file>

<file path=xl/calcChain.xml><?xml version="1.0" encoding="utf-8"?>
<calcChain xmlns="http://schemas.openxmlformats.org/spreadsheetml/2006/main">
  <c r="B33" i="9"/>
  <c r="C33" s="1"/>
  <c r="F18" i="8"/>
  <c r="E17"/>
  <c r="F17" s="1"/>
  <c r="D16"/>
  <c r="E16" s="1"/>
  <c r="F16" s="1"/>
  <c r="D33" i="9" l="1"/>
  <c r="C171" i="8" s="1"/>
  <c r="H58" s="1"/>
  <c r="I58" s="1"/>
  <c r="E33" i="9"/>
  <c r="J58" i="8" s="1"/>
  <c r="K58" s="1"/>
  <c r="C203"/>
  <c r="H46" l="1"/>
  <c r="H48"/>
  <c r="C243"/>
  <c r="C242"/>
  <c r="G18" i="9"/>
  <c r="F18"/>
  <c r="E18"/>
  <c r="D18"/>
  <c r="C18"/>
  <c r="G17"/>
  <c r="F17"/>
  <c r="F13" i="8" s="1"/>
  <c r="E17" i="9"/>
  <c r="D17"/>
  <c r="C17"/>
  <c r="G16"/>
  <c r="F16"/>
  <c r="F12" i="8" s="1"/>
  <c r="F33" s="1"/>
  <c r="E16" i="9"/>
  <c r="E12" i="8" s="1"/>
  <c r="E33" s="1"/>
  <c r="D16" i="9"/>
  <c r="C16"/>
  <c r="G15"/>
  <c r="F15"/>
  <c r="F11" i="8" s="1"/>
  <c r="E15" i="9"/>
  <c r="E11" i="8" s="1"/>
  <c r="E242" s="1"/>
  <c r="D15" i="9"/>
  <c r="D11" i="8" s="1"/>
  <c r="C15" i="9"/>
  <c r="F14"/>
  <c r="F10" i="8" s="1"/>
  <c r="F31" s="1"/>
  <c r="E14" i="9"/>
  <c r="E10" i="8" s="1"/>
  <c r="E31" s="1"/>
  <c r="D14" i="9"/>
  <c r="D10" i="8" s="1"/>
  <c r="D31" s="1"/>
  <c r="C14" i="9"/>
  <c r="C10" i="8" s="1"/>
  <c r="G14" i="9"/>
  <c r="E123" i="8"/>
  <c r="D123"/>
  <c r="C123"/>
  <c r="D121"/>
  <c r="C121"/>
  <c r="C119"/>
  <c r="E68"/>
  <c r="D68"/>
  <c r="C68"/>
  <c r="D66"/>
  <c r="C66"/>
  <c r="C64"/>
  <c r="F165"/>
  <c r="E165"/>
  <c r="D165"/>
  <c r="C165"/>
  <c r="E34"/>
  <c r="D34"/>
  <c r="C34"/>
  <c r="D33"/>
  <c r="C33"/>
  <c r="C32"/>
  <c r="C274"/>
  <c r="G279"/>
  <c r="E244"/>
  <c r="D244"/>
  <c r="C244"/>
  <c r="D243"/>
  <c r="F75"/>
  <c r="F74"/>
  <c r="E74"/>
  <c r="F73"/>
  <c r="E73"/>
  <c r="D73"/>
  <c r="F72"/>
  <c r="E72"/>
  <c r="D72"/>
  <c r="C72"/>
  <c r="H49"/>
  <c r="I49" s="1"/>
  <c r="H50"/>
  <c r="I50" s="1"/>
  <c r="H51"/>
  <c r="I51" s="1"/>
  <c r="H47"/>
  <c r="I46" l="1"/>
  <c r="I48"/>
  <c r="I47"/>
  <c r="D242"/>
  <c r="D32"/>
  <c r="F32"/>
  <c r="F242"/>
  <c r="C31"/>
  <c r="C241"/>
  <c r="F34"/>
  <c r="F244"/>
  <c r="E243"/>
  <c r="E32"/>
  <c r="K101"/>
  <c r="L101" s="1"/>
  <c r="M101" s="1"/>
  <c r="N101" s="1"/>
  <c r="O101" s="1"/>
  <c r="P101" s="1"/>
  <c r="Q101" s="1"/>
  <c r="R101" s="1"/>
  <c r="S101" s="1"/>
  <c r="T101" s="1"/>
  <c r="U101" s="1"/>
  <c r="V101" s="1"/>
  <c r="W101" s="1"/>
  <c r="X101" s="1"/>
  <c r="Y101" s="1"/>
  <c r="Z101" s="1"/>
  <c r="AA101" s="1"/>
  <c r="AB101" s="1"/>
  <c r="AC101" s="1"/>
  <c r="AD101" s="1"/>
  <c r="AE101" s="1"/>
  <c r="AF101" s="1"/>
  <c r="AG101" s="1"/>
  <c r="AH101" s="1"/>
  <c r="AI101" s="1"/>
  <c r="AJ101" s="1"/>
  <c r="AK101" s="1"/>
  <c r="AL101" s="1"/>
  <c r="AM101" s="1"/>
  <c r="AN101" s="1"/>
  <c r="AO101" s="1"/>
  <c r="AP101" s="1"/>
  <c r="AQ101" s="1"/>
  <c r="AR101" s="1"/>
  <c r="AS101" s="1"/>
  <c r="AT101" s="1"/>
  <c r="AU101" s="1"/>
  <c r="AV101" s="1"/>
  <c r="AW101" s="1"/>
  <c r="AX101" s="1"/>
  <c r="AY101" s="1"/>
  <c r="C98"/>
  <c r="F98"/>
  <c r="C99"/>
  <c r="F99"/>
  <c r="E133" s="1"/>
  <c r="C100"/>
  <c r="C101"/>
  <c r="F101"/>
  <c r="C102"/>
  <c r="F102"/>
  <c r="C103"/>
  <c r="F103"/>
  <c r="C127"/>
  <c r="D127"/>
  <c r="E127"/>
  <c r="F127"/>
  <c r="D128"/>
  <c r="E128"/>
  <c r="F128"/>
  <c r="E129"/>
  <c r="F129"/>
  <c r="F130"/>
  <c r="E140" i="6"/>
  <c r="D139"/>
  <c r="C138"/>
  <c r="B137"/>
  <c r="I54" i="8" l="1"/>
  <c r="F58" s="1"/>
  <c r="F243"/>
  <c r="D241"/>
  <c r="F106"/>
  <c r="E139" i="6"/>
  <c r="D138"/>
  <c r="E138" s="1"/>
  <c r="C137"/>
  <c r="D137" s="1"/>
  <c r="E137" s="1"/>
  <c r="E50"/>
  <c r="D50"/>
  <c r="C50"/>
  <c r="B50"/>
  <c r="E49"/>
  <c r="D49"/>
  <c r="C49"/>
  <c r="B49"/>
  <c r="D122"/>
  <c r="D113" s="1"/>
  <c r="C122"/>
  <c r="C113" s="1"/>
  <c r="B122"/>
  <c r="B113" s="1"/>
  <c r="C121"/>
  <c r="C112" s="1"/>
  <c r="B121"/>
  <c r="B112" s="1"/>
  <c r="B120"/>
  <c r="B111" s="1"/>
  <c r="E130"/>
  <c r="E122" s="1"/>
  <c r="E113" s="1"/>
  <c r="E128"/>
  <c r="D128"/>
  <c r="C128"/>
  <c r="C120" s="1"/>
  <c r="C111" s="1"/>
  <c r="E129"/>
  <c r="D129"/>
  <c r="D121" s="1"/>
  <c r="D112" s="1"/>
  <c r="D127"/>
  <c r="C127"/>
  <c r="B127"/>
  <c r="E98"/>
  <c r="D98"/>
  <c r="C98"/>
  <c r="B98"/>
  <c r="E97"/>
  <c r="E84" s="1"/>
  <c r="E44" s="1"/>
  <c r="E96"/>
  <c r="E83" s="1"/>
  <c r="D96"/>
  <c r="D83" s="1"/>
  <c r="D35" s="1"/>
  <c r="E95"/>
  <c r="D95"/>
  <c r="D82" s="1"/>
  <c r="C95"/>
  <c r="E94"/>
  <c r="E81" s="1"/>
  <c r="D94"/>
  <c r="D81" s="1"/>
  <c r="D33" s="1"/>
  <c r="C94"/>
  <c r="C81" s="1"/>
  <c r="B94"/>
  <c r="B81" s="1"/>
  <c r="E93"/>
  <c r="E80" s="1"/>
  <c r="E24" s="1"/>
  <c r="E17" s="1"/>
  <c r="D93"/>
  <c r="D52" s="1"/>
  <c r="C93"/>
  <c r="C80" s="1"/>
  <c r="C24" s="1"/>
  <c r="C17" s="1"/>
  <c r="B93"/>
  <c r="B52" s="1"/>
  <c r="E86"/>
  <c r="D86"/>
  <c r="C86"/>
  <c r="B86"/>
  <c r="D84"/>
  <c r="D44" s="1"/>
  <c r="C84"/>
  <c r="C44" s="1"/>
  <c r="B84"/>
  <c r="B44" s="1"/>
  <c r="C83"/>
  <c r="C35" s="1"/>
  <c r="B83"/>
  <c r="B43" s="1"/>
  <c r="B82"/>
  <c r="B42" s="1"/>
  <c r="B69" i="8" l="1"/>
  <c r="B67"/>
  <c r="B63"/>
  <c r="B65"/>
  <c r="E241"/>
  <c r="B122"/>
  <c r="I102"/>
  <c r="B124"/>
  <c r="B120"/>
  <c r="B118"/>
  <c r="B80" i="6"/>
  <c r="B24" s="1"/>
  <c r="B17" s="1"/>
  <c r="B16" s="1"/>
  <c r="D36"/>
  <c r="D80"/>
  <c r="D79" s="1"/>
  <c r="E52"/>
  <c r="C119"/>
  <c r="C110" s="1"/>
  <c r="C52"/>
  <c r="C43"/>
  <c r="B33"/>
  <c r="B41"/>
  <c r="B92"/>
  <c r="B51" s="1"/>
  <c r="B36"/>
  <c r="D119"/>
  <c r="D110" s="1"/>
  <c r="D43"/>
  <c r="D27" s="1"/>
  <c r="D14" s="1"/>
  <c r="D10" s="1"/>
  <c r="E119"/>
  <c r="E110" s="1"/>
  <c r="E120"/>
  <c r="E111" s="1"/>
  <c r="E121"/>
  <c r="E112" s="1"/>
  <c r="D120"/>
  <c r="D111" s="1"/>
  <c r="E41"/>
  <c r="E33"/>
  <c r="C41"/>
  <c r="C33"/>
  <c r="D42"/>
  <c r="D34"/>
  <c r="B34"/>
  <c r="E36"/>
  <c r="E28" s="1"/>
  <c r="E15" s="1"/>
  <c r="E10" s="1"/>
  <c r="C92"/>
  <c r="C51" s="1"/>
  <c r="B35"/>
  <c r="C36"/>
  <c r="D92"/>
  <c r="D51" s="1"/>
  <c r="E92"/>
  <c r="E51" s="1"/>
  <c r="B119"/>
  <c r="B110" s="1"/>
  <c r="D41"/>
  <c r="D25" s="1"/>
  <c r="D18" s="1"/>
  <c r="E43"/>
  <c r="E35"/>
  <c r="C82"/>
  <c r="E82"/>
  <c r="B79" l="1"/>
  <c r="F241" i="8"/>
  <c r="D24" i="6"/>
  <c r="D17" s="1"/>
  <c r="B25"/>
  <c r="B12" s="1"/>
  <c r="B10" s="1"/>
  <c r="B9" s="1"/>
  <c r="C25"/>
  <c r="C18" s="1"/>
  <c r="C16" s="1"/>
  <c r="D26"/>
  <c r="D19" s="1"/>
  <c r="E25"/>
  <c r="E18" s="1"/>
  <c r="C79"/>
  <c r="C42"/>
  <c r="C34"/>
  <c r="E79"/>
  <c r="E42"/>
  <c r="E34"/>
  <c r="E27"/>
  <c r="E20" s="1"/>
  <c r="F16" i="5"/>
  <c r="F15"/>
  <c r="C15"/>
  <c r="C16"/>
  <c r="C17"/>
  <c r="C20"/>
  <c r="C19"/>
  <c r="F19"/>
  <c r="F20"/>
  <c r="F18"/>
  <c r="C18"/>
  <c r="D16" i="6" l="1"/>
  <c r="D9" s="1"/>
  <c r="E26"/>
  <c r="E19" s="1"/>
  <c r="E16" s="1"/>
  <c r="E9" s="1"/>
  <c r="C26"/>
  <c r="C13" s="1"/>
  <c r="C10" s="1"/>
  <c r="C9" s="1"/>
  <c r="K18" i="5"/>
  <c r="J34" i="2" s="1"/>
  <c r="C6" l="1"/>
  <c r="E2" s="1"/>
  <c r="J5" i="1"/>
  <c r="K5" s="1"/>
  <c r="J6"/>
  <c r="K6" s="1"/>
  <c r="J7"/>
  <c r="K7" s="1"/>
  <c r="J8"/>
  <c r="K8" s="1"/>
  <c r="J4"/>
  <c r="K4" s="1"/>
  <c r="K10" l="1"/>
  <c r="M20" i="2"/>
  <c r="N20" s="1"/>
  <c r="J33"/>
  <c r="M15"/>
  <c r="N15" s="1"/>
  <c r="M16"/>
  <c r="N16" s="1"/>
  <c r="M14"/>
  <c r="N14" s="1"/>
  <c r="M19"/>
  <c r="N19" s="1"/>
  <c r="M12"/>
  <c r="N12" s="1"/>
  <c r="M17"/>
  <c r="N17" s="1"/>
  <c r="M13"/>
  <c r="N13" s="1"/>
  <c r="M18"/>
  <c r="N18" s="1"/>
  <c r="D33" i="1"/>
  <c r="F28"/>
  <c r="N3" s="1"/>
  <c r="E33"/>
  <c r="F33" s="1"/>
  <c r="N23" i="2" l="1"/>
  <c r="Q23" s="1"/>
  <c r="S23" s="1"/>
  <c r="G33" i="1"/>
  <c r="C34"/>
  <c r="D34" s="1"/>
  <c r="E34" l="1"/>
  <c r="F34" s="1"/>
  <c r="C35"/>
  <c r="D35" s="1"/>
  <c r="G34" l="1"/>
  <c r="E35"/>
  <c r="F35" s="1"/>
  <c r="C36"/>
  <c r="D36" s="1"/>
  <c r="G35" l="1"/>
  <c r="C37"/>
  <c r="D37" s="1"/>
  <c r="E36"/>
  <c r="F36" s="1"/>
  <c r="G36" l="1"/>
  <c r="C38"/>
  <c r="D38" s="1"/>
  <c r="E37"/>
  <c r="F37" s="1"/>
  <c r="G37" l="1"/>
  <c r="C39"/>
  <c r="D39" s="1"/>
  <c r="E38"/>
  <c r="F38" s="1"/>
  <c r="G38" l="1"/>
  <c r="C40"/>
  <c r="D40" s="1"/>
  <c r="E39"/>
  <c r="F39" s="1"/>
  <c r="G39" l="1"/>
  <c r="C41"/>
  <c r="D41" s="1"/>
  <c r="E40"/>
  <c r="F40" s="1"/>
  <c r="G40" l="1"/>
  <c r="C42"/>
  <c r="D42" s="1"/>
  <c r="E41"/>
  <c r="F41" s="1"/>
  <c r="G41" l="1"/>
  <c r="C43"/>
  <c r="D43" s="1"/>
  <c r="E42"/>
  <c r="F42" s="1"/>
  <c r="G42" l="1"/>
  <c r="C44"/>
  <c r="D44" s="1"/>
  <c r="E43"/>
  <c r="F43" s="1"/>
  <c r="G43" l="1"/>
  <c r="C45"/>
  <c r="D45" s="1"/>
  <c r="E44"/>
  <c r="F44" s="1"/>
  <c r="G44" s="1"/>
  <c r="C46" l="1"/>
  <c r="D46" s="1"/>
  <c r="E45"/>
  <c r="F45" s="1"/>
  <c r="G45" l="1"/>
  <c r="C47"/>
  <c r="D47" s="1"/>
  <c r="E46"/>
  <c r="F46" s="1"/>
  <c r="G46" s="1"/>
  <c r="C48" l="1"/>
  <c r="D48" s="1"/>
  <c r="E47"/>
  <c r="F47" s="1"/>
  <c r="G47" l="1"/>
  <c r="C49"/>
  <c r="D49" s="1"/>
  <c r="E48"/>
  <c r="F48" s="1"/>
  <c r="G48" s="1"/>
  <c r="C50" l="1"/>
  <c r="D50" s="1"/>
  <c r="E49"/>
  <c r="F49" s="1"/>
  <c r="G49" l="1"/>
  <c r="C51"/>
  <c r="D51" s="1"/>
  <c r="E50"/>
  <c r="F50" s="1"/>
  <c r="G50" s="1"/>
  <c r="C52" l="1"/>
  <c r="D52" s="1"/>
  <c r="E51"/>
  <c r="F51" s="1"/>
  <c r="G51" l="1"/>
  <c r="E52"/>
  <c r="F52" s="1"/>
  <c r="C53"/>
  <c r="D53" s="1"/>
  <c r="G52" l="1"/>
  <c r="C54"/>
  <c r="D54" s="1"/>
  <c r="E53"/>
  <c r="F53" s="1"/>
  <c r="G53" s="1"/>
  <c r="C55" l="1"/>
  <c r="D55" s="1"/>
  <c r="E54"/>
  <c r="F54" s="1"/>
  <c r="G54" l="1"/>
  <c r="C56"/>
  <c r="D56" s="1"/>
  <c r="E55"/>
  <c r="F55" s="1"/>
  <c r="G55" l="1"/>
  <c r="C57"/>
  <c r="D57" s="1"/>
  <c r="E56"/>
  <c r="F56" s="1"/>
  <c r="G56" l="1"/>
  <c r="C58"/>
  <c r="D58" s="1"/>
  <c r="E57"/>
  <c r="F57" s="1"/>
  <c r="G57" l="1"/>
  <c r="C59"/>
  <c r="D59" s="1"/>
  <c r="E58"/>
  <c r="F58" s="1"/>
  <c r="G58" l="1"/>
  <c r="C60"/>
  <c r="D60" s="1"/>
  <c r="E59"/>
  <c r="F59" l="1"/>
  <c r="C61"/>
  <c r="D61" s="1"/>
  <c r="E60"/>
  <c r="F60" s="1"/>
  <c r="G59" l="1"/>
  <c r="G60"/>
  <c r="C62"/>
  <c r="D62" s="1"/>
  <c r="E61"/>
  <c r="F61" l="1"/>
  <c r="C63"/>
  <c r="D63" s="1"/>
  <c r="E62"/>
  <c r="F62" s="1"/>
  <c r="G61" l="1"/>
  <c r="G62"/>
  <c r="C64"/>
  <c r="D64" s="1"/>
  <c r="E63"/>
  <c r="E64" l="1"/>
  <c r="C65"/>
  <c r="D65" s="1"/>
  <c r="F63"/>
  <c r="G63" l="1"/>
  <c r="E65"/>
  <c r="C66"/>
  <c r="D66" s="1"/>
  <c r="F64"/>
  <c r="G64" l="1"/>
  <c r="F65"/>
  <c r="E66"/>
  <c r="C67"/>
  <c r="D67" s="1"/>
  <c r="G65" l="1"/>
  <c r="E67"/>
  <c r="F67" s="1"/>
  <c r="C68"/>
  <c r="D68" s="1"/>
  <c r="F66"/>
  <c r="G66" l="1"/>
  <c r="G67"/>
  <c r="E68"/>
  <c r="C69"/>
  <c r="D69" s="1"/>
  <c r="C70" l="1"/>
  <c r="D70" s="1"/>
  <c r="E69"/>
  <c r="F69" s="1"/>
  <c r="F68"/>
  <c r="G68" l="1"/>
  <c r="G69"/>
  <c r="C71"/>
  <c r="D71" s="1"/>
  <c r="E70"/>
  <c r="C72" l="1"/>
  <c r="D72" s="1"/>
  <c r="E71"/>
  <c r="F71" s="1"/>
  <c r="F70"/>
  <c r="G70" l="1"/>
  <c r="G71"/>
  <c r="E72"/>
  <c r="F72" s="1"/>
  <c r="C73"/>
  <c r="D73" s="1"/>
  <c r="G72" l="1"/>
  <c r="E73"/>
  <c r="F73" s="1"/>
  <c r="C74"/>
  <c r="D74" s="1"/>
  <c r="G73" l="1"/>
  <c r="E74"/>
  <c r="C75"/>
  <c r="D75" s="1"/>
  <c r="E75" l="1"/>
  <c r="F75" s="1"/>
  <c r="C76"/>
  <c r="D76" s="1"/>
  <c r="F74"/>
  <c r="G74" l="1"/>
  <c r="G75"/>
  <c r="E76"/>
  <c r="F76" s="1"/>
  <c r="C77"/>
  <c r="D77" s="1"/>
  <c r="G76" l="1"/>
  <c r="E77"/>
  <c r="F77" s="1"/>
  <c r="C78"/>
  <c r="D78" s="1"/>
  <c r="G77" l="1"/>
  <c r="E78"/>
  <c r="F78" s="1"/>
  <c r="C79"/>
  <c r="D79" s="1"/>
  <c r="G78" l="1"/>
  <c r="E79"/>
  <c r="C80"/>
  <c r="D80" s="1"/>
  <c r="C81" l="1"/>
  <c r="D81" s="1"/>
  <c r="E80"/>
  <c r="F79"/>
  <c r="G79" l="1"/>
  <c r="C82"/>
  <c r="D82" s="1"/>
  <c r="E81"/>
  <c r="F81" s="1"/>
  <c r="F80"/>
  <c r="G81" l="1"/>
  <c r="G80"/>
  <c r="E82"/>
  <c r="F82" s="1"/>
  <c r="C83"/>
  <c r="D83" s="1"/>
  <c r="G82" l="1"/>
  <c r="E83"/>
  <c r="F83" s="1"/>
  <c r="G83" l="1"/>
  <c r="C181" i="8"/>
  <c r="C225"/>
  <c r="C232" s="1"/>
  <c r="C144"/>
  <c r="C137"/>
  <c r="C89"/>
  <c r="E147"/>
  <c r="D228"/>
  <c r="D146"/>
  <c r="F226"/>
  <c r="C228"/>
  <c r="E139"/>
  <c r="F144"/>
  <c r="D138"/>
  <c r="F140"/>
  <c r="E225"/>
  <c r="F227"/>
  <c r="C139"/>
  <c r="C138"/>
  <c r="E226"/>
  <c r="D181"/>
  <c r="C37"/>
  <c r="C62" s="1"/>
  <c r="C78" l="1"/>
  <c r="C117" s="1"/>
  <c r="E159"/>
  <c r="E38"/>
  <c r="E64" s="1"/>
  <c r="C249"/>
  <c r="C255" s="1"/>
  <c r="F40"/>
  <c r="F68" s="1"/>
  <c r="E39"/>
  <c r="E80" s="1"/>
  <c r="E249" s="1"/>
  <c r="E255" s="1"/>
  <c r="F38"/>
  <c r="F79" s="1"/>
  <c r="F248" s="1"/>
  <c r="F254" s="1"/>
  <c r="C157"/>
  <c r="C175" s="1"/>
  <c r="C190" s="1"/>
  <c r="C159"/>
  <c r="C177" s="1"/>
  <c r="C192" s="1"/>
  <c r="E92"/>
  <c r="F64"/>
  <c r="D91"/>
  <c r="F234"/>
  <c r="F139"/>
  <c r="F181"/>
  <c r="E228"/>
  <c r="E235" s="1"/>
  <c r="D144"/>
  <c r="E145"/>
  <c r="E138"/>
  <c r="F145"/>
  <c r="D227"/>
  <c r="D234" s="1"/>
  <c r="E144"/>
  <c r="D182"/>
  <c r="D226"/>
  <c r="D233" s="1"/>
  <c r="F228"/>
  <c r="F235" s="1"/>
  <c r="D140"/>
  <c r="C146"/>
  <c r="E183"/>
  <c r="E227"/>
  <c r="E234" s="1"/>
  <c r="C182"/>
  <c r="C147"/>
  <c r="C248"/>
  <c r="C254" s="1"/>
  <c r="F39"/>
  <c r="E89"/>
  <c r="F89"/>
  <c r="C158"/>
  <c r="C176" s="1"/>
  <c r="C191" s="1"/>
  <c r="D92"/>
  <c r="F183"/>
  <c r="E184"/>
  <c r="D137"/>
  <c r="D225"/>
  <c r="D232" s="1"/>
  <c r="E182"/>
  <c r="F138"/>
  <c r="D139"/>
  <c r="E232"/>
  <c r="E181"/>
  <c r="D235"/>
  <c r="C227"/>
  <c r="C234" s="1"/>
  <c r="C183"/>
  <c r="C184"/>
  <c r="E79"/>
  <c r="E248" s="1"/>
  <c r="D38"/>
  <c r="F37"/>
  <c r="C250"/>
  <c r="C256" s="1"/>
  <c r="D158"/>
  <c r="D249"/>
  <c r="D255" s="1"/>
  <c r="F92"/>
  <c r="C90"/>
  <c r="D89"/>
  <c r="F90"/>
  <c r="C91"/>
  <c r="D90"/>
  <c r="F91"/>
  <c r="F146"/>
  <c r="F137"/>
  <c r="E140"/>
  <c r="E233"/>
  <c r="F233"/>
  <c r="D183"/>
  <c r="E137"/>
  <c r="D145"/>
  <c r="F184"/>
  <c r="D184"/>
  <c r="D147"/>
  <c r="E146"/>
  <c r="C226"/>
  <c r="C233" s="1"/>
  <c r="C140"/>
  <c r="C235"/>
  <c r="D37"/>
  <c r="E37"/>
  <c r="D250"/>
  <c r="D256" s="1"/>
  <c r="D159"/>
  <c r="E90"/>
  <c r="E91"/>
  <c r="E250"/>
  <c r="E256" s="1"/>
  <c r="C92"/>
  <c r="F225"/>
  <c r="F232" s="1"/>
  <c r="F182"/>
  <c r="F147"/>
  <c r="C145"/>
  <c r="F81" l="1"/>
  <c r="F159" s="1"/>
  <c r="F157"/>
  <c r="C253"/>
  <c r="C156"/>
  <c r="E66"/>
  <c r="E158"/>
  <c r="E121"/>
  <c r="F119"/>
  <c r="C197"/>
  <c r="C199"/>
  <c r="E119"/>
  <c r="E254"/>
  <c r="C198"/>
  <c r="C216"/>
  <c r="C210"/>
  <c r="C260" s="1"/>
  <c r="F80"/>
  <c r="F66"/>
  <c r="C217"/>
  <c r="C211"/>
  <c r="C261" s="1"/>
  <c r="D62"/>
  <c r="D78"/>
  <c r="D79"/>
  <c r="D64"/>
  <c r="E157"/>
  <c r="C218"/>
  <c r="C212"/>
  <c r="C262" s="1"/>
  <c r="E62"/>
  <c r="E78"/>
  <c r="F78"/>
  <c r="F62"/>
  <c r="F250" l="1"/>
  <c r="F256" s="1"/>
  <c r="F123"/>
  <c r="C166"/>
  <c r="C174" s="1"/>
  <c r="C189" s="1"/>
  <c r="F117"/>
  <c r="F247"/>
  <c r="F253" s="1"/>
  <c r="F156"/>
  <c r="D119"/>
  <c r="D248"/>
  <c r="D254" s="1"/>
  <c r="D157"/>
  <c r="E117"/>
  <c r="E247"/>
  <c r="E253" s="1"/>
  <c r="E156"/>
  <c r="D117"/>
  <c r="D247"/>
  <c r="D253" s="1"/>
  <c r="D156"/>
  <c r="F249"/>
  <c r="F255" s="1"/>
  <c r="F121"/>
  <c r="F158"/>
  <c r="C196" l="1"/>
  <c r="C259" s="1"/>
  <c r="C265" s="1"/>
  <c r="C273" s="1"/>
  <c r="C279" s="1"/>
  <c r="C215"/>
  <c r="F166"/>
  <c r="F167" s="1"/>
  <c r="E166"/>
  <c r="E167" s="1"/>
  <c r="D166"/>
  <c r="D167" s="1"/>
  <c r="D168" s="1"/>
  <c r="E174" l="1"/>
  <c r="E189" s="1"/>
  <c r="E196" s="1"/>
  <c r="E209" s="1"/>
  <c r="E259" s="1"/>
  <c r="F174"/>
  <c r="F189" s="1"/>
  <c r="F196" s="1"/>
  <c r="F209" s="1"/>
  <c r="F259" s="1"/>
  <c r="D169"/>
  <c r="D177" s="1"/>
  <c r="D192" s="1"/>
  <c r="D176"/>
  <c r="D191" s="1"/>
  <c r="E168"/>
  <c r="E175"/>
  <c r="E190" s="1"/>
  <c r="F168"/>
  <c r="F175"/>
  <c r="F190" s="1"/>
  <c r="D174"/>
  <c r="D189" s="1"/>
  <c r="D175"/>
  <c r="D190" s="1"/>
  <c r="E215" l="1"/>
  <c r="F215"/>
  <c r="F265"/>
  <c r="F275" s="1"/>
  <c r="D197"/>
  <c r="D210" s="1"/>
  <c r="D260" s="1"/>
  <c r="D266" s="1"/>
  <c r="D273" s="1"/>
  <c r="D216"/>
  <c r="D199"/>
  <c r="D212" s="1"/>
  <c r="D262" s="1"/>
  <c r="D218"/>
  <c r="D198"/>
  <c r="D211" s="1"/>
  <c r="D261" s="1"/>
  <c r="D217"/>
  <c r="D196"/>
  <c r="D209" s="1"/>
  <c r="D259" s="1"/>
  <c r="D265" s="1"/>
  <c r="D275" s="1"/>
  <c r="D274" s="1"/>
  <c r="D215"/>
  <c r="F197"/>
  <c r="F210" s="1"/>
  <c r="F260" s="1"/>
  <c r="F216"/>
  <c r="E197"/>
  <c r="E210" s="1"/>
  <c r="E260" s="1"/>
  <c r="E216"/>
  <c r="F169"/>
  <c r="F177" s="1"/>
  <c r="F192" s="1"/>
  <c r="F176"/>
  <c r="F191" s="1"/>
  <c r="E169"/>
  <c r="E177" s="1"/>
  <c r="E192" s="1"/>
  <c r="E176"/>
  <c r="E191" s="1"/>
  <c r="E266" l="1"/>
  <c r="E276" s="1"/>
  <c r="E198"/>
  <c r="E211" s="1"/>
  <c r="E261" s="1"/>
  <c r="E267" s="1"/>
  <c r="E273" s="1"/>
  <c r="E217"/>
  <c r="E265"/>
  <c r="E275" s="1"/>
  <c r="D279"/>
  <c r="F266"/>
  <c r="F276" s="1"/>
  <c r="F199"/>
  <c r="F212" s="1"/>
  <c r="F262" s="1"/>
  <c r="F268" s="1"/>
  <c r="F273" s="1"/>
  <c r="F218"/>
  <c r="F198"/>
  <c r="F211" s="1"/>
  <c r="F261" s="1"/>
  <c r="F217"/>
  <c r="E199"/>
  <c r="E212" s="1"/>
  <c r="E262" s="1"/>
  <c r="E218"/>
  <c r="E274" l="1"/>
  <c r="E279" s="1"/>
  <c r="F267"/>
  <c r="F277" s="1"/>
  <c r="F274" s="1"/>
  <c r="F279" s="1"/>
</calcChain>
</file>

<file path=xl/comments1.xml><?xml version="1.0" encoding="utf-8"?>
<comments xmlns="http://schemas.openxmlformats.org/spreadsheetml/2006/main">
  <authors>
    <author>Waßmer Arnold</author>
  </authors>
  <commentList>
    <comment ref="B116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Application of computation above on each Value of triangle using Excel-Function "Was-wäre-wenn-analyse Datentabelle"
Effect: Strange Layout.</t>
        </r>
      </text>
    </comment>
    <comment ref="C287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Input 1,2,3,4,5,6 or 7 </t>
        </r>
      </text>
    </comment>
  </commentList>
</comments>
</file>

<file path=xl/comments2.xml><?xml version="1.0" encoding="utf-8"?>
<comments xmlns="http://schemas.openxmlformats.org/spreadsheetml/2006/main">
  <authors>
    <author>Waßmer Arnold</author>
  </authors>
  <commentList>
    <comment ref="B93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Die Alt-Reserven haben hier eine Differenz stehen. </t>
        </r>
      </text>
    </comment>
    <comment ref="B94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Die Reserven aus Schadengeneratoren haben hier den ersten IBNR-Stand stehen.
</t>
        </r>
      </text>
    </comment>
  </commentList>
</comments>
</file>

<file path=xl/sharedStrings.xml><?xml version="1.0" encoding="utf-8"?>
<sst xmlns="http://schemas.openxmlformats.org/spreadsheetml/2006/main" count="614" uniqueCount="262">
  <si>
    <t>Maximum loss ratio</t>
  </si>
  <si>
    <t>Input</t>
  </si>
  <si>
    <t>Simulationsergebnis</t>
  </si>
  <si>
    <t>LossRatio</t>
  </si>
  <si>
    <t>Loss Participation</t>
  </si>
  <si>
    <t>Minimum Loss Ratio</t>
  </si>
  <si>
    <t>Participation on Loss</t>
  </si>
  <si>
    <t>Participation</t>
  </si>
  <si>
    <t>NewLossRatio ceded</t>
  </si>
  <si>
    <t>New Loss Ratio net</t>
  </si>
  <si>
    <t>Quota share</t>
  </si>
  <si>
    <t>Covered by RI</t>
  </si>
  <si>
    <t>Product of (QS) x (Cov by RI)</t>
  </si>
  <si>
    <t>From LR</t>
  </si>
  <si>
    <t>LossPartByCedant</t>
  </si>
  <si>
    <t>Summe</t>
  </si>
  <si>
    <t>Relevante LossRatio Punkte</t>
  </si>
  <si>
    <t>Anteil</t>
  </si>
  <si>
    <t>QuotaShare</t>
  </si>
  <si>
    <t xml:space="preserve">diese LossRatio-Punkte werden also nicht vom RV gedeckt, sondern vom Zedenten. </t>
  </si>
  <si>
    <t xml:space="preserve">Zwischen 0 und 100% erlaubt. </t>
  </si>
  <si>
    <t>Validator</t>
  </si>
  <si>
    <t>&gt;=0%</t>
  </si>
  <si>
    <t>Anteil für Zedenten</t>
  </si>
  <si>
    <t>Quote</t>
  </si>
  <si>
    <t>AAD</t>
  </si>
  <si>
    <t>Prämie</t>
  </si>
  <si>
    <t>AAD in LR</t>
  </si>
  <si>
    <t>streng monoton steigend</t>
  </si>
  <si>
    <t xml:space="preserve">Diese Zahl wird nicht verändert durch den Schaden. </t>
  </si>
  <si>
    <t xml:space="preserve">Insbesondere darf Prämien-Zession nicht verändert werden. </t>
  </si>
  <si>
    <t>Commission-Berechnung</t>
  </si>
  <si>
    <r>
      <t xml:space="preserve">Input in Commissionberechnung sollte </t>
    </r>
    <r>
      <rPr>
        <b/>
        <u/>
        <sz val="10"/>
        <color theme="1"/>
        <rFont val="Arial"/>
        <family val="2"/>
      </rPr>
      <t>nicht</t>
    </r>
    <r>
      <rPr>
        <sz val="10"/>
        <color theme="1"/>
        <rFont val="Arial"/>
        <family val="2"/>
      </rPr>
      <t xml:space="preserve"> der zedierte Schaden sein (also nicht nach LossParticipation), sondern sollte die LossRatio nach AAD verwenden.</t>
    </r>
  </si>
  <si>
    <t xml:space="preserve">Beschluss vom 11. Mai 2012: </t>
  </si>
  <si>
    <t xml:space="preserve">AnnualAggregateLimit sollte nicht mehr verwendet werden bei Quoten. </t>
  </si>
  <si>
    <t>(Grund: Große Fehlerquelle für Benutzer)</t>
  </si>
  <si>
    <t>Mean 2015</t>
  </si>
  <si>
    <t>Mean 2014</t>
  </si>
  <si>
    <t>Mean 2013</t>
  </si>
  <si>
    <t>Mean 2012</t>
  </si>
  <si>
    <t>Name</t>
  </si>
  <si>
    <t>Commission</t>
  </si>
  <si>
    <t>Relevanter Bereich?</t>
  </si>
  <si>
    <t>Validations</t>
  </si>
  <si>
    <t xml:space="preserve">Zwischen 0% und 100% erlaubt. </t>
  </si>
  <si>
    <t>unten</t>
  </si>
  <si>
    <t>oben</t>
  </si>
  <si>
    <t>dazwischen</t>
  </si>
  <si>
    <t>monton fallend</t>
  </si>
  <si>
    <t>Error</t>
  </si>
  <si>
    <t>Warning</t>
  </si>
  <si>
    <t>Output</t>
  </si>
  <si>
    <t>Berechnung</t>
  </si>
  <si>
    <t>LR after LossPart</t>
  </si>
  <si>
    <t>Ceded Losses</t>
  </si>
  <si>
    <t>Sum</t>
  </si>
  <si>
    <t>LossRatio after AAD</t>
  </si>
  <si>
    <t>LossParticipation</t>
  </si>
  <si>
    <t>premium and reserve risk base including financials</t>
  </si>
  <si>
    <t>This is what we want</t>
  </si>
  <si>
    <t>Premium risk base including financials</t>
  </si>
  <si>
    <t>reserves from 2011 and before</t>
  </si>
  <si>
    <t>no premium risk, because a reserve generator</t>
  </si>
  <si>
    <t>Reserve risk base including financials</t>
  </si>
  <si>
    <t>Total  including financials</t>
  </si>
  <si>
    <t>Total incremental indexed  + Commissions + Variable RI Premium incremental</t>
  </si>
  <si>
    <t>Variable RI Premium incremental</t>
  </si>
  <si>
    <t>Von den Reserven gibt’s keine Variable Premium Veränderung</t>
  </si>
  <si>
    <t>Comission incremental</t>
  </si>
  <si>
    <t>Von den Reserven gibt’s keine CommissionVeränderungen</t>
  </si>
  <si>
    <t>Total incremental indexed (Claims)</t>
  </si>
  <si>
    <t>Total := reported + IBNR</t>
  </si>
  <si>
    <t xml:space="preserve">   Reported Incremental Indexed</t>
  </si>
  <si>
    <t xml:space="preserve">   IBNR incremental Indexed</t>
  </si>
  <si>
    <t xml:space="preserve">   IBNR Indexed</t>
  </si>
  <si>
    <t>Value of "reserves from 2011 and before." @ end-of-year-2011</t>
  </si>
  <si>
    <t xml:space="preserve">Hier kommt die Rechnung laut Sliding Scale rein. </t>
  </si>
  <si>
    <t xml:space="preserve"> - Schäden: Total (= Reported + IBNR)    &lt;-- Dies sollte die Default-Option sein.</t>
  </si>
  <si>
    <t xml:space="preserve"> - Prämie: 100%, also unter ignorierung von Pattern.  &lt;-- Dies sollte die Default-Option sein. </t>
  </si>
  <si>
    <t xml:space="preserve">LossParticipation muss auch rein. </t>
  </si>
  <si>
    <t>Input dafür (Best estimate view)</t>
  </si>
  <si>
    <t>2011 and before</t>
  </si>
  <si>
    <t>Premiums (written GNPI)</t>
  </si>
  <si>
    <t xml:space="preserve">written : = ultmate premium of this underwriting year. </t>
  </si>
  <si>
    <t>Premium pattern</t>
  </si>
  <si>
    <t>1DY</t>
  </si>
  <si>
    <t>2.DY</t>
  </si>
  <si>
    <t>3. DY</t>
  </si>
  <si>
    <t>Incremental Premiums after pattern</t>
  </si>
  <si>
    <t>Cumulative Premiums after pattern</t>
  </si>
  <si>
    <t>Premiums</t>
  </si>
  <si>
    <t>Claims</t>
  </si>
  <si>
    <t>Sliding Scale Commission</t>
  </si>
  <si>
    <t>min LR</t>
  </si>
  <si>
    <t>maxLR</t>
  </si>
  <si>
    <t>maxComm</t>
  </si>
  <si>
    <t>minComm</t>
  </si>
  <si>
    <t>Use Pattern?</t>
  </si>
  <si>
    <t>Yes, pattern</t>
  </si>
  <si>
    <t>No, no pattern please - habe ich schon genug gehabt.</t>
  </si>
  <si>
    <t>Claims relevant for SlidingComm</t>
  </si>
  <si>
    <t>paid</t>
  </si>
  <si>
    <t>repored</t>
  </si>
  <si>
    <t>total (including IBNR)</t>
  </si>
  <si>
    <t xml:space="preserve">Use case: </t>
  </si>
  <si>
    <t>Rechenweg: Von unten nach oben</t>
  </si>
  <si>
    <t xml:space="preserve">Grund hierfür: Mir  sind in der Risikorechnung die Cashflows egal, ich will Bestestimates sehen. </t>
  </si>
  <si>
    <t>Relevant Premium Triangle</t>
  </si>
  <si>
    <t>Premium Triangle ignoring pattern</t>
  </si>
  <si>
    <t>UY 2015</t>
  </si>
  <si>
    <t>UY 2014</t>
  </si>
  <si>
    <t>UY 2013</t>
  </si>
  <si>
    <t>UY 2012</t>
  </si>
  <si>
    <t>CY 2015</t>
  </si>
  <si>
    <t>CY 2014</t>
  </si>
  <si>
    <t>CY 2013</t>
  </si>
  <si>
    <t>CY 2012</t>
  </si>
  <si>
    <t>Premiums cumulative</t>
  </si>
  <si>
    <t>Def. Scale</t>
  </si>
  <si>
    <t>DatenTabelle für Diagramm</t>
  </si>
  <si>
    <t>1. paid</t>
  </si>
  <si>
    <t>LossPart in %pt</t>
  </si>
  <si>
    <t>These can be various</t>
  </si>
  <si>
    <t>1. using a pattern (kind of "earned")</t>
  </si>
  <si>
    <t>Computing Loss Participation</t>
  </si>
  <si>
    <t>GrossLoss</t>
  </si>
  <si>
    <t>Loss Participaton in % premium</t>
  </si>
  <si>
    <t xml:space="preserve">Net Loss </t>
  </si>
  <si>
    <t>below min LR</t>
  </si>
  <si>
    <t>above max LR</t>
  </si>
  <si>
    <t>between</t>
  </si>
  <si>
    <t>relevant?</t>
  </si>
  <si>
    <t>computation</t>
  </si>
  <si>
    <t>Validations for input</t>
  </si>
  <si>
    <t>Computing Sliding Scale</t>
  </si>
  <si>
    <t xml:space="preserve">Sum of LR-Points </t>
  </si>
  <si>
    <t xml:space="preserve">If the loss ratio is above 80% then 7.5% points Loss Ratio  (=75%x(80%-70%) ) are the loss participation of the cedant. </t>
  </si>
  <si>
    <t>Profit Commission</t>
  </si>
  <si>
    <t>Annual Aggregate Loss, bases on one of the following</t>
  </si>
  <si>
    <t xml:space="preserve"> - Surplus treaties</t>
  </si>
  <si>
    <t>The following applies to</t>
  </si>
  <si>
    <t xml:space="preserve"> - Quota share treaties</t>
  </si>
  <si>
    <t xml:space="preserve">Usually we have: </t>
  </si>
  <si>
    <t xml:space="preserve">Vola(NetLoss+ Commission) &gt;= Vola(NetLoss) </t>
  </si>
  <si>
    <t xml:space="preserve"> - not only in the premium risk </t>
  </si>
  <si>
    <t xml:space="preserve"> - but also in the reserve risk. </t>
  </si>
  <si>
    <t>Proportional treaties often have some of the following features</t>
  </si>
  <si>
    <t xml:space="preserve">These features typically increase the volatility of the net-retained situation. </t>
  </si>
  <si>
    <t xml:space="preserve">Commission of porportional reinsurance is an additional cash flow from RI to PI. </t>
  </si>
  <si>
    <t xml:space="preserve">If commission is not fixed then it usually depends on gross losses and it changes volatility of net situation. </t>
  </si>
  <si>
    <t xml:space="preserve">Thus the interesting distribution is </t>
  </si>
  <si>
    <t>(NetLoss + Commission)</t>
  </si>
  <si>
    <t>General</t>
  </si>
  <si>
    <t xml:space="preserve">What we are interested in at the end is </t>
  </si>
  <si>
    <t>Example:</t>
  </si>
  <si>
    <t xml:space="preserve">If the loss ratio is below 70% there is zero loss participation. </t>
  </si>
  <si>
    <t xml:space="preserve">Loss participation reduces the ceded loss in certain corridors. </t>
  </si>
  <si>
    <t xml:space="preserve">The part of the loss that lies between 70% and 80% loss ratio is not fully ceded:  75% of the cesson without LossPart remain at the cedant. </t>
  </si>
  <si>
    <t>the distribution of (netLosses + commission)</t>
  </si>
  <si>
    <t>Loss Part</t>
  </si>
  <si>
    <t>Quota Share (i.e. ceded share)</t>
  </si>
  <si>
    <t>same as above</t>
  </si>
  <si>
    <t>Ceded Loss</t>
  </si>
  <si>
    <t>If commission is fixed then it does not change volatility (stdev, VaR)</t>
  </si>
  <si>
    <t>Combinations of the above</t>
  </si>
  <si>
    <t xml:space="preserve"> Profit Commission Ratio</t>
  </si>
  <si>
    <t xml:space="preserve"> Commission Ratio (fixed)</t>
  </si>
  <si>
    <t>in % ceded premium</t>
  </si>
  <si>
    <t xml:space="preserve"> Cost Ratio of R/I</t>
  </si>
  <si>
    <t>Profit-Commission</t>
  </si>
  <si>
    <t>Annual Aggregate Deductible / Limit</t>
  </si>
  <si>
    <t>AAL</t>
  </si>
  <si>
    <t>AAD/AAL in Terms of 100% Loss</t>
  </si>
  <si>
    <t xml:space="preserve"> (this means that first AAD/AAL is applied and quota share e.g. 30% is applied afterwards)</t>
  </si>
  <si>
    <t>Claims cumulative after AAD/AAL</t>
  </si>
  <si>
    <t>Loss Ratio after AAD/AAL</t>
  </si>
  <si>
    <t>Take into account LossCarryForward ? (yes/no)</t>
  </si>
  <si>
    <t>Fix Commission</t>
  </si>
  <si>
    <t>Commission chosen</t>
  </si>
  <si>
    <t>profit</t>
  </si>
  <si>
    <t>sliding</t>
  </si>
  <si>
    <t xml:space="preserve"> Sliding Commission in % premium</t>
  </si>
  <si>
    <t xml:space="preserve"> Sliding Commission</t>
  </si>
  <si>
    <t>FixCommission * QuotaShare * premium</t>
  </si>
  <si>
    <t>SlidingCommission * QuotaShare * premium</t>
  </si>
  <si>
    <t>Which kind of commission? (fix / profit / sliding)</t>
  </si>
  <si>
    <t>fix</t>
  </si>
  <si>
    <t>2. reported</t>
  </si>
  <si>
    <t>3. reported + IBNR  (=default Voreinstellung)</t>
  </si>
  <si>
    <t xml:space="preserve">PC can be formulated as a special case of SSC. </t>
  </si>
  <si>
    <t>There are two differences</t>
  </si>
  <si>
    <t>2. ignoring the pattern (kind of "written" / ultimate premium)  (default Voreinstellung)</t>
  </si>
  <si>
    <t xml:space="preserve">Fix Commisson </t>
  </si>
  <si>
    <t>monoton steigend (nicht zwingend streng monoton steigend, also gleichheit erlaubt)</t>
  </si>
  <si>
    <t xml:space="preserve">with one exception: </t>
  </si>
  <si>
    <t>The three commission strategies can be combinded as follows</t>
  </si>
  <si>
    <t xml:space="preserve"> - they can be allone </t>
  </si>
  <si>
    <t xml:space="preserve"> - they can be combined with LossParticipation</t>
  </si>
  <si>
    <t>Net financials</t>
  </si>
  <si>
    <t>Net financials (incremental)</t>
  </si>
  <si>
    <t>Goal</t>
  </si>
  <si>
    <t xml:space="preserve"> - due to convenience this formulation is useful</t>
  </si>
  <si>
    <t xml:space="preserve"> - loss carry forward only makes sense in this special case of commission.</t>
  </si>
  <si>
    <t xml:space="preserve"> Initial LossCarryForward</t>
  </si>
  <si>
    <t>"after AAD/AAL" means</t>
  </si>
  <si>
    <t>after AAD, AAL and after event limit</t>
  </si>
  <si>
    <t xml:space="preserve">SSC is a continuous partially linear function of the loss ratio. </t>
  </si>
  <si>
    <t xml:space="preserve">A loss participaton of 75% between Loss Ratio 70% and 80% means the following. </t>
  </si>
  <si>
    <r>
      <t xml:space="preserve">Loss Carry forward </t>
    </r>
    <r>
      <rPr>
        <b/>
        <u/>
        <sz val="10"/>
        <color theme="1"/>
        <rFont val="Arial"/>
        <family val="2"/>
      </rPr>
      <t>cannot</t>
    </r>
    <r>
      <rPr>
        <sz val="10"/>
        <color theme="1"/>
        <rFont val="Arial"/>
        <family val="2"/>
      </rPr>
      <t xml:space="preserve"> be combinded with Loss Participation. </t>
    </r>
  </si>
  <si>
    <t>premium*(ceded share)*(100%-LossRatio-CommissionRatioFixed-CostRatio)</t>
  </si>
  <si>
    <t>Initial LCF</t>
  </si>
  <si>
    <t>R/I result  of UY-Year</t>
  </si>
  <si>
    <t>(RI result of this UY) + (LCF of previous year)</t>
  </si>
  <si>
    <t>R/I account after LCF</t>
  </si>
  <si>
    <t xml:space="preserve"> relevant RI result</t>
  </si>
  <si>
    <t>ProfitCommissionRatio * (RI relevant result)</t>
  </si>
  <si>
    <t>net = gross + ceded</t>
  </si>
  <si>
    <t xml:space="preserve">This improvement should focus on this volatility. </t>
  </si>
  <si>
    <t>Loss Ratio after AAD/AAL and LossParticipation</t>
  </si>
  <si>
    <t xml:space="preserve"> = LR after AAD/AAL  - LossParticipation</t>
  </si>
  <si>
    <t>also respect event limit at this stage!</t>
  </si>
  <si>
    <t>This is the input to the variable commission calculations</t>
  </si>
  <si>
    <t xml:space="preserve">In other words: </t>
  </si>
  <si>
    <t xml:space="preserve"> </t>
  </si>
  <si>
    <t xml:space="preserve"> - then commission</t>
  </si>
  <si>
    <t xml:space="preserve"> - first LossParticipation</t>
  </si>
  <si>
    <t>Gross Loss cumulative</t>
  </si>
  <si>
    <t>(LossRatio after AAD/AAL and LossPart) *Premium * quota share</t>
  </si>
  <si>
    <t>In contrast to the above LP is not a commission, it is a change of ceded loss depending on loss ratio.</t>
  </si>
  <si>
    <t>Ceded Premium</t>
  </si>
  <si>
    <t xml:space="preserve">Ceded premium </t>
  </si>
  <si>
    <t>In case of a non-proportinal contract there also is volatility due to reinstatement premiums</t>
  </si>
  <si>
    <t xml:space="preserve"> premium risk based on financials</t>
  </si>
  <si>
    <t>premium and reserve risk based on financials</t>
  </si>
  <si>
    <t xml:space="preserve"> reserve risk based on financials</t>
  </si>
  <si>
    <t>Influence of Sliding Scale Commission, Loss Participation on premium and reserve risk.</t>
  </si>
  <si>
    <t>Fix-commission</t>
  </si>
  <si>
    <t>Fix-commission part of Profit-Commission</t>
  </si>
  <si>
    <t xml:space="preserve">premium*(ceded share)* CommissionRatioFixed </t>
  </si>
  <si>
    <t xml:space="preserve">Variable Part of Profit Commission </t>
  </si>
  <si>
    <t xml:space="preserve"> Total Profit-Commission</t>
  </si>
  <si>
    <t xml:space="preserve"> Total = fix + variable</t>
  </si>
  <si>
    <t xml:space="preserve"> Fix part of Sliding Commission</t>
  </si>
  <si>
    <t>FixPartOfSlidingCommission * QuotaShare * premium</t>
  </si>
  <si>
    <t xml:space="preserve"> Fix part of Sliding Commission (ratio)</t>
  </si>
  <si>
    <t xml:space="preserve"> Commision above max LR</t>
  </si>
  <si>
    <t>net loss + commission + net premiums</t>
  </si>
  <si>
    <t>Net premium</t>
  </si>
  <si>
    <t>Mean 2016</t>
  </si>
  <si>
    <t>Reported Cumul Indexed</t>
  </si>
  <si>
    <t>no</t>
  </si>
  <si>
    <t xml:space="preserve">     Reported Incremental Indexed</t>
  </si>
  <si>
    <t>yes</t>
  </si>
  <si>
    <t>LCF?</t>
  </si>
  <si>
    <t>Factor</t>
  </si>
  <si>
    <t>switch off LossParticipation in case of Loss Carry forward</t>
  </si>
  <si>
    <t>Explicitly switch on/off Loss Participation?</t>
  </si>
  <si>
    <t>LP-on</t>
  </si>
  <si>
    <t>LP-off</t>
  </si>
  <si>
    <t>not allowed</t>
  </si>
  <si>
    <t>Explicit</t>
  </si>
  <si>
    <t>Explicitly switch LP</t>
  </si>
</sst>
</file>

<file path=xl/styles.xml><?xml version="1.0" encoding="utf-8"?>
<styleSheet xmlns="http://schemas.openxmlformats.org/spreadsheetml/2006/main">
  <numFmts count="8">
    <numFmt numFmtId="164" formatCode="0.0000%"/>
    <numFmt numFmtId="165" formatCode="0.0%"/>
    <numFmt numFmtId="166" formatCode="_-* #,##0_-;\-* #,##0_-;_-* &quot;-&quot;??_-;_-@_-"/>
    <numFmt numFmtId="167" formatCode="_-* #,##0.00_-;\-* #,##0.00_-;_-* &quot;-&quot;??_-;_-@_-"/>
    <numFmt numFmtId="168" formatCode="#,##0;\-#,##0;"/>
    <numFmt numFmtId="169" formatCode="#,##0;\-#,##0;0"/>
    <numFmt numFmtId="174" formatCode="#,##0.00000;\-#,##0.00000;0.00000"/>
    <numFmt numFmtId="175" formatCode="#,##0.000000;\-#,##0.000000;0.000000"/>
  </numFmts>
  <fonts count="15">
    <font>
      <sz val="10"/>
      <color theme="1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26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8"/>
      <color theme="1"/>
      <name val="Arial"/>
      <family val="2"/>
    </font>
    <font>
      <sz val="14"/>
      <color theme="1"/>
      <name val="Arial"/>
      <family val="2"/>
    </font>
    <font>
      <sz val="16"/>
      <color theme="1"/>
      <name val="Arial"/>
      <family val="2"/>
    </font>
    <font>
      <sz val="48"/>
      <color theme="1"/>
      <name val="Arial"/>
      <family val="2"/>
    </font>
    <font>
      <sz val="11"/>
      <color rgb="FF9C0006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7CE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4" fillId="0" borderId="0"/>
    <xf numFmtId="167" fontId="4" fillId="0" borderId="0" applyFont="0" applyFill="0" applyBorder="0" applyAlignment="0" applyProtection="0"/>
    <xf numFmtId="0" fontId="14" fillId="10" borderId="0" applyNumberFormat="0" applyBorder="0" applyAlignment="0" applyProtection="0"/>
  </cellStyleXfs>
  <cellXfs count="248">
    <xf numFmtId="0" fontId="0" fillId="0" borderId="0" xfId="0"/>
    <xf numFmtId="9" fontId="0" fillId="2" borderId="1" xfId="0" applyNumberFormat="1" applyFill="1" applyBorder="1"/>
    <xf numFmtId="0" fontId="0" fillId="4" borderId="0" xfId="0" applyFill="1"/>
    <xf numFmtId="10" fontId="0" fillId="0" borderId="0" xfId="0" applyNumberFormat="1"/>
    <xf numFmtId="10" fontId="0" fillId="4" borderId="0" xfId="0" applyNumberFormat="1" applyFill="1"/>
    <xf numFmtId="10" fontId="0" fillId="3" borderId="0" xfId="0" applyNumberFormat="1" applyFill="1"/>
    <xf numFmtId="10" fontId="0" fillId="0" borderId="2" xfId="0" applyNumberFormat="1" applyBorder="1"/>
    <xf numFmtId="10" fontId="0" fillId="4" borderId="2" xfId="0" applyNumberFormat="1" applyFill="1" applyBorder="1"/>
    <xf numFmtId="10" fontId="0" fillId="3" borderId="2" xfId="0" applyNumberFormat="1" applyFill="1" applyBorder="1"/>
    <xf numFmtId="10" fontId="0" fillId="0" borderId="0" xfId="0" applyNumberFormat="1" applyBorder="1"/>
    <xf numFmtId="10" fontId="0" fillId="4" borderId="0" xfId="0" applyNumberFormat="1" applyFill="1" applyBorder="1"/>
    <xf numFmtId="10" fontId="0" fillId="3" borderId="0" xfId="0" applyNumberFormat="1" applyFill="1" applyBorder="1"/>
    <xf numFmtId="10" fontId="0" fillId="0" borderId="3" xfId="0" applyNumberFormat="1" applyBorder="1"/>
    <xf numFmtId="10" fontId="0" fillId="4" borderId="3" xfId="0" applyNumberFormat="1" applyFill="1" applyBorder="1"/>
    <xf numFmtId="10" fontId="0" fillId="3" borderId="3" xfId="0" applyNumberFormat="1" applyFill="1" applyBorder="1"/>
    <xf numFmtId="10" fontId="0" fillId="5" borderId="0" xfId="0" applyNumberFormat="1" applyFill="1"/>
    <xf numFmtId="0" fontId="0" fillId="5" borderId="0" xfId="0" applyFill="1"/>
    <xf numFmtId="9" fontId="0" fillId="2" borderId="0" xfId="0" applyNumberFormat="1" applyFill="1" applyBorder="1"/>
    <xf numFmtId="0" fontId="1" fillId="4" borderId="0" xfId="0" applyFont="1" applyFill="1"/>
    <xf numFmtId="9" fontId="0" fillId="4" borderId="0" xfId="0" applyNumberFormat="1" applyFill="1" applyBorder="1"/>
    <xf numFmtId="9" fontId="0" fillId="3" borderId="0" xfId="0" applyNumberFormat="1" applyFill="1" applyBorder="1"/>
    <xf numFmtId="9" fontId="0" fillId="2" borderId="4" xfId="0" applyNumberFormat="1" applyFill="1" applyBorder="1"/>
    <xf numFmtId="0" fontId="0" fillId="0" borderId="0" xfId="0" applyAlignment="1">
      <alignment horizontal="right"/>
    </xf>
    <xf numFmtId="9" fontId="0" fillId="4" borderId="0" xfId="0" applyNumberFormat="1" applyFill="1" applyAlignment="1">
      <alignment horizontal="right"/>
    </xf>
    <xf numFmtId="0" fontId="0" fillId="3" borderId="0" xfId="0" applyFill="1" applyAlignment="1">
      <alignment horizontal="right"/>
    </xf>
    <xf numFmtId="9" fontId="0" fillId="0" borderId="0" xfId="0" applyNumberFormat="1"/>
    <xf numFmtId="0" fontId="0" fillId="0" borderId="2" xfId="0" applyBorder="1"/>
    <xf numFmtId="9" fontId="0" fillId="3" borderId="0" xfId="0" applyNumberFormat="1" applyFill="1"/>
    <xf numFmtId="9" fontId="0" fillId="2" borderId="0" xfId="0" applyNumberFormat="1" applyFill="1"/>
    <xf numFmtId="9" fontId="0" fillId="2" borderId="6" xfId="0" applyNumberFormat="1" applyFill="1" applyBorder="1"/>
    <xf numFmtId="0" fontId="2" fillId="0" borderId="5" xfId="0" applyFont="1" applyBorder="1"/>
    <xf numFmtId="164" fontId="0" fillId="0" borderId="0" xfId="0" applyNumberFormat="1"/>
    <xf numFmtId="0" fontId="2" fillId="0" borderId="0" xfId="0" applyFont="1"/>
    <xf numFmtId="9" fontId="2" fillId="2" borderId="6" xfId="0" applyNumberFormat="1" applyFont="1" applyFill="1" applyBorder="1"/>
    <xf numFmtId="0" fontId="2" fillId="3" borderId="0" xfId="0" applyFont="1" applyFill="1" applyAlignment="1">
      <alignment horizontal="right"/>
    </xf>
    <xf numFmtId="0" fontId="0" fillId="3" borderId="0" xfId="0" applyFill="1"/>
    <xf numFmtId="0" fontId="0" fillId="3" borderId="0" xfId="0" applyFill="1" applyAlignment="1">
      <alignment horizontal="left"/>
    </xf>
    <xf numFmtId="0" fontId="2" fillId="4" borderId="5" xfId="0" applyFont="1" applyFill="1" applyBorder="1" applyAlignment="1">
      <alignment horizontal="right"/>
    </xf>
    <xf numFmtId="165" fontId="2" fillId="4" borderId="6" xfId="0" applyNumberFormat="1" applyFont="1" applyFill="1" applyBorder="1" applyAlignment="1">
      <alignment horizontal="right"/>
    </xf>
    <xf numFmtId="10" fontId="2" fillId="4" borderId="6" xfId="0" applyNumberFormat="1" applyFont="1" applyFill="1" applyBorder="1" applyAlignment="1">
      <alignment horizontal="right"/>
    </xf>
    <xf numFmtId="0" fontId="2" fillId="0" borderId="0" xfId="0" applyFont="1" applyBorder="1"/>
    <xf numFmtId="0" fontId="0" fillId="2" borderId="0" xfId="0" applyFill="1"/>
    <xf numFmtId="0" fontId="2" fillId="3" borderId="0" xfId="0" applyFont="1" applyFill="1"/>
    <xf numFmtId="0" fontId="2" fillId="3" borderId="5" xfId="0" applyFont="1" applyFill="1" applyBorder="1" applyAlignment="1">
      <alignment horizontal="right"/>
    </xf>
    <xf numFmtId="9" fontId="0" fillId="2" borderId="7" xfId="0" applyNumberFormat="1" applyFont="1" applyFill="1" applyBorder="1"/>
    <xf numFmtId="0" fontId="0" fillId="3" borderId="7" xfId="0" applyFill="1" applyBorder="1"/>
    <xf numFmtId="0" fontId="0" fillId="3" borderId="6" xfId="0" applyFill="1" applyBorder="1"/>
    <xf numFmtId="0" fontId="0" fillId="6" borderId="0" xfId="0" applyFill="1"/>
    <xf numFmtId="9" fontId="0" fillId="4" borderId="0" xfId="0" applyNumberFormat="1" applyFill="1"/>
    <xf numFmtId="0" fontId="2" fillId="3" borderId="7" xfId="0" applyFont="1" applyFill="1" applyBorder="1" applyAlignment="1">
      <alignment horizontal="right"/>
    </xf>
    <xf numFmtId="9" fontId="0" fillId="2" borderId="0" xfId="0" applyNumberFormat="1" applyFont="1" applyFill="1" applyBorder="1"/>
    <xf numFmtId="9" fontId="0" fillId="2" borderId="2" xfId="0" applyNumberFormat="1" applyFont="1" applyFill="1" applyBorder="1"/>
    <xf numFmtId="9" fontId="0" fillId="2" borderId="3" xfId="0" applyNumberFormat="1" applyFill="1" applyBorder="1"/>
    <xf numFmtId="0" fontId="0" fillId="3" borderId="0" xfId="0" applyFill="1" applyBorder="1"/>
    <xf numFmtId="0" fontId="0" fillId="3" borderId="8" xfId="0" applyFill="1" applyBorder="1"/>
    <xf numFmtId="0" fontId="0" fillId="3" borderId="8" xfId="0" applyFill="1" applyBorder="1" applyAlignment="1">
      <alignment wrapText="1"/>
    </xf>
    <xf numFmtId="10" fontId="0" fillId="2" borderId="0" xfId="0" applyNumberFormat="1" applyFill="1"/>
    <xf numFmtId="0" fontId="2" fillId="4" borderId="0" xfId="0" applyFont="1" applyFill="1"/>
    <xf numFmtId="0" fontId="2" fillId="4" borderId="0" xfId="0" applyFont="1" applyFill="1" applyBorder="1"/>
    <xf numFmtId="10" fontId="0" fillId="4" borderId="10" xfId="0" applyNumberFormat="1" applyFill="1" applyBorder="1"/>
    <xf numFmtId="10" fontId="0" fillId="4" borderId="12" xfId="0" applyNumberFormat="1" applyFill="1" applyBorder="1"/>
    <xf numFmtId="10" fontId="0" fillId="4" borderId="14" xfId="0" applyNumberFormat="1" applyFill="1" applyBorder="1"/>
    <xf numFmtId="10" fontId="2" fillId="4" borderId="0" xfId="0" applyNumberFormat="1" applyFont="1" applyFill="1"/>
    <xf numFmtId="0" fontId="0" fillId="3" borderId="9" xfId="0" applyFill="1" applyBorder="1"/>
    <xf numFmtId="0" fontId="0" fillId="3" borderId="2" xfId="0" applyFill="1" applyBorder="1"/>
    <xf numFmtId="0" fontId="0" fillId="3" borderId="11" xfId="0" applyFill="1" applyBorder="1"/>
    <xf numFmtId="0" fontId="0" fillId="3" borderId="13" xfId="0" applyFill="1" applyBorder="1"/>
    <xf numFmtId="0" fontId="0" fillId="3" borderId="3" xfId="0" applyFill="1" applyBorder="1"/>
    <xf numFmtId="0" fontId="2" fillId="3" borderId="0" xfId="0" applyFont="1" applyFill="1" applyAlignment="1">
      <alignment wrapText="1"/>
    </xf>
    <xf numFmtId="9" fontId="2" fillId="4" borderId="0" xfId="0" applyNumberFormat="1" applyFont="1" applyFill="1"/>
    <xf numFmtId="0" fontId="2" fillId="4" borderId="15" xfId="0" applyFont="1" applyFill="1" applyBorder="1"/>
    <xf numFmtId="10" fontId="2" fillId="4" borderId="17" xfId="0" applyNumberFormat="1" applyFont="1" applyFill="1" applyBorder="1"/>
    <xf numFmtId="0" fontId="2" fillId="3" borderId="5" xfId="0" applyFont="1" applyFill="1" applyBorder="1"/>
    <xf numFmtId="0" fontId="4" fillId="0" borderId="0" xfId="1"/>
    <xf numFmtId="0" fontId="4" fillId="4" borderId="0" xfId="1" applyFill="1"/>
    <xf numFmtId="166" fontId="4" fillId="6" borderId="0" xfId="1" applyNumberFormat="1" applyFill="1"/>
    <xf numFmtId="0" fontId="4" fillId="6" borderId="18" xfId="1" applyFill="1" applyBorder="1"/>
    <xf numFmtId="0" fontId="4" fillId="6" borderId="19" xfId="1" applyFill="1" applyBorder="1"/>
    <xf numFmtId="0" fontId="4" fillId="4" borderId="20" xfId="1" applyFill="1" applyBorder="1"/>
    <xf numFmtId="166" fontId="0" fillId="6" borderId="20" xfId="2" applyNumberFormat="1" applyFont="1" applyFill="1" applyBorder="1"/>
    <xf numFmtId="166" fontId="0" fillId="6" borderId="18" xfId="2" applyNumberFormat="1" applyFont="1" applyFill="1" applyBorder="1"/>
    <xf numFmtId="0" fontId="4" fillId="3" borderId="0" xfId="1" applyFill="1"/>
    <xf numFmtId="0" fontId="5" fillId="0" borderId="0" xfId="1" applyFont="1" applyAlignment="1">
      <alignment horizontal="right"/>
    </xf>
    <xf numFmtId="0" fontId="4" fillId="0" borderId="0" xfId="1" applyFont="1"/>
    <xf numFmtId="166" fontId="4" fillId="4" borderId="1" xfId="1" applyNumberFormat="1" applyFill="1" applyBorder="1"/>
    <xf numFmtId="0" fontId="4" fillId="0" borderId="15" xfId="1" applyBorder="1"/>
    <xf numFmtId="0" fontId="4" fillId="0" borderId="16" xfId="1" applyBorder="1"/>
    <xf numFmtId="0" fontId="4" fillId="0" borderId="17" xfId="1" applyBorder="1"/>
    <xf numFmtId="0" fontId="4" fillId="0" borderId="8" xfId="1" applyBorder="1"/>
    <xf numFmtId="0" fontId="4" fillId="2" borderId="15" xfId="1" applyFill="1" applyBorder="1"/>
    <xf numFmtId="166" fontId="4" fillId="2" borderId="13" xfId="1" applyNumberFormat="1" applyFill="1" applyBorder="1"/>
    <xf numFmtId="166" fontId="4" fillId="0" borderId="1" xfId="1" applyNumberFormat="1" applyBorder="1"/>
    <xf numFmtId="166" fontId="4" fillId="0" borderId="0" xfId="1" applyNumberFormat="1"/>
    <xf numFmtId="166" fontId="4" fillId="0" borderId="0" xfId="1" applyNumberFormat="1" applyBorder="1"/>
    <xf numFmtId="166" fontId="0" fillId="4" borderId="0" xfId="2" applyNumberFormat="1" applyFont="1" applyFill="1"/>
    <xf numFmtId="0" fontId="5" fillId="3" borderId="0" xfId="1" applyFont="1" applyFill="1" applyAlignment="1">
      <alignment horizontal="right"/>
    </xf>
    <xf numFmtId="166" fontId="4" fillId="2" borderId="0" xfId="1" applyNumberFormat="1" applyFill="1"/>
    <xf numFmtId="166" fontId="4" fillId="4" borderId="0" xfId="1" applyNumberFormat="1" applyFill="1"/>
    <xf numFmtId="166" fontId="4" fillId="3" borderId="0" xfId="1" applyNumberFormat="1" applyFill="1"/>
    <xf numFmtId="3" fontId="4" fillId="4" borderId="0" xfId="1" applyNumberFormat="1" applyFill="1"/>
    <xf numFmtId="3" fontId="4" fillId="0" borderId="0" xfId="1" applyNumberFormat="1"/>
    <xf numFmtId="166" fontId="0" fillId="3" borderId="0" xfId="2" applyNumberFormat="1" applyFont="1" applyFill="1"/>
    <xf numFmtId="166" fontId="0" fillId="0" borderId="0" xfId="2" applyNumberFormat="1" applyFont="1"/>
    <xf numFmtId="0" fontId="4" fillId="2" borderId="1" xfId="1" applyFill="1" applyBorder="1"/>
    <xf numFmtId="0" fontId="4" fillId="4" borderId="18" xfId="1" applyFill="1" applyBorder="1"/>
    <xf numFmtId="0" fontId="4" fillId="3" borderId="18" xfId="1" applyFill="1" applyBorder="1"/>
    <xf numFmtId="0" fontId="4" fillId="3" borderId="19" xfId="1" applyFill="1" applyBorder="1"/>
    <xf numFmtId="166" fontId="4" fillId="4" borderId="0" xfId="1" applyNumberFormat="1" applyFill="1" applyBorder="1"/>
    <xf numFmtId="168" fontId="0" fillId="0" borderId="0" xfId="2" applyNumberFormat="1" applyFont="1"/>
    <xf numFmtId="168" fontId="0" fillId="2" borderId="0" xfId="2" applyNumberFormat="1" applyFont="1" applyFill="1"/>
    <xf numFmtId="9" fontId="4" fillId="0" borderId="0" xfId="1" applyNumberFormat="1"/>
    <xf numFmtId="9" fontId="4" fillId="2" borderId="0" xfId="1" applyNumberFormat="1" applyFill="1"/>
    <xf numFmtId="0" fontId="4" fillId="3" borderId="0" xfId="1" applyFill="1" applyAlignment="1">
      <alignment horizontal="right"/>
    </xf>
    <xf numFmtId="0" fontId="8" fillId="7" borderId="0" xfId="1" applyFont="1" applyFill="1"/>
    <xf numFmtId="0" fontId="4" fillId="7" borderId="0" xfId="1" applyFill="1"/>
    <xf numFmtId="168" fontId="0" fillId="3" borderId="0" xfId="2" applyNumberFormat="1" applyFont="1" applyFill="1"/>
    <xf numFmtId="0" fontId="4" fillId="2" borderId="8" xfId="1" applyFill="1" applyBorder="1"/>
    <xf numFmtId="0" fontId="4" fillId="2" borderId="0" xfId="1" applyFill="1"/>
    <xf numFmtId="166" fontId="0" fillId="2" borderId="0" xfId="2" applyNumberFormat="1" applyFont="1" applyFill="1"/>
    <xf numFmtId="0" fontId="5" fillId="4" borderId="0" xfId="1" applyFont="1" applyFill="1" applyAlignment="1">
      <alignment horizontal="right"/>
    </xf>
    <xf numFmtId="168" fontId="0" fillId="4" borderId="0" xfId="2" applyNumberFormat="1" applyFont="1" applyFill="1"/>
    <xf numFmtId="0" fontId="2" fillId="0" borderId="3" xfId="0" applyFont="1" applyBorder="1"/>
    <xf numFmtId="0" fontId="0" fillId="0" borderId="0" xfId="0" applyFont="1" applyAlignment="1">
      <alignment horizontal="right"/>
    </xf>
    <xf numFmtId="0" fontId="2" fillId="0" borderId="3" xfId="0" applyFont="1" applyBorder="1" applyAlignment="1">
      <alignment horizontal="right"/>
    </xf>
    <xf numFmtId="9" fontId="0" fillId="0" borderId="8" xfId="0" applyNumberFormat="1" applyBorder="1"/>
    <xf numFmtId="0" fontId="0" fillId="0" borderId="3" xfId="0" applyBorder="1"/>
    <xf numFmtId="9" fontId="0" fillId="3" borderId="3" xfId="0" applyNumberFormat="1" applyFill="1" applyBorder="1"/>
    <xf numFmtId="9" fontId="0" fillId="0" borderId="3" xfId="0" applyNumberFormat="1" applyBorder="1"/>
    <xf numFmtId="10" fontId="0" fillId="0" borderId="3" xfId="0" applyNumberFormat="1" applyFont="1" applyBorder="1" applyAlignment="1">
      <alignment horizontal="right"/>
    </xf>
    <xf numFmtId="0" fontId="0" fillId="0" borderId="13" xfId="0" applyBorder="1"/>
    <xf numFmtId="0" fontId="0" fillId="0" borderId="0" xfId="0" applyBorder="1"/>
    <xf numFmtId="9" fontId="0" fillId="0" borderId="0" xfId="0" applyNumberFormat="1" applyBorder="1"/>
    <xf numFmtId="0" fontId="2" fillId="0" borderId="0" xfId="0" applyFont="1" applyBorder="1" applyAlignment="1">
      <alignment horizontal="right"/>
    </xf>
    <xf numFmtId="0" fontId="0" fillId="0" borderId="11" xfId="0" applyBorder="1"/>
    <xf numFmtId="9" fontId="0" fillId="3" borderId="2" xfId="0" applyNumberFormat="1" applyFill="1" applyBorder="1"/>
    <xf numFmtId="0" fontId="2" fillId="0" borderId="2" xfId="0" applyFont="1" applyBorder="1" applyAlignment="1">
      <alignment horizontal="right"/>
    </xf>
    <xf numFmtId="0" fontId="0" fillId="0" borderId="9" xfId="0" applyBorder="1"/>
    <xf numFmtId="0" fontId="0" fillId="0" borderId="0" xfId="0" applyFont="1"/>
    <xf numFmtId="165" fontId="0" fillId="4" borderId="14" xfId="0" applyNumberFormat="1" applyFill="1" applyBorder="1"/>
    <xf numFmtId="165" fontId="0" fillId="4" borderId="12" xfId="0" applyNumberFormat="1" applyFill="1" applyBorder="1"/>
    <xf numFmtId="165" fontId="0" fillId="4" borderId="10" xfId="0" applyNumberFormat="1" applyFill="1" applyBorder="1"/>
    <xf numFmtId="0" fontId="0" fillId="3" borderId="0" xfId="0" applyFont="1" applyFill="1"/>
    <xf numFmtId="0" fontId="0" fillId="3" borderId="0" xfId="0" applyFont="1" applyFill="1" applyAlignment="1">
      <alignment horizontal="right"/>
    </xf>
    <xf numFmtId="0" fontId="2" fillId="3" borderId="0" xfId="0" applyFont="1" applyFill="1" applyAlignment="1">
      <alignment horizontal="left"/>
    </xf>
    <xf numFmtId="9" fontId="0" fillId="0" borderId="2" xfId="0" applyNumberFormat="1" applyBorder="1"/>
    <xf numFmtId="9" fontId="0" fillId="0" borderId="14" xfId="0" applyNumberFormat="1" applyBorder="1"/>
    <xf numFmtId="9" fontId="0" fillId="0" borderId="10" xfId="0" applyNumberFormat="1" applyBorder="1"/>
    <xf numFmtId="0" fontId="5" fillId="0" borderId="3" xfId="1" applyFont="1" applyBorder="1" applyAlignment="1">
      <alignment horizontal="right"/>
    </xf>
    <xf numFmtId="0" fontId="5" fillId="0" borderId="0" xfId="1" applyFont="1" applyFill="1" applyAlignment="1">
      <alignment horizontal="left"/>
    </xf>
    <xf numFmtId="0" fontId="2" fillId="3" borderId="3" xfId="0" applyFont="1" applyFill="1" applyBorder="1"/>
    <xf numFmtId="0" fontId="9" fillId="3" borderId="3" xfId="0" applyFont="1" applyFill="1" applyBorder="1" applyAlignment="1">
      <alignment horizontal="right"/>
    </xf>
    <xf numFmtId="0" fontId="2" fillId="0" borderId="0" xfId="0" applyFont="1" applyAlignment="1">
      <alignment horizontal="right"/>
    </xf>
    <xf numFmtId="0" fontId="0" fillId="4" borderId="15" xfId="0" applyFill="1" applyBorder="1"/>
    <xf numFmtId="0" fontId="2" fillId="4" borderId="16" xfId="0" applyFont="1" applyFill="1" applyBorder="1" applyAlignment="1">
      <alignment horizontal="right"/>
    </xf>
    <xf numFmtId="0" fontId="0" fillId="3" borderId="6" xfId="0" applyFill="1" applyBorder="1" applyAlignment="1">
      <alignment wrapText="1"/>
    </xf>
    <xf numFmtId="10" fontId="0" fillId="3" borderId="13" xfId="0" applyNumberFormat="1" applyFill="1" applyBorder="1"/>
    <xf numFmtId="0" fontId="0" fillId="0" borderId="0" xfId="0" applyFont="1" applyBorder="1" applyAlignment="1">
      <alignment horizontal="right"/>
    </xf>
    <xf numFmtId="9" fontId="0" fillId="0" borderId="6" xfId="0" applyNumberFormat="1" applyBorder="1"/>
    <xf numFmtId="168" fontId="0" fillId="0" borderId="0" xfId="0" applyNumberFormat="1"/>
    <xf numFmtId="169" fontId="0" fillId="0" borderId="6" xfId="0" applyNumberFormat="1" applyBorder="1"/>
    <xf numFmtId="169" fontId="0" fillId="0" borderId="0" xfId="0" applyNumberFormat="1"/>
    <xf numFmtId="169" fontId="0" fillId="0" borderId="8" xfId="0" applyNumberFormat="1" applyBorder="1"/>
    <xf numFmtId="169" fontId="0" fillId="0" borderId="0" xfId="0" applyNumberFormat="1" applyBorder="1"/>
    <xf numFmtId="0" fontId="2" fillId="3" borderId="9" xfId="0" applyFont="1" applyFill="1" applyBorder="1"/>
    <xf numFmtId="0" fontId="2" fillId="3" borderId="2" xfId="0" applyFont="1" applyFill="1" applyBorder="1"/>
    <xf numFmtId="0" fontId="2" fillId="3" borderId="10" xfId="0" applyFont="1" applyFill="1" applyBorder="1"/>
    <xf numFmtId="0" fontId="0" fillId="3" borderId="12" xfId="0" applyFill="1" applyBorder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3" borderId="5" xfId="0" applyFill="1" applyBorder="1"/>
    <xf numFmtId="0" fontId="5" fillId="0" borderId="0" xfId="1" applyFont="1" applyFill="1" applyBorder="1" applyAlignment="1">
      <alignment horizontal="right"/>
    </xf>
    <xf numFmtId="0" fontId="5" fillId="0" borderId="0" xfId="1" applyFont="1" applyFill="1" applyBorder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right"/>
    </xf>
    <xf numFmtId="0" fontId="2" fillId="0" borderId="3" xfId="0" applyFont="1" applyFill="1" applyBorder="1" applyAlignment="1">
      <alignment horizontal="right"/>
    </xf>
    <xf numFmtId="0" fontId="0" fillId="0" borderId="0" xfId="0" applyFont="1" applyFill="1" applyAlignment="1">
      <alignment horizontal="right"/>
    </xf>
    <xf numFmtId="0" fontId="2" fillId="0" borderId="0" xfId="0" applyFont="1" applyFill="1" applyBorder="1"/>
    <xf numFmtId="0" fontId="9" fillId="0" borderId="0" xfId="0" applyFont="1" applyFill="1" applyBorder="1" applyAlignment="1">
      <alignment horizontal="right"/>
    </xf>
    <xf numFmtId="169" fontId="5" fillId="0" borderId="8" xfId="1" applyNumberFormat="1" applyFont="1" applyBorder="1" applyAlignment="1">
      <alignment horizontal="right"/>
    </xf>
    <xf numFmtId="169" fontId="5" fillId="0" borderId="15" xfId="1" applyNumberFormat="1" applyFont="1" applyBorder="1" applyAlignment="1">
      <alignment horizontal="right"/>
    </xf>
    <xf numFmtId="168" fontId="2" fillId="0" borderId="0" xfId="0" applyNumberFormat="1" applyFont="1"/>
    <xf numFmtId="169" fontId="0" fillId="3" borderId="0" xfId="0" applyNumberFormat="1" applyFill="1" applyBorder="1"/>
    <xf numFmtId="168" fontId="2" fillId="0" borderId="2" xfId="0" applyNumberFormat="1" applyFont="1" applyBorder="1"/>
    <xf numFmtId="0" fontId="2" fillId="0" borderId="0" xfId="0" applyFont="1" applyAlignment="1">
      <alignment horizontal="left" indent="1"/>
    </xf>
    <xf numFmtId="0" fontId="2" fillId="0" borderId="0" xfId="0" applyFont="1" applyFill="1" applyBorder="1" applyAlignment="1">
      <alignment horizontal="right"/>
    </xf>
    <xf numFmtId="168" fontId="0" fillId="3" borderId="0" xfId="0" applyNumberFormat="1" applyFill="1" applyBorder="1"/>
    <xf numFmtId="169" fontId="0" fillId="0" borderId="0" xfId="0" applyNumberFormat="1" applyFill="1" applyBorder="1"/>
    <xf numFmtId="168" fontId="2" fillId="0" borderId="16" xfId="0" applyNumberFormat="1" applyFont="1" applyBorder="1" applyAlignment="1">
      <alignment horizontal="right"/>
    </xf>
    <xf numFmtId="169" fontId="5" fillId="0" borderId="16" xfId="1" applyNumberFormat="1" applyFont="1" applyBorder="1" applyAlignment="1">
      <alignment horizontal="right"/>
    </xf>
    <xf numFmtId="168" fontId="2" fillId="0" borderId="0" xfId="0" applyNumberFormat="1" applyFont="1" applyBorder="1" applyAlignment="1">
      <alignment horizontal="right"/>
    </xf>
    <xf numFmtId="9" fontId="0" fillId="0" borderId="8" xfId="0" applyNumberFormat="1" applyFill="1" applyBorder="1"/>
    <xf numFmtId="9" fontId="0" fillId="0" borderId="2" xfId="0" applyNumberFormat="1" applyFill="1" applyBorder="1"/>
    <xf numFmtId="9" fontId="0" fillId="0" borderId="3" xfId="0" applyNumberFormat="1" applyFill="1" applyBorder="1"/>
    <xf numFmtId="9" fontId="0" fillId="0" borderId="0" xfId="0" applyNumberFormat="1" applyFill="1" applyBorder="1"/>
    <xf numFmtId="0" fontId="2" fillId="0" borderId="3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Border="1" applyAlignment="1">
      <alignment wrapText="1"/>
    </xf>
    <xf numFmtId="0" fontId="5" fillId="0" borderId="3" xfId="1" applyFont="1" applyFill="1" applyBorder="1" applyAlignment="1">
      <alignment horizontal="right"/>
    </xf>
    <xf numFmtId="169" fontId="0" fillId="0" borderId="6" xfId="0" applyNumberFormat="1" applyFill="1" applyBorder="1"/>
    <xf numFmtId="169" fontId="0" fillId="0" borderId="0" xfId="0" applyNumberFormat="1" applyFill="1"/>
    <xf numFmtId="168" fontId="0" fillId="0" borderId="0" xfId="0" applyNumberFormat="1" applyFill="1"/>
    <xf numFmtId="169" fontId="0" fillId="0" borderId="8" xfId="0" applyNumberFormat="1" applyFill="1" applyBorder="1"/>
    <xf numFmtId="0" fontId="2" fillId="0" borderId="0" xfId="0" applyFont="1" applyFill="1" applyBorder="1" applyAlignment="1">
      <alignment horizontal="left"/>
    </xf>
    <xf numFmtId="0" fontId="0" fillId="0" borderId="0" xfId="0" applyAlignment="1">
      <alignment horizontal="left" wrapText="1" indent="1"/>
    </xf>
    <xf numFmtId="9" fontId="0" fillId="0" borderId="6" xfId="0" applyNumberFormat="1" applyFill="1" applyBorder="1"/>
    <xf numFmtId="0" fontId="0" fillId="0" borderId="0" xfId="0" applyAlignment="1"/>
    <xf numFmtId="0" fontId="2" fillId="3" borderId="5" xfId="0" applyFont="1" applyFill="1" applyBorder="1" applyAlignment="1">
      <alignment horizontal="right" wrapText="1"/>
    </xf>
    <xf numFmtId="0" fontId="2" fillId="3" borderId="5" xfId="0" applyFont="1" applyFill="1" applyBorder="1" applyAlignment="1">
      <alignment horizontal="left" wrapText="1"/>
    </xf>
    <xf numFmtId="0" fontId="10" fillId="0" borderId="3" xfId="0" applyFont="1" applyBorder="1"/>
    <xf numFmtId="0" fontId="5" fillId="4" borderId="0" xfId="1" applyFont="1" applyFill="1" applyBorder="1" applyAlignment="1">
      <alignment horizontal="left"/>
    </xf>
    <xf numFmtId="9" fontId="0" fillId="0" borderId="0" xfId="0" applyNumberFormat="1" applyFill="1"/>
    <xf numFmtId="0" fontId="0" fillId="0" borderId="3" xfId="0" applyFill="1" applyBorder="1" applyAlignment="1">
      <alignment horizontal="right"/>
    </xf>
    <xf numFmtId="165" fontId="0" fillId="2" borderId="0" xfId="0" applyNumberFormat="1" applyFont="1" applyFill="1"/>
    <xf numFmtId="3" fontId="0" fillId="2" borderId="0" xfId="0" applyNumberFormat="1" applyFill="1"/>
    <xf numFmtId="168" fontId="0" fillId="0" borderId="6" xfId="0" applyNumberFormat="1" applyBorder="1"/>
    <xf numFmtId="168" fontId="0" fillId="0" borderId="8" xfId="0" applyNumberFormat="1" applyBorder="1"/>
    <xf numFmtId="0" fontId="2" fillId="2" borderId="0" xfId="0" applyFont="1" applyFill="1" applyBorder="1"/>
    <xf numFmtId="3" fontId="0" fillId="4" borderId="0" xfId="0" applyNumberFormat="1" applyFill="1"/>
    <xf numFmtId="9" fontId="2" fillId="8" borderId="8" xfId="0" applyNumberFormat="1" applyFont="1" applyFill="1" applyBorder="1"/>
    <xf numFmtId="9" fontId="0" fillId="8" borderId="0" xfId="0" applyNumberFormat="1" applyFill="1"/>
    <xf numFmtId="4" fontId="0" fillId="0" borderId="6" xfId="0" applyNumberFormat="1" applyBorder="1"/>
    <xf numFmtId="4" fontId="0" fillId="0" borderId="0" xfId="0" applyNumberFormat="1"/>
    <xf numFmtId="4" fontId="0" fillId="0" borderId="8" xfId="0" applyNumberFormat="1" applyBorder="1"/>
    <xf numFmtId="0" fontId="2" fillId="3" borderId="15" xfId="0" applyFont="1" applyFill="1" applyBorder="1"/>
    <xf numFmtId="0" fontId="9" fillId="3" borderId="16" xfId="0" applyFont="1" applyFill="1" applyBorder="1" applyAlignment="1">
      <alignment horizontal="right"/>
    </xf>
    <xf numFmtId="0" fontId="2" fillId="3" borderId="16" xfId="0" applyFont="1" applyFill="1" applyBorder="1"/>
    <xf numFmtId="0" fontId="11" fillId="2" borderId="3" xfId="0" applyFont="1" applyFill="1" applyBorder="1"/>
    <xf numFmtId="0" fontId="12" fillId="2" borderId="3" xfId="0" applyFont="1" applyFill="1" applyBorder="1"/>
    <xf numFmtId="169" fontId="0" fillId="2" borderId="6" xfId="0" applyNumberFormat="1" applyFill="1" applyBorder="1"/>
    <xf numFmtId="169" fontId="0" fillId="2" borderId="0" xfId="0" applyNumberFormat="1" applyFill="1"/>
    <xf numFmtId="168" fontId="0" fillId="2" borderId="0" xfId="0" applyNumberFormat="1" applyFill="1"/>
    <xf numFmtId="169" fontId="0" fillId="2" borderId="8" xfId="0" applyNumberFormat="1" applyFill="1" applyBorder="1"/>
    <xf numFmtId="0" fontId="0" fillId="2" borderId="1" xfId="0" applyFill="1" applyBorder="1"/>
    <xf numFmtId="0" fontId="2" fillId="0" borderId="0" xfId="0" applyFont="1" applyAlignment="1">
      <alignment wrapText="1"/>
    </xf>
    <xf numFmtId="0" fontId="2" fillId="9" borderId="0" xfId="0" applyFont="1" applyFill="1"/>
    <xf numFmtId="0" fontId="0" fillId="9" borderId="0" xfId="0" applyFill="1"/>
    <xf numFmtId="0" fontId="0" fillId="4" borderId="3" xfId="0" applyFill="1" applyBorder="1"/>
    <xf numFmtId="0" fontId="0" fillId="9" borderId="9" xfId="0" applyFill="1" applyBorder="1"/>
    <xf numFmtId="0" fontId="0" fillId="9" borderId="10" xfId="0" applyFill="1" applyBorder="1" applyAlignment="1">
      <alignment horizontal="right"/>
    </xf>
    <xf numFmtId="0" fontId="0" fillId="9" borderId="13" xfId="0" applyFill="1" applyBorder="1"/>
    <xf numFmtId="0" fontId="0" fillId="9" borderId="14" xfId="0" applyFill="1" applyBorder="1" applyAlignment="1">
      <alignment horizontal="right"/>
    </xf>
    <xf numFmtId="0" fontId="0" fillId="9" borderId="10" xfId="0" applyFill="1" applyBorder="1"/>
    <xf numFmtId="0" fontId="0" fillId="9" borderId="14" xfId="0" applyFill="1" applyBorder="1"/>
    <xf numFmtId="0" fontId="2" fillId="9" borderId="0" xfId="0" applyFont="1" applyFill="1" applyAlignment="1">
      <alignment wrapText="1"/>
    </xf>
    <xf numFmtId="0" fontId="13" fillId="2" borderId="1" xfId="0" applyFont="1" applyFill="1" applyBorder="1"/>
    <xf numFmtId="174" fontId="14" fillId="10" borderId="6" xfId="3" applyNumberFormat="1" applyBorder="1"/>
    <xf numFmtId="175" fontId="14" fillId="10" borderId="6" xfId="3" applyNumberFormat="1" applyBorder="1"/>
  </cellXfs>
  <cellStyles count="4">
    <cellStyle name="Bad" xfId="3" builtinId="27"/>
    <cellStyle name="Dezimal 2" xfId="2"/>
    <cellStyle name="Normal" xfId="0" builtinId="0"/>
    <cellStyle name="Standard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CH"/>
  <c:chart>
    <c:plotArea>
      <c:layout/>
      <c:lineChart>
        <c:grouping val="standard"/>
        <c:ser>
          <c:idx val="0"/>
          <c:order val="0"/>
          <c:tx>
            <c:strRef>
              <c:f>Tabelle1!$C$32</c:f>
              <c:strCache>
                <c:ptCount val="1"/>
                <c:pt idx="0">
                  <c:v>LossRatio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Tabelle1!$C$38:$C$58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val>
        </c:ser>
        <c:ser>
          <c:idx val="2"/>
          <c:order val="1"/>
          <c:tx>
            <c:strRef>
              <c:f>Tabelle1!$E$32</c:f>
              <c:strCache>
                <c:ptCount val="1"/>
                <c:pt idx="0">
                  <c:v>Loss Participation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Tabelle1!$E$38:$E$58</c:f>
              <c:numCache>
                <c:formatCode>0.00%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1.1102230246251565E-16</c:v>
                </c:pt>
                <c:pt idx="6">
                  <c:v>1.000000000000012E-2</c:v>
                </c:pt>
                <c:pt idx="7">
                  <c:v>2.0000000000000129E-2</c:v>
                </c:pt>
                <c:pt idx="8">
                  <c:v>3.0000000000000138E-2</c:v>
                </c:pt>
                <c:pt idx="9">
                  <c:v>4.0000000000000147E-2</c:v>
                </c:pt>
                <c:pt idx="10">
                  <c:v>5.00000000000001E-2</c:v>
                </c:pt>
                <c:pt idx="11">
                  <c:v>5.5000000000000104E-2</c:v>
                </c:pt>
                <c:pt idx="12">
                  <c:v>6.0000000000000109E-2</c:v>
                </c:pt>
                <c:pt idx="13">
                  <c:v>6.5000000000000113E-2</c:v>
                </c:pt>
                <c:pt idx="14">
                  <c:v>7.0000000000000118E-2</c:v>
                </c:pt>
                <c:pt idx="15">
                  <c:v>7.5000000000000011E-2</c:v>
                </c:pt>
                <c:pt idx="16">
                  <c:v>7.5000000000000011E-2</c:v>
                </c:pt>
                <c:pt idx="17">
                  <c:v>7.5000000000000011E-2</c:v>
                </c:pt>
                <c:pt idx="18">
                  <c:v>7.5000000000000011E-2</c:v>
                </c:pt>
                <c:pt idx="19">
                  <c:v>7.5000000000000011E-2</c:v>
                </c:pt>
                <c:pt idx="20">
                  <c:v>7.5000000000000011E-2</c:v>
                </c:pt>
              </c:numCache>
            </c:numRef>
          </c:val>
        </c:ser>
        <c:ser>
          <c:idx val="3"/>
          <c:order val="2"/>
          <c:tx>
            <c:strRef>
              <c:f>Tabelle1!$F$32</c:f>
              <c:strCache>
                <c:ptCount val="1"/>
                <c:pt idx="0">
                  <c:v>NewLossRatio ceded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Tabelle1!$F$38:$F$58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0.60000000000000009</c:v>
                </c:pt>
                <c:pt idx="11">
                  <c:v>0.60499999999999998</c:v>
                </c:pt>
                <c:pt idx="12">
                  <c:v>0.6100000000000001</c:v>
                </c:pt>
                <c:pt idx="13">
                  <c:v>0.61499999999999999</c:v>
                </c:pt>
                <c:pt idx="14">
                  <c:v>0.62000000000000011</c:v>
                </c:pt>
                <c:pt idx="15">
                  <c:v>0.62500000000000022</c:v>
                </c:pt>
                <c:pt idx="16">
                  <c:v>0.63500000000000023</c:v>
                </c:pt>
                <c:pt idx="17">
                  <c:v>0.64500000000000024</c:v>
                </c:pt>
                <c:pt idx="18">
                  <c:v>0.65500000000000025</c:v>
                </c:pt>
                <c:pt idx="19">
                  <c:v>0.66500000000000026</c:v>
                </c:pt>
                <c:pt idx="20">
                  <c:v>0.67500000000000027</c:v>
                </c:pt>
              </c:numCache>
            </c:numRef>
          </c:val>
        </c:ser>
        <c:ser>
          <c:idx val="4"/>
          <c:order val="3"/>
          <c:tx>
            <c:strRef>
              <c:f>Tabelle1!$G$32</c:f>
              <c:strCache>
                <c:ptCount val="1"/>
                <c:pt idx="0">
                  <c:v>New Loss Ratio net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Tabelle1!$G$38:$G$58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0.6000000000000002</c:v>
                </c:pt>
                <c:pt idx="6">
                  <c:v>0.61428571428571443</c:v>
                </c:pt>
                <c:pt idx="7">
                  <c:v>0.62857142857142878</c:v>
                </c:pt>
                <c:pt idx="8">
                  <c:v>0.64285714285714302</c:v>
                </c:pt>
                <c:pt idx="9">
                  <c:v>0.65714285714285736</c:v>
                </c:pt>
                <c:pt idx="10">
                  <c:v>0.6714285714285716</c:v>
                </c:pt>
                <c:pt idx="11">
                  <c:v>0.68357142857142883</c:v>
                </c:pt>
                <c:pt idx="12">
                  <c:v>0.69571428571428584</c:v>
                </c:pt>
                <c:pt idx="13">
                  <c:v>0.70785714285714307</c:v>
                </c:pt>
                <c:pt idx="14">
                  <c:v>0.7200000000000002</c:v>
                </c:pt>
                <c:pt idx="15">
                  <c:v>0.73214285714285743</c:v>
                </c:pt>
                <c:pt idx="16">
                  <c:v>0.74214285714285722</c:v>
                </c:pt>
                <c:pt idx="17">
                  <c:v>0.75214285714285745</c:v>
                </c:pt>
                <c:pt idx="18">
                  <c:v>0.76214285714285723</c:v>
                </c:pt>
                <c:pt idx="19">
                  <c:v>0.77214285714285746</c:v>
                </c:pt>
                <c:pt idx="20">
                  <c:v>0.78214285714285725</c:v>
                </c:pt>
              </c:numCache>
            </c:numRef>
          </c:val>
        </c:ser>
        <c:marker val="1"/>
        <c:axId val="176284416"/>
        <c:axId val="176285952"/>
      </c:lineChart>
      <c:catAx>
        <c:axId val="176284416"/>
        <c:scaling>
          <c:orientation val="minMax"/>
        </c:scaling>
        <c:axPos val="b"/>
        <c:numFmt formatCode="0.00%" sourceLinked="1"/>
        <c:tickLblPos val="nextTo"/>
        <c:crossAx val="176285952"/>
        <c:crosses val="autoZero"/>
        <c:auto val="1"/>
        <c:lblAlgn val="ctr"/>
        <c:lblOffset val="100"/>
      </c:catAx>
      <c:valAx>
        <c:axId val="176285952"/>
        <c:scaling>
          <c:orientation val="minMax"/>
        </c:scaling>
        <c:axPos val="l"/>
        <c:majorGridlines/>
        <c:numFmt formatCode="0.00%" sourceLinked="1"/>
        <c:tickLblPos val="nextTo"/>
        <c:crossAx val="176284416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233" l="0.70000000000000062" r="0.70000000000000062" t="0.75000000000000233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CH"/>
  <c:chart>
    <c:plotArea>
      <c:layout/>
      <c:scatterChart>
        <c:scatterStyle val="lineMarker"/>
        <c:ser>
          <c:idx val="0"/>
          <c:order val="0"/>
          <c:xVal>
            <c:numRef>
              <c:f>Sliding_in_Triangle!$K$101:$AZ$101</c:f>
              <c:numCache>
                <c:formatCode>0%</c:formatCode>
                <c:ptCount val="42"/>
                <c:pt idx="0">
                  <c:v>2.5000000000000001E-2</c:v>
                </c:pt>
                <c:pt idx="1">
                  <c:v>0.05</c:v>
                </c:pt>
                <c:pt idx="2">
                  <c:v>7.5000000000000011E-2</c:v>
                </c:pt>
                <c:pt idx="3">
                  <c:v>0.1</c:v>
                </c:pt>
                <c:pt idx="4">
                  <c:v>0.125</c:v>
                </c:pt>
                <c:pt idx="5">
                  <c:v>0.15</c:v>
                </c:pt>
                <c:pt idx="6">
                  <c:v>0.17499999999999999</c:v>
                </c:pt>
                <c:pt idx="7">
                  <c:v>0.19999999999999998</c:v>
                </c:pt>
                <c:pt idx="8">
                  <c:v>0.22499999999999998</c:v>
                </c:pt>
                <c:pt idx="9">
                  <c:v>0.24999999999999997</c:v>
                </c:pt>
                <c:pt idx="10">
                  <c:v>0.27499999999999997</c:v>
                </c:pt>
                <c:pt idx="11">
                  <c:v>0.3</c:v>
                </c:pt>
                <c:pt idx="12">
                  <c:v>0.32500000000000001</c:v>
                </c:pt>
                <c:pt idx="13">
                  <c:v>0.35000000000000003</c:v>
                </c:pt>
                <c:pt idx="14">
                  <c:v>0.37500000000000006</c:v>
                </c:pt>
                <c:pt idx="15">
                  <c:v>0.40000000000000008</c:v>
                </c:pt>
                <c:pt idx="16">
                  <c:v>0.4250000000000001</c:v>
                </c:pt>
                <c:pt idx="17">
                  <c:v>0.45000000000000012</c:v>
                </c:pt>
                <c:pt idx="18">
                  <c:v>0.47500000000000014</c:v>
                </c:pt>
                <c:pt idx="19">
                  <c:v>0.50000000000000011</c:v>
                </c:pt>
                <c:pt idx="20">
                  <c:v>0.52500000000000013</c:v>
                </c:pt>
                <c:pt idx="21">
                  <c:v>0.55000000000000016</c:v>
                </c:pt>
                <c:pt idx="22">
                  <c:v>0.57500000000000018</c:v>
                </c:pt>
                <c:pt idx="23">
                  <c:v>0.6000000000000002</c:v>
                </c:pt>
                <c:pt idx="24">
                  <c:v>0.62500000000000022</c:v>
                </c:pt>
                <c:pt idx="25">
                  <c:v>0.65000000000000024</c:v>
                </c:pt>
                <c:pt idx="26">
                  <c:v>0.67500000000000027</c:v>
                </c:pt>
                <c:pt idx="27">
                  <c:v>0.70000000000000029</c:v>
                </c:pt>
                <c:pt idx="28">
                  <c:v>0.72500000000000031</c:v>
                </c:pt>
                <c:pt idx="29">
                  <c:v>0.75000000000000033</c:v>
                </c:pt>
                <c:pt idx="30">
                  <c:v>0.77500000000000036</c:v>
                </c:pt>
                <c:pt idx="31">
                  <c:v>0.80000000000000038</c:v>
                </c:pt>
                <c:pt idx="32">
                  <c:v>0.8250000000000004</c:v>
                </c:pt>
                <c:pt idx="33">
                  <c:v>0.85000000000000042</c:v>
                </c:pt>
                <c:pt idx="34">
                  <c:v>0.87500000000000044</c:v>
                </c:pt>
                <c:pt idx="35">
                  <c:v>0.90000000000000047</c:v>
                </c:pt>
                <c:pt idx="36">
                  <c:v>0.92500000000000049</c:v>
                </c:pt>
                <c:pt idx="37">
                  <c:v>0.95000000000000051</c:v>
                </c:pt>
                <c:pt idx="38">
                  <c:v>0.97500000000000053</c:v>
                </c:pt>
                <c:pt idx="39">
                  <c:v>1.0000000000000004</c:v>
                </c:pt>
                <c:pt idx="40">
                  <c:v>1.0250000000000004</c:v>
                </c:pt>
              </c:numCache>
            </c:numRef>
          </c:xVal>
          <c:yVal>
            <c:numRef>
              <c:f>Sliding_in_Triangle!$K$102:$AZ$102</c:f>
              <c:numCache>
                <c:formatCode>0%</c:formatCode>
                <c:ptCount val="42"/>
                <c:pt idx="0">
                  <c:v>0.87250000000000005</c:v>
                </c:pt>
                <c:pt idx="1">
                  <c:v>0.84499999999999997</c:v>
                </c:pt>
                <c:pt idx="2">
                  <c:v>0.8175</c:v>
                </c:pt>
                <c:pt idx="3">
                  <c:v>0.79</c:v>
                </c:pt>
                <c:pt idx="4">
                  <c:v>0.76249999999999996</c:v>
                </c:pt>
                <c:pt idx="5">
                  <c:v>0.73499999999999999</c:v>
                </c:pt>
                <c:pt idx="6">
                  <c:v>0.70750000000000002</c:v>
                </c:pt>
                <c:pt idx="7">
                  <c:v>0.68</c:v>
                </c:pt>
                <c:pt idx="8">
                  <c:v>0.65250000000000008</c:v>
                </c:pt>
                <c:pt idx="9">
                  <c:v>0.625</c:v>
                </c:pt>
                <c:pt idx="10">
                  <c:v>0.59750000000000003</c:v>
                </c:pt>
                <c:pt idx="11">
                  <c:v>0.57000000000000006</c:v>
                </c:pt>
                <c:pt idx="12">
                  <c:v>0.54249999999999998</c:v>
                </c:pt>
                <c:pt idx="13">
                  <c:v>0.5149999999999999</c:v>
                </c:pt>
                <c:pt idx="14">
                  <c:v>0.48749999999999993</c:v>
                </c:pt>
                <c:pt idx="15">
                  <c:v>0.45999999999999991</c:v>
                </c:pt>
                <c:pt idx="16">
                  <c:v>0.43249999999999988</c:v>
                </c:pt>
                <c:pt idx="17">
                  <c:v>0.40499999999999986</c:v>
                </c:pt>
                <c:pt idx="18">
                  <c:v>0.37749999999999984</c:v>
                </c:pt>
                <c:pt idx="19">
                  <c:v>0.35</c:v>
                </c:pt>
                <c:pt idx="20">
                  <c:v>0.35</c:v>
                </c:pt>
                <c:pt idx="21">
                  <c:v>0.35</c:v>
                </c:pt>
                <c:pt idx="22">
                  <c:v>0.35</c:v>
                </c:pt>
                <c:pt idx="23">
                  <c:v>0.34999999999999942</c:v>
                </c:pt>
                <c:pt idx="24">
                  <c:v>0.30749999999999944</c:v>
                </c:pt>
                <c:pt idx="25">
                  <c:v>0.26499999999999946</c:v>
                </c:pt>
                <c:pt idx="26">
                  <c:v>0.22249999999999948</c:v>
                </c:pt>
                <c:pt idx="27">
                  <c:v>0.17999999999999949</c:v>
                </c:pt>
                <c:pt idx="28">
                  <c:v>0.13749999999999951</c:v>
                </c:pt>
                <c:pt idx="29">
                  <c:v>9.4999999999999307E-2</c:v>
                </c:pt>
                <c:pt idx="30">
                  <c:v>5.2499999999999325E-2</c:v>
                </c:pt>
                <c:pt idx="31">
                  <c:v>0.01</c:v>
                </c:pt>
                <c:pt idx="32">
                  <c:v>0.01</c:v>
                </c:pt>
                <c:pt idx="33">
                  <c:v>0.01</c:v>
                </c:pt>
                <c:pt idx="34">
                  <c:v>0.01</c:v>
                </c:pt>
                <c:pt idx="35">
                  <c:v>0.01</c:v>
                </c:pt>
                <c:pt idx="36">
                  <c:v>0.01</c:v>
                </c:pt>
                <c:pt idx="37">
                  <c:v>0.01</c:v>
                </c:pt>
                <c:pt idx="38">
                  <c:v>0.01</c:v>
                </c:pt>
                <c:pt idx="39">
                  <c:v>0.01</c:v>
                </c:pt>
                <c:pt idx="40">
                  <c:v>0.01</c:v>
                </c:pt>
              </c:numCache>
            </c:numRef>
          </c:yVal>
        </c:ser>
        <c:axId val="176897408"/>
        <c:axId val="135132672"/>
      </c:scatterChart>
      <c:valAx>
        <c:axId val="17689740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LossRatio</a:t>
                </a:r>
              </a:p>
            </c:rich>
          </c:tx>
          <c:layout/>
        </c:title>
        <c:numFmt formatCode="0%" sourceLinked="1"/>
        <c:tickLblPos val="nextTo"/>
        <c:crossAx val="135132672"/>
        <c:crosses val="autoZero"/>
        <c:crossBetween val="midCat"/>
        <c:majorUnit val="0.1"/>
      </c:valAx>
      <c:valAx>
        <c:axId val="13513267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Commission</a:t>
                </a:r>
              </a:p>
            </c:rich>
          </c:tx>
          <c:layout/>
        </c:title>
        <c:numFmt formatCode="0%" sourceLinked="1"/>
        <c:tickLblPos val="nextTo"/>
        <c:crossAx val="176897408"/>
        <c:crosses val="autoZero"/>
        <c:crossBetween val="midCat"/>
      </c:valAx>
    </c:plotArea>
    <c:plotVisOnly val="1"/>
  </c:chart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161924</xdr:colOff>
      <xdr:row>12</xdr:row>
      <xdr:rowOff>152399</xdr:rowOff>
    </xdr:from>
    <xdr:to>
      <xdr:col>16</xdr:col>
      <xdr:colOff>609599</xdr:colOff>
      <xdr:row>48</xdr:row>
      <xdr:rowOff>19049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257174</xdr:colOff>
      <xdr:row>95</xdr:row>
      <xdr:rowOff>0</xdr:rowOff>
    </xdr:from>
    <xdr:to>
      <xdr:col>13</xdr:col>
      <xdr:colOff>0</xdr:colOff>
      <xdr:row>112</xdr:row>
      <xdr:rowOff>161924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103</xdr:row>
      <xdr:rowOff>0</xdr:rowOff>
    </xdr:from>
    <xdr:to>
      <xdr:col>5</xdr:col>
      <xdr:colOff>0</xdr:colOff>
      <xdr:row>104</xdr:row>
      <xdr:rowOff>1</xdr:rowOff>
    </xdr:to>
    <xdr:cxnSp macro="">
      <xdr:nvCxnSpPr>
        <xdr:cNvPr id="8" name="Gerade Verbindung mit Pfeil 7"/>
        <xdr:cNvCxnSpPr/>
      </xdr:nvCxnSpPr>
      <xdr:spPr>
        <a:xfrm flipV="1">
          <a:off x="4619625" y="8115300"/>
          <a:ext cx="762000" cy="16192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103</xdr:row>
      <xdr:rowOff>0</xdr:rowOff>
    </xdr:from>
    <xdr:to>
      <xdr:col>6</xdr:col>
      <xdr:colOff>0</xdr:colOff>
      <xdr:row>105</xdr:row>
      <xdr:rowOff>0</xdr:rowOff>
    </xdr:to>
    <xdr:cxnSp macro="">
      <xdr:nvCxnSpPr>
        <xdr:cNvPr id="11" name="Gerade Verbindung mit Pfeil 10"/>
        <xdr:cNvCxnSpPr/>
      </xdr:nvCxnSpPr>
      <xdr:spPr>
        <a:xfrm>
          <a:off x="6143625" y="8115300"/>
          <a:ext cx="0" cy="32385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549519</xdr:colOff>
      <xdr:row>2</xdr:row>
      <xdr:rowOff>36634</xdr:rowOff>
    </xdr:from>
    <xdr:to>
      <xdr:col>7</xdr:col>
      <xdr:colOff>549519</xdr:colOff>
      <xdr:row>10</xdr:row>
      <xdr:rowOff>131884</xdr:rowOff>
    </xdr:to>
    <xdr:cxnSp macro="">
      <xdr:nvCxnSpPr>
        <xdr:cNvPr id="10" name="Gerade Verbindung mit Pfeil 9"/>
        <xdr:cNvCxnSpPr/>
      </xdr:nvCxnSpPr>
      <xdr:spPr>
        <a:xfrm>
          <a:off x="4147038" y="359019"/>
          <a:ext cx="2286000" cy="122359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490904</xdr:colOff>
      <xdr:row>2</xdr:row>
      <xdr:rowOff>0</xdr:rowOff>
    </xdr:from>
    <xdr:to>
      <xdr:col>7</xdr:col>
      <xdr:colOff>520212</xdr:colOff>
      <xdr:row>31</xdr:row>
      <xdr:rowOff>51289</xdr:rowOff>
    </xdr:to>
    <xdr:cxnSp macro="">
      <xdr:nvCxnSpPr>
        <xdr:cNvPr id="11" name="Gerade Verbindung mit Pfeil 10"/>
        <xdr:cNvCxnSpPr/>
      </xdr:nvCxnSpPr>
      <xdr:spPr>
        <a:xfrm>
          <a:off x="4088423" y="322385"/>
          <a:ext cx="2315308" cy="4564673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179294</xdr:colOff>
      <xdr:row>1</xdr:row>
      <xdr:rowOff>134471</xdr:rowOff>
    </xdr:from>
    <xdr:to>
      <xdr:col>4</xdr:col>
      <xdr:colOff>22412</xdr:colOff>
      <xdr:row>1</xdr:row>
      <xdr:rowOff>145677</xdr:rowOff>
    </xdr:to>
    <xdr:cxnSp macro="">
      <xdr:nvCxnSpPr>
        <xdr:cNvPr id="14" name="Gerade Verbindung mit Pfeil 13"/>
        <xdr:cNvCxnSpPr/>
      </xdr:nvCxnSpPr>
      <xdr:spPr>
        <a:xfrm>
          <a:off x="3014382" y="291353"/>
          <a:ext cx="605118" cy="1120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638735</xdr:colOff>
      <xdr:row>22</xdr:row>
      <xdr:rowOff>89647</xdr:rowOff>
    </xdr:from>
    <xdr:to>
      <xdr:col>15</xdr:col>
      <xdr:colOff>481853</xdr:colOff>
      <xdr:row>22</xdr:row>
      <xdr:rowOff>100853</xdr:rowOff>
    </xdr:to>
    <xdr:cxnSp macro="">
      <xdr:nvCxnSpPr>
        <xdr:cNvPr id="17" name="Gerade Verbindung mit Pfeil 16"/>
        <xdr:cNvCxnSpPr/>
      </xdr:nvCxnSpPr>
      <xdr:spPr>
        <a:xfrm>
          <a:off x="12696264" y="3384176"/>
          <a:ext cx="605118" cy="1120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112058</xdr:colOff>
      <xdr:row>22</xdr:row>
      <xdr:rowOff>100853</xdr:rowOff>
    </xdr:from>
    <xdr:to>
      <xdr:col>17</xdr:col>
      <xdr:colOff>717176</xdr:colOff>
      <xdr:row>22</xdr:row>
      <xdr:rowOff>112059</xdr:rowOff>
    </xdr:to>
    <xdr:cxnSp macro="">
      <xdr:nvCxnSpPr>
        <xdr:cNvPr id="18" name="Gerade Verbindung mit Pfeil 17"/>
        <xdr:cNvCxnSpPr/>
      </xdr:nvCxnSpPr>
      <xdr:spPr>
        <a:xfrm>
          <a:off x="14455587" y="3395382"/>
          <a:ext cx="605118" cy="1120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1"/>
  <dimension ref="B1:P84"/>
  <sheetViews>
    <sheetView showGridLines="0" zoomScale="85" zoomScaleNormal="85" workbookViewId="0">
      <selection activeCell="B38" sqref="B38"/>
    </sheetView>
  </sheetViews>
  <sheetFormatPr defaultColWidth="11.44140625" defaultRowHeight="13.2"/>
  <cols>
    <col min="2" max="2" width="17.88671875" bestFit="1" customWidth="1"/>
    <col min="5" max="5" width="16.44140625" customWidth="1"/>
    <col min="6" max="6" width="18.6640625" customWidth="1"/>
    <col min="7" max="7" width="20.6640625" bestFit="1" customWidth="1"/>
  </cols>
  <sheetData>
    <row r="1" spans="2:16">
      <c r="G1" s="30" t="s">
        <v>2</v>
      </c>
    </row>
    <row r="2" spans="2:16">
      <c r="G2" s="33">
        <v>1</v>
      </c>
      <c r="N2" s="30" t="s">
        <v>18</v>
      </c>
    </row>
    <row r="3" spans="2:16">
      <c r="E3" s="22" t="s">
        <v>13</v>
      </c>
      <c r="F3" s="22" t="s">
        <v>14</v>
      </c>
      <c r="J3" s="22" t="s">
        <v>16</v>
      </c>
      <c r="K3" s="22" t="s">
        <v>17</v>
      </c>
      <c r="N3" s="29">
        <f>F28</f>
        <v>0.3</v>
      </c>
    </row>
    <row r="4" spans="2:16">
      <c r="E4" s="25">
        <v>0</v>
      </c>
      <c r="F4" s="25">
        <v>0</v>
      </c>
      <c r="J4" s="25">
        <f>MIN($G$2,E5)-MIN($G$2,E4)</f>
        <v>0.6</v>
      </c>
      <c r="K4" s="3">
        <f>J4*F4</f>
        <v>0</v>
      </c>
    </row>
    <row r="5" spans="2:16">
      <c r="E5" s="25">
        <v>0.6</v>
      </c>
      <c r="F5" s="25">
        <v>1</v>
      </c>
      <c r="J5" s="25">
        <f>MIN($G$2,E6)-MIN($G$2,E5)</f>
        <v>5.0000000000000044E-2</v>
      </c>
      <c r="K5" s="3">
        <f>J5*F5</f>
        <v>5.0000000000000044E-2</v>
      </c>
    </row>
    <row r="6" spans="2:16">
      <c r="E6" s="25">
        <v>0.65</v>
      </c>
      <c r="F6" s="25">
        <v>0.5</v>
      </c>
      <c r="J6" s="25">
        <f>MIN($G$2,E7)-MIN($G$2,E6)</f>
        <v>4.9999999999999933E-2</v>
      </c>
      <c r="K6" s="3">
        <f>J6*F6</f>
        <v>2.4999999999999967E-2</v>
      </c>
    </row>
    <row r="7" spans="2:16">
      <c r="E7" s="25">
        <v>0.7</v>
      </c>
      <c r="F7" s="25">
        <v>0</v>
      </c>
      <c r="J7" s="25">
        <f>MIN($G$2,E8)-MIN($G$2,E7)</f>
        <v>0.30000000000000004</v>
      </c>
      <c r="K7" s="3">
        <f>J7*F7</f>
        <v>0</v>
      </c>
    </row>
    <row r="8" spans="2:16">
      <c r="J8" s="25">
        <f>MIN($G$2,E9)-MIN($G$2,E8)</f>
        <v>0</v>
      </c>
      <c r="K8" s="3">
        <f>J8*F8</f>
        <v>0</v>
      </c>
    </row>
    <row r="9" spans="2:16">
      <c r="K9" s="3"/>
    </row>
    <row r="10" spans="2:16">
      <c r="J10" s="26" t="s">
        <v>15</v>
      </c>
      <c r="K10" s="6">
        <f>SUM(K4:K9)</f>
        <v>7.5000000000000011E-2</v>
      </c>
      <c r="P10" s="31"/>
    </row>
    <row r="15" spans="2:16">
      <c r="B15" s="2" t="s">
        <v>4</v>
      </c>
      <c r="C15" s="2"/>
      <c r="D15" s="2"/>
      <c r="E15" s="2"/>
      <c r="F15" s="2"/>
      <c r="G15" s="2"/>
    </row>
    <row r="16" spans="2:16">
      <c r="B16" s="2"/>
      <c r="C16" s="2"/>
      <c r="D16" s="2"/>
      <c r="E16" s="2" t="s">
        <v>3</v>
      </c>
      <c r="F16" s="2" t="s">
        <v>6</v>
      </c>
      <c r="G16" s="2"/>
    </row>
    <row r="17" spans="2:7" ht="13.8" thickBot="1">
      <c r="B17" s="2"/>
      <c r="C17" s="2"/>
      <c r="D17" s="2"/>
      <c r="E17" s="2"/>
      <c r="F17" s="2"/>
      <c r="G17" s="2"/>
    </row>
    <row r="18" spans="2:7" ht="13.8" thickBot="1">
      <c r="B18" s="2" t="s">
        <v>1</v>
      </c>
      <c r="C18" s="2" t="s">
        <v>5</v>
      </c>
      <c r="D18" s="2"/>
      <c r="E18" s="1">
        <v>0.6</v>
      </c>
      <c r="F18" s="2"/>
      <c r="G18" s="2"/>
    </row>
    <row r="19" spans="2:7" ht="13.8" thickBot="1">
      <c r="B19" s="2" t="s">
        <v>1</v>
      </c>
      <c r="C19" s="2" t="s">
        <v>0</v>
      </c>
      <c r="D19" s="2"/>
      <c r="E19" s="1">
        <v>0.65</v>
      </c>
      <c r="F19" s="2"/>
      <c r="G19" s="2"/>
    </row>
    <row r="20" spans="2:7" ht="13.8" thickBot="1">
      <c r="B20" s="2" t="s">
        <v>1</v>
      </c>
      <c r="C20" s="2" t="s">
        <v>7</v>
      </c>
      <c r="D20" s="2"/>
      <c r="E20" s="2"/>
      <c r="F20" s="1">
        <v>1</v>
      </c>
      <c r="G20" s="17"/>
    </row>
    <row r="21" spans="2:7" ht="13.8" thickBot="1">
      <c r="B21" s="2"/>
      <c r="C21" s="2"/>
      <c r="D21" s="2"/>
      <c r="E21" s="2"/>
      <c r="F21" s="2"/>
      <c r="G21" s="2"/>
    </row>
    <row r="22" spans="2:7" ht="13.8" thickBot="1">
      <c r="B22" s="2" t="s">
        <v>1</v>
      </c>
      <c r="C22" s="2" t="s">
        <v>5</v>
      </c>
      <c r="D22" s="2"/>
      <c r="E22" s="1">
        <v>0.65</v>
      </c>
      <c r="F22" s="2"/>
      <c r="G22" s="2"/>
    </row>
    <row r="23" spans="2:7" ht="13.8" thickBot="1">
      <c r="B23" s="2" t="s">
        <v>1</v>
      </c>
      <c r="C23" s="2" t="s">
        <v>0</v>
      </c>
      <c r="D23" s="2"/>
      <c r="E23" s="1">
        <v>0.7</v>
      </c>
      <c r="F23" s="2"/>
      <c r="G23" s="2"/>
    </row>
    <row r="24" spans="2:7" ht="13.8" thickBot="1">
      <c r="B24" s="2" t="s">
        <v>1</v>
      </c>
      <c r="C24" s="2" t="s">
        <v>7</v>
      </c>
      <c r="D24" s="2"/>
      <c r="E24" s="2"/>
      <c r="F24" s="1">
        <v>0.5</v>
      </c>
      <c r="G24" s="17"/>
    </row>
    <row r="25" spans="2:7" ht="13.8" thickBot="1">
      <c r="B25" s="2"/>
      <c r="C25" s="2"/>
      <c r="D25" s="2"/>
      <c r="E25" s="2"/>
      <c r="F25" s="19"/>
      <c r="G25" s="19"/>
    </row>
    <row r="26" spans="2:7" ht="13.8" thickBot="1">
      <c r="B26" s="2" t="s">
        <v>1</v>
      </c>
      <c r="C26" s="18" t="s">
        <v>10</v>
      </c>
      <c r="D26" s="18"/>
      <c r="E26" s="2"/>
      <c r="F26" s="1">
        <v>0.5</v>
      </c>
      <c r="G26" s="17"/>
    </row>
    <row r="27" spans="2:7" ht="13.8" thickBot="1">
      <c r="B27" s="2" t="s">
        <v>1</v>
      </c>
      <c r="C27" s="18" t="s">
        <v>11</v>
      </c>
      <c r="D27" s="18"/>
      <c r="E27" s="2"/>
      <c r="F27" s="21">
        <v>0.6</v>
      </c>
      <c r="G27" s="17"/>
    </row>
    <row r="28" spans="2:7">
      <c r="B28" s="2"/>
      <c r="C28" s="18" t="s">
        <v>12</v>
      </c>
      <c r="D28" s="18"/>
      <c r="E28" s="2"/>
      <c r="F28" s="20">
        <f>F27*F26</f>
        <v>0.3</v>
      </c>
      <c r="G28" s="20"/>
    </row>
    <row r="29" spans="2:7">
      <c r="B29" s="2"/>
      <c r="C29" s="2"/>
      <c r="D29" s="2"/>
      <c r="E29" s="2"/>
      <c r="F29" s="19"/>
      <c r="G29" s="19"/>
    </row>
    <row r="31" spans="2:7">
      <c r="C31" t="s">
        <v>2</v>
      </c>
    </row>
    <row r="32" spans="2:7">
      <c r="C32" s="22" t="s">
        <v>3</v>
      </c>
      <c r="D32" s="22"/>
      <c r="E32" s="23" t="s">
        <v>4</v>
      </c>
      <c r="F32" s="24" t="s">
        <v>8</v>
      </c>
      <c r="G32" s="24" t="s">
        <v>9</v>
      </c>
    </row>
    <row r="33" spans="3:7">
      <c r="C33" s="3">
        <v>0.5</v>
      </c>
      <c r="D33" s="3">
        <f>C33</f>
        <v>0.5</v>
      </c>
      <c r="E33" s="4">
        <f>IF(E$18&lt;=C33,IF(C33&lt;E$19,(C33-E$18)*F$20,0),0)+IF(E$19&lt;=C33,(E$19-E$18)*F$20,0)+IF(E$22&lt;=C33,IF(C33&lt;E$23,(C33-E$22)*F$24,0),0)+IF(E$23&lt;=C33,(E$23-E$22)*F$24,0)</f>
        <v>0</v>
      </c>
      <c r="F33" s="5">
        <f>C33-E33</f>
        <v>0.5</v>
      </c>
      <c r="G33" s="11">
        <f>1/(1-$F$28)*(C33-$F$28*F33)</f>
        <v>0.5</v>
      </c>
    </row>
    <row r="34" spans="3:7">
      <c r="C34" s="3">
        <f>C33+1%</f>
        <v>0.51</v>
      </c>
      <c r="D34" s="3">
        <f t="shared" ref="D34:D83" si="0">C34</f>
        <v>0.51</v>
      </c>
      <c r="E34" s="4">
        <f t="shared" ref="E34:E63" si="1">IF(E$18&lt;=C34,IF(C34&lt;E$19,(C34-E$18)*F$20,0),0)+IF(E$19&lt;=C34,(E$19-E$18)*F$20,0)+IF(E$22&lt;=C34,IF(C34&lt;E$23,(C34-E$22)*F$24,0),0)+IF(E$23&lt;=C34,(E$23-E$22)*F$24,0)</f>
        <v>0</v>
      </c>
      <c r="F34" s="5">
        <f t="shared" ref="F34:F83" si="2">C34-E34</f>
        <v>0.51</v>
      </c>
      <c r="G34" s="11">
        <f t="shared" ref="G34:G83" si="3">1/(1-$F$28)*(C34-$F$28*F34)</f>
        <v>0.51</v>
      </c>
    </row>
    <row r="35" spans="3:7">
      <c r="C35" s="3">
        <f t="shared" ref="C35:C63" si="4">C34+1%</f>
        <v>0.52</v>
      </c>
      <c r="D35" s="3">
        <f t="shared" si="0"/>
        <v>0.52</v>
      </c>
      <c r="E35" s="4">
        <f t="shared" si="1"/>
        <v>0</v>
      </c>
      <c r="F35" s="5">
        <f t="shared" si="2"/>
        <v>0.52</v>
      </c>
      <c r="G35" s="11">
        <f t="shared" si="3"/>
        <v>0.52</v>
      </c>
    </row>
    <row r="36" spans="3:7">
      <c r="C36" s="3">
        <f t="shared" si="4"/>
        <v>0.53</v>
      </c>
      <c r="D36" s="3">
        <f t="shared" si="0"/>
        <v>0.53</v>
      </c>
      <c r="E36" s="4">
        <f t="shared" si="1"/>
        <v>0</v>
      </c>
      <c r="F36" s="5">
        <f t="shared" si="2"/>
        <v>0.53</v>
      </c>
      <c r="G36" s="11">
        <f t="shared" si="3"/>
        <v>0.53</v>
      </c>
    </row>
    <row r="37" spans="3:7">
      <c r="C37" s="3">
        <f t="shared" si="4"/>
        <v>0.54</v>
      </c>
      <c r="D37" s="3">
        <f t="shared" si="0"/>
        <v>0.54</v>
      </c>
      <c r="E37" s="4">
        <f t="shared" si="1"/>
        <v>0</v>
      </c>
      <c r="F37" s="5">
        <f t="shared" si="2"/>
        <v>0.54</v>
      </c>
      <c r="G37" s="11">
        <f t="shared" si="3"/>
        <v>0.54</v>
      </c>
    </row>
    <row r="38" spans="3:7">
      <c r="C38" s="3">
        <f t="shared" si="4"/>
        <v>0.55000000000000004</v>
      </c>
      <c r="D38" s="3">
        <f t="shared" si="0"/>
        <v>0.55000000000000004</v>
      </c>
      <c r="E38" s="4">
        <f t="shared" si="1"/>
        <v>0</v>
      </c>
      <c r="F38" s="5">
        <f t="shared" si="2"/>
        <v>0.55000000000000004</v>
      </c>
      <c r="G38" s="11">
        <f t="shared" si="3"/>
        <v>0.55000000000000004</v>
      </c>
    </row>
    <row r="39" spans="3:7">
      <c r="C39" s="3">
        <f t="shared" si="4"/>
        <v>0.56000000000000005</v>
      </c>
      <c r="D39" s="3">
        <f t="shared" si="0"/>
        <v>0.56000000000000005</v>
      </c>
      <c r="E39" s="4">
        <f t="shared" si="1"/>
        <v>0</v>
      </c>
      <c r="F39" s="5">
        <f t="shared" si="2"/>
        <v>0.56000000000000005</v>
      </c>
      <c r="G39" s="11">
        <f t="shared" si="3"/>
        <v>0.56000000000000005</v>
      </c>
    </row>
    <row r="40" spans="3:7">
      <c r="C40" s="3">
        <f t="shared" si="4"/>
        <v>0.57000000000000006</v>
      </c>
      <c r="D40" s="3">
        <f t="shared" si="0"/>
        <v>0.57000000000000006</v>
      </c>
      <c r="E40" s="4">
        <f t="shared" si="1"/>
        <v>0</v>
      </c>
      <c r="F40" s="5">
        <f t="shared" si="2"/>
        <v>0.57000000000000006</v>
      </c>
      <c r="G40" s="11">
        <f t="shared" si="3"/>
        <v>0.57000000000000006</v>
      </c>
    </row>
    <row r="41" spans="3:7">
      <c r="C41" s="3">
        <f t="shared" si="4"/>
        <v>0.58000000000000007</v>
      </c>
      <c r="D41" s="3">
        <f t="shared" si="0"/>
        <v>0.58000000000000007</v>
      </c>
      <c r="E41" s="4">
        <f t="shared" si="1"/>
        <v>0</v>
      </c>
      <c r="F41" s="5">
        <f t="shared" si="2"/>
        <v>0.58000000000000007</v>
      </c>
      <c r="G41" s="11">
        <f t="shared" si="3"/>
        <v>0.58000000000000007</v>
      </c>
    </row>
    <row r="42" spans="3:7">
      <c r="C42" s="3">
        <f t="shared" si="4"/>
        <v>0.59000000000000008</v>
      </c>
      <c r="D42" s="3">
        <f t="shared" si="0"/>
        <v>0.59000000000000008</v>
      </c>
      <c r="E42" s="4">
        <f t="shared" si="1"/>
        <v>0</v>
      </c>
      <c r="F42" s="5">
        <f t="shared" si="2"/>
        <v>0.59000000000000008</v>
      </c>
      <c r="G42" s="11">
        <f t="shared" si="3"/>
        <v>0.59000000000000008</v>
      </c>
    </row>
    <row r="43" spans="3:7">
      <c r="C43" s="6">
        <f t="shared" si="4"/>
        <v>0.60000000000000009</v>
      </c>
      <c r="D43" s="3">
        <f t="shared" si="0"/>
        <v>0.60000000000000009</v>
      </c>
      <c r="E43" s="7">
        <f t="shared" si="1"/>
        <v>1.1102230246251565E-16</v>
      </c>
      <c r="F43" s="8">
        <f t="shared" si="2"/>
        <v>0.6</v>
      </c>
      <c r="G43" s="11">
        <f t="shared" si="3"/>
        <v>0.6000000000000002</v>
      </c>
    </row>
    <row r="44" spans="3:7">
      <c r="C44" s="9">
        <f t="shared" si="4"/>
        <v>0.6100000000000001</v>
      </c>
      <c r="D44" s="3">
        <f t="shared" si="0"/>
        <v>0.6100000000000001</v>
      </c>
      <c r="E44" s="10">
        <f t="shared" si="1"/>
        <v>1.000000000000012E-2</v>
      </c>
      <c r="F44" s="11">
        <f t="shared" si="2"/>
        <v>0.6</v>
      </c>
      <c r="G44" s="11">
        <f t="shared" si="3"/>
        <v>0.61428571428571443</v>
      </c>
    </row>
    <row r="45" spans="3:7">
      <c r="C45" s="9">
        <f t="shared" si="4"/>
        <v>0.62000000000000011</v>
      </c>
      <c r="D45" s="3">
        <f t="shared" si="0"/>
        <v>0.62000000000000011</v>
      </c>
      <c r="E45" s="10">
        <f t="shared" si="1"/>
        <v>2.0000000000000129E-2</v>
      </c>
      <c r="F45" s="11">
        <f t="shared" si="2"/>
        <v>0.6</v>
      </c>
      <c r="G45" s="11">
        <f t="shared" si="3"/>
        <v>0.62857142857142878</v>
      </c>
    </row>
    <row r="46" spans="3:7">
      <c r="C46" s="9">
        <f t="shared" si="4"/>
        <v>0.63000000000000012</v>
      </c>
      <c r="D46" s="3">
        <f t="shared" si="0"/>
        <v>0.63000000000000012</v>
      </c>
      <c r="E46" s="10">
        <f t="shared" si="1"/>
        <v>3.0000000000000138E-2</v>
      </c>
      <c r="F46" s="11">
        <f t="shared" si="2"/>
        <v>0.6</v>
      </c>
      <c r="G46" s="11">
        <f t="shared" si="3"/>
        <v>0.64285714285714302</v>
      </c>
    </row>
    <row r="47" spans="3:7">
      <c r="C47" s="9">
        <f t="shared" si="4"/>
        <v>0.64000000000000012</v>
      </c>
      <c r="D47" s="3">
        <f t="shared" si="0"/>
        <v>0.64000000000000012</v>
      </c>
      <c r="E47" s="10">
        <f t="shared" si="1"/>
        <v>4.0000000000000147E-2</v>
      </c>
      <c r="F47" s="11">
        <f t="shared" si="2"/>
        <v>0.6</v>
      </c>
      <c r="G47" s="11">
        <f t="shared" si="3"/>
        <v>0.65714285714285736</v>
      </c>
    </row>
    <row r="48" spans="3:7">
      <c r="C48" s="12">
        <f t="shared" si="4"/>
        <v>0.65000000000000013</v>
      </c>
      <c r="D48" s="3">
        <f t="shared" si="0"/>
        <v>0.65000000000000013</v>
      </c>
      <c r="E48" s="13">
        <f t="shared" si="1"/>
        <v>5.00000000000001E-2</v>
      </c>
      <c r="F48" s="14">
        <f t="shared" si="2"/>
        <v>0.60000000000000009</v>
      </c>
      <c r="G48" s="11">
        <f t="shared" si="3"/>
        <v>0.6714285714285716</v>
      </c>
    </row>
    <row r="49" spans="3:7">
      <c r="C49" s="6">
        <f t="shared" si="4"/>
        <v>0.66000000000000014</v>
      </c>
      <c r="D49" s="3">
        <f t="shared" si="0"/>
        <v>0.66000000000000014</v>
      </c>
      <c r="E49" s="7">
        <f t="shared" si="1"/>
        <v>5.5000000000000104E-2</v>
      </c>
      <c r="F49" s="8">
        <f t="shared" si="2"/>
        <v>0.60499999999999998</v>
      </c>
      <c r="G49" s="11">
        <f t="shared" si="3"/>
        <v>0.68357142857142883</v>
      </c>
    </row>
    <row r="50" spans="3:7">
      <c r="C50" s="9">
        <f t="shared" si="4"/>
        <v>0.67000000000000015</v>
      </c>
      <c r="D50" s="3">
        <f t="shared" si="0"/>
        <v>0.67000000000000015</v>
      </c>
      <c r="E50" s="10">
        <f t="shared" si="1"/>
        <v>6.0000000000000109E-2</v>
      </c>
      <c r="F50" s="11">
        <f t="shared" si="2"/>
        <v>0.6100000000000001</v>
      </c>
      <c r="G50" s="11">
        <f t="shared" si="3"/>
        <v>0.69571428571428584</v>
      </c>
    </row>
    <row r="51" spans="3:7">
      <c r="C51" s="9">
        <f t="shared" si="4"/>
        <v>0.68000000000000016</v>
      </c>
      <c r="D51" s="3">
        <f t="shared" si="0"/>
        <v>0.68000000000000016</v>
      </c>
      <c r="E51" s="10">
        <f t="shared" si="1"/>
        <v>6.5000000000000113E-2</v>
      </c>
      <c r="F51" s="11">
        <f t="shared" si="2"/>
        <v>0.61499999999999999</v>
      </c>
      <c r="G51" s="11">
        <f t="shared" si="3"/>
        <v>0.70785714285714307</v>
      </c>
    </row>
    <row r="52" spans="3:7">
      <c r="C52" s="9">
        <f t="shared" si="4"/>
        <v>0.69000000000000017</v>
      </c>
      <c r="D52" s="3">
        <f t="shared" si="0"/>
        <v>0.69000000000000017</v>
      </c>
      <c r="E52" s="10">
        <f t="shared" si="1"/>
        <v>7.0000000000000118E-2</v>
      </c>
      <c r="F52" s="11">
        <f t="shared" si="2"/>
        <v>0.62000000000000011</v>
      </c>
      <c r="G52" s="11">
        <f t="shared" si="3"/>
        <v>0.7200000000000002</v>
      </c>
    </row>
    <row r="53" spans="3:7">
      <c r="C53" s="12">
        <f t="shared" si="4"/>
        <v>0.70000000000000018</v>
      </c>
      <c r="D53" s="3">
        <f t="shared" si="0"/>
        <v>0.70000000000000018</v>
      </c>
      <c r="E53" s="13">
        <f t="shared" si="1"/>
        <v>7.5000000000000011E-2</v>
      </c>
      <c r="F53" s="14">
        <f t="shared" si="2"/>
        <v>0.62500000000000022</v>
      </c>
      <c r="G53" s="11">
        <f t="shared" si="3"/>
        <v>0.73214285714285743</v>
      </c>
    </row>
    <row r="54" spans="3:7">
      <c r="C54" s="3">
        <f t="shared" si="4"/>
        <v>0.71000000000000019</v>
      </c>
      <c r="D54" s="3">
        <f t="shared" si="0"/>
        <v>0.71000000000000019</v>
      </c>
      <c r="E54" s="4">
        <f t="shared" si="1"/>
        <v>7.5000000000000011E-2</v>
      </c>
      <c r="F54" s="5">
        <f t="shared" si="2"/>
        <v>0.63500000000000023</v>
      </c>
      <c r="G54" s="11">
        <f t="shared" si="3"/>
        <v>0.74214285714285722</v>
      </c>
    </row>
    <row r="55" spans="3:7">
      <c r="C55" s="3">
        <f t="shared" si="4"/>
        <v>0.7200000000000002</v>
      </c>
      <c r="D55" s="3">
        <f t="shared" si="0"/>
        <v>0.7200000000000002</v>
      </c>
      <c r="E55" s="4">
        <f t="shared" si="1"/>
        <v>7.5000000000000011E-2</v>
      </c>
      <c r="F55" s="5">
        <f t="shared" si="2"/>
        <v>0.64500000000000024</v>
      </c>
      <c r="G55" s="11">
        <f t="shared" si="3"/>
        <v>0.75214285714285745</v>
      </c>
    </row>
    <row r="56" spans="3:7">
      <c r="C56" s="3">
        <f t="shared" si="4"/>
        <v>0.7300000000000002</v>
      </c>
      <c r="D56" s="3">
        <f t="shared" si="0"/>
        <v>0.7300000000000002</v>
      </c>
      <c r="E56" s="4">
        <f t="shared" si="1"/>
        <v>7.5000000000000011E-2</v>
      </c>
      <c r="F56" s="5">
        <f t="shared" si="2"/>
        <v>0.65500000000000025</v>
      </c>
      <c r="G56" s="11">
        <f t="shared" si="3"/>
        <v>0.76214285714285723</v>
      </c>
    </row>
    <row r="57" spans="3:7">
      <c r="C57" s="3">
        <f t="shared" si="4"/>
        <v>0.74000000000000021</v>
      </c>
      <c r="D57" s="3">
        <f t="shared" si="0"/>
        <v>0.74000000000000021</v>
      </c>
      <c r="E57" s="4">
        <f t="shared" si="1"/>
        <v>7.5000000000000011E-2</v>
      </c>
      <c r="F57" s="5">
        <f t="shared" si="2"/>
        <v>0.66500000000000026</v>
      </c>
      <c r="G57" s="11">
        <f t="shared" si="3"/>
        <v>0.77214285714285746</v>
      </c>
    </row>
    <row r="58" spans="3:7">
      <c r="C58" s="3">
        <f t="shared" si="4"/>
        <v>0.75000000000000022</v>
      </c>
      <c r="D58" s="3">
        <f t="shared" si="0"/>
        <v>0.75000000000000022</v>
      </c>
      <c r="E58" s="4">
        <f t="shared" si="1"/>
        <v>7.5000000000000011E-2</v>
      </c>
      <c r="F58" s="5">
        <f t="shared" si="2"/>
        <v>0.67500000000000027</v>
      </c>
      <c r="G58" s="11">
        <f t="shared" si="3"/>
        <v>0.78214285714285725</v>
      </c>
    </row>
    <row r="59" spans="3:7">
      <c r="C59" s="3">
        <f t="shared" si="4"/>
        <v>0.76000000000000023</v>
      </c>
      <c r="D59" s="3">
        <f t="shared" si="0"/>
        <v>0.76000000000000023</v>
      </c>
      <c r="E59" s="4">
        <f t="shared" si="1"/>
        <v>7.5000000000000011E-2</v>
      </c>
      <c r="F59" s="5">
        <f t="shared" si="2"/>
        <v>0.68500000000000028</v>
      </c>
      <c r="G59" s="11">
        <f t="shared" si="3"/>
        <v>0.79214285714285748</v>
      </c>
    </row>
    <row r="60" spans="3:7">
      <c r="C60" s="3">
        <f t="shared" si="4"/>
        <v>0.77000000000000024</v>
      </c>
      <c r="D60" s="3">
        <f t="shared" si="0"/>
        <v>0.77000000000000024</v>
      </c>
      <c r="E60" s="4">
        <f t="shared" si="1"/>
        <v>7.5000000000000011E-2</v>
      </c>
      <c r="F60" s="5">
        <f t="shared" si="2"/>
        <v>0.69500000000000028</v>
      </c>
      <c r="G60" s="11">
        <f t="shared" si="3"/>
        <v>0.80214285714285727</v>
      </c>
    </row>
    <row r="61" spans="3:7">
      <c r="C61" s="3">
        <f t="shared" si="4"/>
        <v>0.78000000000000025</v>
      </c>
      <c r="D61" s="3">
        <f t="shared" si="0"/>
        <v>0.78000000000000025</v>
      </c>
      <c r="E61" s="4">
        <f t="shared" si="1"/>
        <v>7.5000000000000011E-2</v>
      </c>
      <c r="F61" s="5">
        <f t="shared" si="2"/>
        <v>0.70500000000000029</v>
      </c>
      <c r="G61" s="11">
        <f t="shared" si="3"/>
        <v>0.8121428571428575</v>
      </c>
    </row>
    <row r="62" spans="3:7">
      <c r="C62" s="3">
        <f t="shared" si="4"/>
        <v>0.79000000000000026</v>
      </c>
      <c r="D62" s="3">
        <f t="shared" si="0"/>
        <v>0.79000000000000026</v>
      </c>
      <c r="E62" s="4">
        <f t="shared" si="1"/>
        <v>7.5000000000000011E-2</v>
      </c>
      <c r="F62" s="5">
        <f t="shared" si="2"/>
        <v>0.7150000000000003</v>
      </c>
      <c r="G62" s="11">
        <f t="shared" si="3"/>
        <v>0.82214285714285729</v>
      </c>
    </row>
    <row r="63" spans="3:7">
      <c r="C63" s="3">
        <f t="shared" si="4"/>
        <v>0.80000000000000027</v>
      </c>
      <c r="D63" s="3">
        <f t="shared" si="0"/>
        <v>0.80000000000000027</v>
      </c>
      <c r="E63" s="4">
        <f t="shared" si="1"/>
        <v>7.5000000000000011E-2</v>
      </c>
      <c r="F63" s="5">
        <f t="shared" si="2"/>
        <v>0.72500000000000031</v>
      </c>
      <c r="G63" s="11">
        <f t="shared" si="3"/>
        <v>0.83214285714285752</v>
      </c>
    </row>
    <row r="64" spans="3:7">
      <c r="C64" s="3">
        <f t="shared" ref="C64:C80" si="5">C63+1%</f>
        <v>0.81000000000000028</v>
      </c>
      <c r="D64" s="3">
        <f t="shared" si="0"/>
        <v>0.81000000000000028</v>
      </c>
      <c r="E64" s="4">
        <f t="shared" ref="E64:E80" si="6">IF(E$18&lt;=C64,IF(C64&lt;E$19,(C64-E$18)*F$20,0),0)+IF(E$19&lt;=C64,(E$19-E$18)*F$20,0)+IF(E$22&lt;=C64,IF(C64&lt;E$23,(C64-E$22)*F$24,0),0)+IF(E$23&lt;=C64,(E$23-E$22)*F$24,0)</f>
        <v>7.5000000000000011E-2</v>
      </c>
      <c r="F64" s="5">
        <f t="shared" si="2"/>
        <v>0.73500000000000032</v>
      </c>
      <c r="G64" s="11">
        <f t="shared" si="3"/>
        <v>0.8421428571428573</v>
      </c>
    </row>
    <row r="65" spans="3:7">
      <c r="C65" s="3">
        <f t="shared" si="5"/>
        <v>0.82000000000000028</v>
      </c>
      <c r="D65" s="3">
        <f t="shared" si="0"/>
        <v>0.82000000000000028</v>
      </c>
      <c r="E65" s="4">
        <f t="shared" si="6"/>
        <v>7.5000000000000011E-2</v>
      </c>
      <c r="F65" s="5">
        <f t="shared" si="2"/>
        <v>0.74500000000000033</v>
      </c>
      <c r="G65" s="11">
        <f t="shared" si="3"/>
        <v>0.85214285714285753</v>
      </c>
    </row>
    <row r="66" spans="3:7">
      <c r="C66" s="3">
        <f t="shared" si="5"/>
        <v>0.83000000000000029</v>
      </c>
      <c r="D66" s="3">
        <f t="shared" si="0"/>
        <v>0.83000000000000029</v>
      </c>
      <c r="E66" s="4">
        <f t="shared" si="6"/>
        <v>7.5000000000000011E-2</v>
      </c>
      <c r="F66" s="5">
        <f t="shared" si="2"/>
        <v>0.75500000000000034</v>
      </c>
      <c r="G66" s="11">
        <f t="shared" si="3"/>
        <v>0.86214285714285732</v>
      </c>
    </row>
    <row r="67" spans="3:7">
      <c r="C67" s="3">
        <f t="shared" si="5"/>
        <v>0.8400000000000003</v>
      </c>
      <c r="D67" s="3">
        <f t="shared" si="0"/>
        <v>0.8400000000000003</v>
      </c>
      <c r="E67" s="4">
        <f t="shared" si="6"/>
        <v>7.5000000000000011E-2</v>
      </c>
      <c r="F67" s="5">
        <f t="shared" si="2"/>
        <v>0.76500000000000035</v>
      </c>
      <c r="G67" s="11">
        <f t="shared" si="3"/>
        <v>0.87214285714285755</v>
      </c>
    </row>
    <row r="68" spans="3:7">
      <c r="C68" s="3">
        <f t="shared" si="5"/>
        <v>0.85000000000000031</v>
      </c>
      <c r="D68" s="3">
        <f t="shared" si="0"/>
        <v>0.85000000000000031</v>
      </c>
      <c r="E68" s="4">
        <f t="shared" si="6"/>
        <v>7.5000000000000011E-2</v>
      </c>
      <c r="F68" s="5">
        <f t="shared" si="2"/>
        <v>0.77500000000000036</v>
      </c>
      <c r="G68" s="11">
        <f t="shared" si="3"/>
        <v>0.88214285714285734</v>
      </c>
    </row>
    <row r="69" spans="3:7">
      <c r="C69" s="3">
        <f t="shared" si="5"/>
        <v>0.86000000000000032</v>
      </c>
      <c r="D69" s="3">
        <f t="shared" si="0"/>
        <v>0.86000000000000032</v>
      </c>
      <c r="E69" s="4">
        <f t="shared" si="6"/>
        <v>7.5000000000000011E-2</v>
      </c>
      <c r="F69" s="5">
        <f t="shared" si="2"/>
        <v>0.78500000000000036</v>
      </c>
      <c r="G69" s="11">
        <f t="shared" si="3"/>
        <v>0.89214285714285757</v>
      </c>
    </row>
    <row r="70" spans="3:7">
      <c r="C70" s="3">
        <f t="shared" si="5"/>
        <v>0.87000000000000033</v>
      </c>
      <c r="D70" s="3">
        <f t="shared" si="0"/>
        <v>0.87000000000000033</v>
      </c>
      <c r="E70" s="4">
        <f t="shared" si="6"/>
        <v>7.5000000000000011E-2</v>
      </c>
      <c r="F70" s="5">
        <f t="shared" si="2"/>
        <v>0.79500000000000037</v>
      </c>
      <c r="G70" s="11">
        <f t="shared" si="3"/>
        <v>0.90214285714285736</v>
      </c>
    </row>
    <row r="71" spans="3:7">
      <c r="C71" s="3">
        <f t="shared" si="5"/>
        <v>0.88000000000000034</v>
      </c>
      <c r="D71" s="3">
        <f t="shared" si="0"/>
        <v>0.88000000000000034</v>
      </c>
      <c r="E71" s="4">
        <f t="shared" si="6"/>
        <v>7.5000000000000011E-2</v>
      </c>
      <c r="F71" s="5">
        <f t="shared" si="2"/>
        <v>0.80500000000000038</v>
      </c>
      <c r="G71" s="11">
        <f t="shared" si="3"/>
        <v>0.91214285714285759</v>
      </c>
    </row>
    <row r="72" spans="3:7">
      <c r="C72" s="3">
        <f t="shared" si="5"/>
        <v>0.89000000000000035</v>
      </c>
      <c r="D72" s="3">
        <f t="shared" si="0"/>
        <v>0.89000000000000035</v>
      </c>
      <c r="E72" s="4">
        <f t="shared" si="6"/>
        <v>7.5000000000000011E-2</v>
      </c>
      <c r="F72" s="5">
        <f t="shared" si="2"/>
        <v>0.81500000000000039</v>
      </c>
      <c r="G72" s="11">
        <f t="shared" si="3"/>
        <v>0.92214285714285738</v>
      </c>
    </row>
    <row r="73" spans="3:7">
      <c r="C73" s="3">
        <f t="shared" si="5"/>
        <v>0.90000000000000036</v>
      </c>
      <c r="D73" s="3">
        <f t="shared" si="0"/>
        <v>0.90000000000000036</v>
      </c>
      <c r="E73" s="4">
        <f t="shared" si="6"/>
        <v>7.5000000000000011E-2</v>
      </c>
      <c r="F73" s="5">
        <f t="shared" si="2"/>
        <v>0.8250000000000004</v>
      </c>
      <c r="G73" s="11">
        <f t="shared" si="3"/>
        <v>0.93214285714285761</v>
      </c>
    </row>
    <row r="74" spans="3:7">
      <c r="C74" s="3">
        <f t="shared" si="5"/>
        <v>0.91000000000000036</v>
      </c>
      <c r="D74" s="3">
        <f t="shared" si="0"/>
        <v>0.91000000000000036</v>
      </c>
      <c r="E74" s="4">
        <f t="shared" si="6"/>
        <v>7.5000000000000011E-2</v>
      </c>
      <c r="F74" s="5">
        <f t="shared" si="2"/>
        <v>0.83500000000000041</v>
      </c>
      <c r="G74" s="11">
        <f t="shared" si="3"/>
        <v>0.94214285714285739</v>
      </c>
    </row>
    <row r="75" spans="3:7">
      <c r="C75" s="3">
        <f t="shared" si="5"/>
        <v>0.92000000000000037</v>
      </c>
      <c r="D75" s="3">
        <f t="shared" si="0"/>
        <v>0.92000000000000037</v>
      </c>
      <c r="E75" s="4">
        <f t="shared" si="6"/>
        <v>7.5000000000000011E-2</v>
      </c>
      <c r="F75" s="5">
        <f t="shared" si="2"/>
        <v>0.84500000000000042</v>
      </c>
      <c r="G75" s="11">
        <f t="shared" si="3"/>
        <v>0.95214285714285762</v>
      </c>
    </row>
    <row r="76" spans="3:7">
      <c r="C76" s="3">
        <f t="shared" si="5"/>
        <v>0.93000000000000038</v>
      </c>
      <c r="D76" s="3">
        <f t="shared" si="0"/>
        <v>0.93000000000000038</v>
      </c>
      <c r="E76" s="4">
        <f t="shared" si="6"/>
        <v>7.5000000000000011E-2</v>
      </c>
      <c r="F76" s="5">
        <f t="shared" si="2"/>
        <v>0.85500000000000043</v>
      </c>
      <c r="G76" s="11">
        <f t="shared" si="3"/>
        <v>0.96214285714285741</v>
      </c>
    </row>
    <row r="77" spans="3:7">
      <c r="C77" s="3">
        <f t="shared" si="5"/>
        <v>0.94000000000000039</v>
      </c>
      <c r="D77" s="3">
        <f t="shared" si="0"/>
        <v>0.94000000000000039</v>
      </c>
      <c r="E77" s="4">
        <f t="shared" si="6"/>
        <v>7.5000000000000011E-2</v>
      </c>
      <c r="F77" s="5">
        <f t="shared" si="2"/>
        <v>0.86500000000000044</v>
      </c>
      <c r="G77" s="11">
        <f t="shared" si="3"/>
        <v>0.97214285714285764</v>
      </c>
    </row>
    <row r="78" spans="3:7">
      <c r="C78" s="3">
        <f t="shared" si="5"/>
        <v>0.9500000000000004</v>
      </c>
      <c r="D78" s="3">
        <f t="shared" si="0"/>
        <v>0.9500000000000004</v>
      </c>
      <c r="E78" s="4">
        <f t="shared" si="6"/>
        <v>7.5000000000000011E-2</v>
      </c>
      <c r="F78" s="5">
        <f t="shared" si="2"/>
        <v>0.87500000000000044</v>
      </c>
      <c r="G78" s="11">
        <f t="shared" si="3"/>
        <v>0.98214285714285743</v>
      </c>
    </row>
    <row r="79" spans="3:7">
      <c r="C79" s="3">
        <f t="shared" si="5"/>
        <v>0.96000000000000041</v>
      </c>
      <c r="D79" s="3">
        <f t="shared" si="0"/>
        <v>0.96000000000000041</v>
      </c>
      <c r="E79" s="4">
        <f t="shared" si="6"/>
        <v>7.5000000000000011E-2</v>
      </c>
      <c r="F79" s="5">
        <f t="shared" si="2"/>
        <v>0.88500000000000045</v>
      </c>
      <c r="G79" s="11">
        <f t="shared" si="3"/>
        <v>0.99214285714285766</v>
      </c>
    </row>
    <row r="80" spans="3:7">
      <c r="C80" s="3">
        <f t="shared" si="5"/>
        <v>0.97000000000000042</v>
      </c>
      <c r="D80" s="3">
        <f t="shared" si="0"/>
        <v>0.97000000000000042</v>
      </c>
      <c r="E80" s="4">
        <f t="shared" si="6"/>
        <v>7.5000000000000011E-2</v>
      </c>
      <c r="F80" s="5">
        <f t="shared" si="2"/>
        <v>0.89500000000000046</v>
      </c>
      <c r="G80" s="11">
        <f t="shared" si="3"/>
        <v>1.0021428571428574</v>
      </c>
    </row>
    <row r="81" spans="3:7">
      <c r="C81" s="3">
        <f t="shared" ref="C81:C83" si="7">C80+1%</f>
        <v>0.98000000000000043</v>
      </c>
      <c r="D81" s="3">
        <f t="shared" si="0"/>
        <v>0.98000000000000043</v>
      </c>
      <c r="E81" s="4">
        <f t="shared" ref="E81:E83" si="8">IF(E$18&lt;=C81,IF(C81&lt;E$19,(C81-E$18)*F$20,0),0)+IF(E$19&lt;=C81,(E$19-E$18)*F$20,0)+IF(E$22&lt;=C81,IF(C81&lt;E$23,(C81-E$22)*F$24,0),0)+IF(E$23&lt;=C81,(E$23-E$22)*F$24,0)</f>
        <v>7.5000000000000011E-2</v>
      </c>
      <c r="F81" s="5">
        <f t="shared" si="2"/>
        <v>0.90500000000000047</v>
      </c>
      <c r="G81" s="11">
        <f t="shared" si="3"/>
        <v>1.0121428571428577</v>
      </c>
    </row>
    <row r="82" spans="3:7">
      <c r="C82" s="3">
        <f t="shared" si="7"/>
        <v>0.99000000000000044</v>
      </c>
      <c r="D82" s="3">
        <f t="shared" si="0"/>
        <v>0.99000000000000044</v>
      </c>
      <c r="E82" s="4">
        <f t="shared" si="8"/>
        <v>7.5000000000000011E-2</v>
      </c>
      <c r="F82" s="5">
        <f t="shared" si="2"/>
        <v>0.91500000000000048</v>
      </c>
      <c r="G82" s="11">
        <f t="shared" si="3"/>
        <v>1.0221428571428575</v>
      </c>
    </row>
    <row r="83" spans="3:7">
      <c r="C83" s="3">
        <f t="shared" si="7"/>
        <v>1.0000000000000004</v>
      </c>
      <c r="D83" s="3">
        <f t="shared" si="0"/>
        <v>1.0000000000000004</v>
      </c>
      <c r="E83" s="4">
        <f t="shared" si="8"/>
        <v>7.5000000000000011E-2</v>
      </c>
      <c r="F83" s="5">
        <f t="shared" si="2"/>
        <v>0.92500000000000049</v>
      </c>
      <c r="G83" s="11">
        <f t="shared" si="3"/>
        <v>1.0321428571428577</v>
      </c>
    </row>
    <row r="84" spans="3:7">
      <c r="C84" s="15"/>
      <c r="D84" s="16"/>
      <c r="E84" s="15"/>
      <c r="F84" s="15"/>
      <c r="G84" s="15"/>
    </row>
  </sheetData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G33"/>
  <sheetViews>
    <sheetView topLeftCell="B13" zoomScale="130" zoomScaleNormal="130" workbookViewId="0">
      <selection activeCell="B33" sqref="B33"/>
    </sheetView>
  </sheetViews>
  <sheetFormatPr defaultColWidth="11.5546875" defaultRowHeight="13.2"/>
  <cols>
    <col min="2" max="2" width="25.88671875" bestFit="1" customWidth="1"/>
    <col min="8" max="8" width="46.5546875" bestFit="1" customWidth="1"/>
    <col min="9" max="9" width="25.6640625" bestFit="1" customWidth="1"/>
    <col min="10" max="10" width="22.6640625" customWidth="1"/>
  </cols>
  <sheetData>
    <row r="3" spans="2:7">
      <c r="B3" s="217" t="s">
        <v>40</v>
      </c>
      <c r="C3" s="41" t="s">
        <v>39</v>
      </c>
      <c r="D3" s="41" t="s">
        <v>38</v>
      </c>
      <c r="E3" s="41" t="s">
        <v>37</v>
      </c>
      <c r="F3" s="41" t="s">
        <v>36</v>
      </c>
      <c r="G3" s="41" t="s">
        <v>248</v>
      </c>
    </row>
    <row r="4" spans="2:7">
      <c r="B4" s="41"/>
      <c r="C4" s="41"/>
      <c r="D4" s="41"/>
      <c r="E4" s="41"/>
      <c r="F4" s="41"/>
      <c r="G4" s="41"/>
    </row>
    <row r="5" spans="2:7">
      <c r="B5" s="41" t="s">
        <v>251</v>
      </c>
      <c r="C5" s="214">
        <v>-90</v>
      </c>
      <c r="D5" s="214">
        <v>-108</v>
      </c>
      <c r="E5" s="214">
        <v>-127.71</v>
      </c>
      <c r="F5" s="214">
        <v>-145.92599999999999</v>
      </c>
      <c r="G5" s="214">
        <v>-160.51859999999999</v>
      </c>
    </row>
    <row r="6" spans="2:7">
      <c r="B6" s="41">
        <v>2012</v>
      </c>
      <c r="C6" s="214">
        <v>-90</v>
      </c>
      <c r="D6" s="214">
        <v>-9</v>
      </c>
      <c r="E6" s="214">
        <v>-8.91</v>
      </c>
      <c r="F6" s="214">
        <v>-5.4450000000000003</v>
      </c>
      <c r="G6" s="214">
        <v>0</v>
      </c>
    </row>
    <row r="7" spans="2:7">
      <c r="B7" s="41">
        <v>2013</v>
      </c>
      <c r="C7" s="41">
        <v>0</v>
      </c>
      <c r="D7" s="214">
        <v>-99</v>
      </c>
      <c r="E7" s="214">
        <v>-9.9</v>
      </c>
      <c r="F7" s="214">
        <v>-9.8010000000000002</v>
      </c>
      <c r="G7" s="214">
        <v>-5.9894999999999996</v>
      </c>
    </row>
    <row r="8" spans="2:7">
      <c r="B8" s="41">
        <v>2014</v>
      </c>
      <c r="C8" s="41">
        <v>0</v>
      </c>
      <c r="D8" s="41">
        <v>0</v>
      </c>
      <c r="E8" s="214">
        <v>-108.9</v>
      </c>
      <c r="F8" s="214">
        <v>-10.89</v>
      </c>
      <c r="G8" s="214">
        <v>-10.7811</v>
      </c>
    </row>
    <row r="9" spans="2:7">
      <c r="B9" s="41">
        <v>2015</v>
      </c>
      <c r="C9" s="41">
        <v>0</v>
      </c>
      <c r="D9" s="41">
        <v>0</v>
      </c>
      <c r="E9" s="41">
        <v>0</v>
      </c>
      <c r="F9" s="214">
        <v>-119.79</v>
      </c>
      <c r="G9" s="214">
        <v>-11.978999999999999</v>
      </c>
    </row>
    <row r="10" spans="2:7">
      <c r="B10" s="41">
        <v>2016</v>
      </c>
      <c r="C10" s="41">
        <v>0</v>
      </c>
      <c r="D10" s="41">
        <v>0</v>
      </c>
      <c r="E10" s="41">
        <v>0</v>
      </c>
      <c r="F10" s="41">
        <v>0</v>
      </c>
      <c r="G10" s="214">
        <v>-131.76900000000001</v>
      </c>
    </row>
    <row r="13" spans="2:7">
      <c r="B13" s="2" t="s">
        <v>249</v>
      </c>
      <c r="C13" s="218"/>
      <c r="D13" s="218"/>
      <c r="E13" s="218"/>
      <c r="F13" s="218"/>
      <c r="G13" s="218"/>
    </row>
    <row r="14" spans="2:7">
      <c r="B14" s="2">
        <v>2012</v>
      </c>
      <c r="C14" s="218">
        <f>SUM($C6:C6)</f>
        <v>-90</v>
      </c>
      <c r="D14" s="218">
        <f>SUM($C6:D6)</f>
        <v>-99</v>
      </c>
      <c r="E14" s="218">
        <f>SUM($C6:E6)</f>
        <v>-107.91</v>
      </c>
      <c r="F14" s="218">
        <f>SUM($C6:F6)</f>
        <v>-113.35499999999999</v>
      </c>
      <c r="G14" s="218">
        <f>SUM($C6:G6)</f>
        <v>-113.35499999999999</v>
      </c>
    </row>
    <row r="15" spans="2:7">
      <c r="B15" s="2">
        <v>2013</v>
      </c>
      <c r="C15" s="218">
        <f>SUM($C7:C7)</f>
        <v>0</v>
      </c>
      <c r="D15" s="218">
        <f>SUM($C7:D7)</f>
        <v>-99</v>
      </c>
      <c r="E15" s="218">
        <f>SUM($C7:E7)</f>
        <v>-108.9</v>
      </c>
      <c r="F15" s="218">
        <f>SUM($C7:F7)</f>
        <v>-118.70100000000001</v>
      </c>
      <c r="G15" s="218">
        <f>SUM($C7:G7)</f>
        <v>-124.69050000000001</v>
      </c>
    </row>
    <row r="16" spans="2:7">
      <c r="B16" s="2">
        <v>2014</v>
      </c>
      <c r="C16" s="218">
        <f>SUM($C8:C8)</f>
        <v>0</v>
      </c>
      <c r="D16" s="218">
        <f>SUM($C8:D8)</f>
        <v>0</v>
      </c>
      <c r="E16" s="218">
        <f>SUM($C8:E8)</f>
        <v>-108.9</v>
      </c>
      <c r="F16" s="218">
        <f>SUM($C8:F8)</f>
        <v>-119.79</v>
      </c>
      <c r="G16" s="218">
        <f>SUM($C8:G8)</f>
        <v>-130.5711</v>
      </c>
    </row>
    <row r="17" spans="2:7">
      <c r="B17" s="2">
        <v>2015</v>
      </c>
      <c r="C17" s="218">
        <f>SUM($C9:C9)</f>
        <v>0</v>
      </c>
      <c r="D17" s="218">
        <f>SUM($C9:D9)</f>
        <v>0</v>
      </c>
      <c r="E17" s="218">
        <f>SUM($C9:E9)</f>
        <v>0</v>
      </c>
      <c r="F17" s="218">
        <f>SUM($C9:F9)</f>
        <v>-119.79</v>
      </c>
      <c r="G17" s="218">
        <f>SUM($C9:G9)</f>
        <v>-131.76900000000001</v>
      </c>
    </row>
    <row r="18" spans="2:7">
      <c r="B18" s="2">
        <v>2016</v>
      </c>
      <c r="C18" s="218">
        <f>SUM($C10:C10)</f>
        <v>0</v>
      </c>
      <c r="D18" s="218">
        <f>SUM($C10:D10)</f>
        <v>0</v>
      </c>
      <c r="E18" s="218">
        <f>SUM($C10:E10)</f>
        <v>0</v>
      </c>
      <c r="F18" s="218">
        <f>SUM($C10:F10)</f>
        <v>0</v>
      </c>
      <c r="G18" s="218">
        <f>SUM($C10:G10)</f>
        <v>-131.76900000000001</v>
      </c>
    </row>
    <row r="23" spans="2:7" ht="79.2">
      <c r="C23" s="234" t="s">
        <v>185</v>
      </c>
      <c r="D23" s="234" t="s">
        <v>176</v>
      </c>
      <c r="E23" s="195" t="s">
        <v>256</v>
      </c>
    </row>
    <row r="24" spans="2:7">
      <c r="B24">
        <v>1</v>
      </c>
      <c r="C24" s="2" t="s">
        <v>186</v>
      </c>
      <c r="D24" s="2" t="s">
        <v>250</v>
      </c>
      <c r="E24" s="2" t="s">
        <v>258</v>
      </c>
    </row>
    <row r="25" spans="2:7">
      <c r="B25">
        <v>2</v>
      </c>
      <c r="C25" s="2" t="s">
        <v>180</v>
      </c>
      <c r="D25" s="2" t="s">
        <v>250</v>
      </c>
      <c r="E25" s="2" t="s">
        <v>258</v>
      </c>
    </row>
    <row r="26" spans="2:7">
      <c r="B26">
        <v>3</v>
      </c>
      <c r="C26" s="2" t="s">
        <v>179</v>
      </c>
      <c r="D26" s="2" t="s">
        <v>250</v>
      </c>
      <c r="E26" s="2" t="s">
        <v>258</v>
      </c>
    </row>
    <row r="27" spans="2:7">
      <c r="B27">
        <v>4</v>
      </c>
      <c r="C27" s="237" t="s">
        <v>179</v>
      </c>
      <c r="D27" s="237" t="s">
        <v>252</v>
      </c>
      <c r="E27" s="237" t="s">
        <v>258</v>
      </c>
    </row>
    <row r="28" spans="2:7">
      <c r="B28">
        <v>5</v>
      </c>
      <c r="C28" s="2" t="s">
        <v>186</v>
      </c>
      <c r="D28" s="2" t="s">
        <v>250</v>
      </c>
      <c r="E28" s="2" t="s">
        <v>257</v>
      </c>
    </row>
    <row r="29" spans="2:7">
      <c r="B29">
        <v>6</v>
      </c>
      <c r="C29" s="2" t="s">
        <v>180</v>
      </c>
      <c r="D29" s="2" t="s">
        <v>250</v>
      </c>
      <c r="E29" s="2" t="s">
        <v>257</v>
      </c>
    </row>
    <row r="30" spans="2:7">
      <c r="B30">
        <v>7</v>
      </c>
      <c r="C30" s="2" t="s">
        <v>179</v>
      </c>
      <c r="D30" s="2" t="s">
        <v>250</v>
      </c>
      <c r="E30" s="2" t="s">
        <v>257</v>
      </c>
    </row>
    <row r="31" spans="2:7">
      <c r="B31" t="s">
        <v>259</v>
      </c>
      <c r="C31" s="35" t="s">
        <v>179</v>
      </c>
      <c r="D31" s="35" t="s">
        <v>252</v>
      </c>
      <c r="E31" s="35" t="s">
        <v>257</v>
      </c>
    </row>
    <row r="32" spans="2:7" ht="13.8" thickBot="1"/>
    <row r="33" spans="2:5" ht="13.8" thickBot="1">
      <c r="B33" s="233">
        <f>Sliding_in_Triangle!C287</f>
        <v>6</v>
      </c>
      <c r="C33" s="2" t="str">
        <f>VLOOKUP($B33,$B$24:$E$30,2,FALSE)</f>
        <v>sliding</v>
      </c>
      <c r="D33" s="2" t="str">
        <f>VLOOKUP($B33,$B$24:$E$30,3,FALSE)</f>
        <v>no</v>
      </c>
      <c r="E33" s="2" t="str">
        <f>VLOOKUP($B33,$B$24:$E$30,4,FALSE)</f>
        <v>LP-on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287"/>
  <sheetViews>
    <sheetView showGridLines="0" tabSelected="1" topLeftCell="A163" zoomScale="85" zoomScaleNormal="85" workbookViewId="0">
      <selection activeCell="I207" sqref="I207"/>
    </sheetView>
  </sheetViews>
  <sheetFormatPr defaultColWidth="11.5546875" defaultRowHeight="13.2" outlineLevelRow="1"/>
  <cols>
    <col min="1" max="1" width="14" customWidth="1"/>
    <col min="2" max="2" width="42.109375" style="122" customWidth="1"/>
    <col min="3" max="6" width="21.6640625" bestFit="1" customWidth="1"/>
    <col min="7" max="7" width="11" customWidth="1"/>
    <col min="14" max="14" width="16.5546875" bestFit="1" customWidth="1"/>
  </cols>
  <sheetData>
    <row r="1" spans="1:9" ht="22.8" hidden="1" outlineLevel="1">
      <c r="B1" s="209" t="s">
        <v>235</v>
      </c>
      <c r="C1" s="125"/>
      <c r="D1" s="125"/>
      <c r="E1" s="125"/>
      <c r="F1" s="125"/>
      <c r="G1" s="125"/>
      <c r="H1" s="125"/>
      <c r="I1" s="125"/>
    </row>
    <row r="2" spans="1:9" hidden="1" outlineLevel="1"/>
    <row r="3" spans="1:9" hidden="1" outlineLevel="1">
      <c r="B3" s="168" t="s">
        <v>140</v>
      </c>
    </row>
    <row r="4" spans="1:9" hidden="1" outlineLevel="1">
      <c r="B4" s="167" t="s">
        <v>141</v>
      </c>
    </row>
    <row r="5" spans="1:9" hidden="1" outlineLevel="1">
      <c r="B5" t="s">
        <v>139</v>
      </c>
    </row>
    <row r="6" spans="1:9" hidden="1" outlineLevel="1">
      <c r="B6"/>
    </row>
    <row r="7" spans="1:9" hidden="1" outlineLevel="1"/>
    <row r="8" spans="1:9" hidden="1" outlineLevel="1"/>
    <row r="9" spans="1:9" s="32" customFormat="1" ht="14.4" hidden="1" outlineLevel="1">
      <c r="A9"/>
      <c r="B9" s="123" t="s">
        <v>226</v>
      </c>
      <c r="C9" s="147" t="s">
        <v>116</v>
      </c>
      <c r="D9" s="147" t="s">
        <v>115</v>
      </c>
      <c r="E9" s="147" t="s">
        <v>114</v>
      </c>
      <c r="F9" s="147" t="s">
        <v>113</v>
      </c>
      <c r="H9" s="32" t="s">
        <v>138</v>
      </c>
    </row>
    <row r="10" spans="1:9" hidden="1" outlineLevel="1">
      <c r="B10" s="122" t="s">
        <v>112</v>
      </c>
      <c r="C10" s="215">
        <f>Input_for_Test!C14</f>
        <v>-90</v>
      </c>
      <c r="D10" s="158">
        <f>Input_for_Test!D14</f>
        <v>-99</v>
      </c>
      <c r="E10" s="158">
        <f>Input_for_Test!E14</f>
        <v>-107.91</v>
      </c>
      <c r="F10" s="158">
        <f>Input_for_Test!F14</f>
        <v>-113.35499999999999</v>
      </c>
      <c r="H10" t="s">
        <v>120</v>
      </c>
    </row>
    <row r="11" spans="1:9" hidden="1" outlineLevel="1">
      <c r="B11" s="122" t="s">
        <v>111</v>
      </c>
      <c r="C11" s="158"/>
      <c r="D11" s="216">
        <f>Input_for_Test!D15</f>
        <v>-99</v>
      </c>
      <c r="E11" s="158">
        <f>Input_for_Test!E15</f>
        <v>-108.9</v>
      </c>
      <c r="F11" s="158">
        <f>Input_for_Test!F15</f>
        <v>-118.70100000000001</v>
      </c>
      <c r="H11" t="s">
        <v>187</v>
      </c>
    </row>
    <row r="12" spans="1:9" hidden="1" outlineLevel="1">
      <c r="B12" s="122" t="s">
        <v>110</v>
      </c>
      <c r="C12" s="158"/>
      <c r="D12" s="158"/>
      <c r="E12" s="216">
        <f>Input_for_Test!E16</f>
        <v>-108.9</v>
      </c>
      <c r="F12" s="158">
        <f>Input_for_Test!F16</f>
        <v>-119.79</v>
      </c>
      <c r="H12" t="s">
        <v>188</v>
      </c>
    </row>
    <row r="13" spans="1:9" hidden="1" outlineLevel="1">
      <c r="B13" s="122" t="s">
        <v>109</v>
      </c>
      <c r="C13" s="158"/>
      <c r="D13" s="158"/>
      <c r="E13" s="158"/>
      <c r="F13" s="216">
        <f>Input_for_Test!F17</f>
        <v>-119.79</v>
      </c>
    </row>
    <row r="14" spans="1:9" hidden="1" outlineLevel="1"/>
    <row r="15" spans="1:9" s="32" customFormat="1" ht="14.4" collapsed="1">
      <c r="B15" s="123" t="s">
        <v>117</v>
      </c>
      <c r="C15" s="147" t="s">
        <v>116</v>
      </c>
      <c r="D15" s="147" t="s">
        <v>115</v>
      </c>
      <c r="E15" s="147" t="s">
        <v>114</v>
      </c>
      <c r="F15" s="147" t="s">
        <v>113</v>
      </c>
      <c r="H15" s="32" t="s">
        <v>122</v>
      </c>
    </row>
    <row r="16" spans="1:9">
      <c r="B16" s="122" t="s">
        <v>112</v>
      </c>
      <c r="C16" s="229">
        <v>200</v>
      </c>
      <c r="D16" s="230">
        <f>C16*1.05</f>
        <v>210</v>
      </c>
      <c r="E16" s="230">
        <f>D16*1.05</f>
        <v>220.5</v>
      </c>
      <c r="F16" s="230">
        <f>E16*1.05</f>
        <v>231.52500000000001</v>
      </c>
      <c r="H16" t="s">
        <v>123</v>
      </c>
    </row>
    <row r="17" spans="2:11">
      <c r="B17" s="122" t="s">
        <v>111</v>
      </c>
      <c r="C17" s="231"/>
      <c r="D17" s="232">
        <v>210</v>
      </c>
      <c r="E17" s="230">
        <f>D17*1.05</f>
        <v>220.5</v>
      </c>
      <c r="F17" s="230">
        <f>E17*1.05</f>
        <v>231.52500000000001</v>
      </c>
      <c r="H17" t="s">
        <v>191</v>
      </c>
    </row>
    <row r="18" spans="2:11">
      <c r="B18" s="122" t="s">
        <v>110</v>
      </c>
      <c r="C18" s="231"/>
      <c r="D18" s="231"/>
      <c r="E18" s="232">
        <v>190</v>
      </c>
      <c r="F18" s="230">
        <f>E18*1.05</f>
        <v>199.5</v>
      </c>
    </row>
    <row r="19" spans="2:11">
      <c r="B19" s="122" t="s">
        <v>109</v>
      </c>
      <c r="C19" s="231"/>
      <c r="D19" s="231"/>
      <c r="E19" s="231"/>
      <c r="F19" s="232">
        <v>170</v>
      </c>
    </row>
    <row r="20" spans="2:11">
      <c r="B20" s="137"/>
    </row>
    <row r="21" spans="2:11" ht="14.4">
      <c r="B21" s="123" t="s">
        <v>160</v>
      </c>
      <c r="C21" s="147"/>
      <c r="D21" s="125"/>
      <c r="E21" s="125"/>
      <c r="F21" s="125"/>
    </row>
    <row r="22" spans="2:11">
      <c r="B22" s="156" t="s">
        <v>112</v>
      </c>
      <c r="C22" s="213">
        <v>0.73</v>
      </c>
    </row>
    <row r="23" spans="2:11" hidden="1" outlineLevel="1">
      <c r="B23"/>
    </row>
    <row r="24" spans="2:11" ht="14.4" collapsed="1">
      <c r="B24" s="123" t="s">
        <v>170</v>
      </c>
      <c r="C24" s="147" t="s">
        <v>25</v>
      </c>
      <c r="D24" s="147" t="s">
        <v>171</v>
      </c>
      <c r="E24" s="82"/>
      <c r="F24" s="82"/>
      <c r="H24" s="32" t="s">
        <v>172</v>
      </c>
    </row>
    <row r="25" spans="2:11">
      <c r="B25" s="122" t="s">
        <v>112</v>
      </c>
      <c r="C25" s="41">
        <v>0</v>
      </c>
      <c r="D25" s="41">
        <v>1000000</v>
      </c>
      <c r="H25" t="s">
        <v>173</v>
      </c>
    </row>
    <row r="26" spans="2:11">
      <c r="B26" s="122" t="s">
        <v>111</v>
      </c>
      <c r="C26" s="41">
        <v>0</v>
      </c>
      <c r="D26" s="41">
        <v>1000000</v>
      </c>
    </row>
    <row r="27" spans="2:11">
      <c r="B27" s="122" t="s">
        <v>110</v>
      </c>
      <c r="C27" s="41">
        <v>0</v>
      </c>
      <c r="D27" s="41">
        <v>1000000</v>
      </c>
      <c r="H27" s="2" t="s">
        <v>220</v>
      </c>
      <c r="I27" s="2"/>
      <c r="J27" s="2"/>
      <c r="K27" s="2"/>
    </row>
    <row r="28" spans="2:11">
      <c r="B28" s="122" t="s">
        <v>109</v>
      </c>
      <c r="C28" s="41">
        <v>0</v>
      </c>
      <c r="D28" s="41">
        <v>1000000</v>
      </c>
    </row>
    <row r="30" spans="2:11" ht="14.4" hidden="1" outlineLevel="1">
      <c r="B30" s="123" t="s">
        <v>174</v>
      </c>
      <c r="C30" s="147" t="s">
        <v>116</v>
      </c>
      <c r="D30" s="147" t="s">
        <v>115</v>
      </c>
      <c r="E30" s="147" t="s">
        <v>114</v>
      </c>
      <c r="F30" s="147" t="s">
        <v>113</v>
      </c>
      <c r="H30" s="148" t="s">
        <v>204</v>
      </c>
    </row>
    <row r="31" spans="2:11" hidden="1" outlineLevel="1">
      <c r="B31" s="122" t="s">
        <v>112</v>
      </c>
      <c r="C31" s="159">
        <f>-MIN(MAX(0,-C10-$C25),$D25)</f>
        <v>-90</v>
      </c>
      <c r="D31" s="160">
        <f t="shared" ref="D31:F31" si="0">-MIN(MAX(0,-D10-$C25),$D25)</f>
        <v>-99</v>
      </c>
      <c r="E31" s="160">
        <f t="shared" si="0"/>
        <v>-107.91</v>
      </c>
      <c r="F31" s="160">
        <f t="shared" si="0"/>
        <v>-113.35499999999999</v>
      </c>
      <c r="H31" s="32" t="s">
        <v>205</v>
      </c>
    </row>
    <row r="32" spans="2:11" hidden="1" outlineLevel="1">
      <c r="B32" s="122" t="s">
        <v>111</v>
      </c>
      <c r="C32" s="158">
        <f t="shared" ref="C32:F32" si="1">-MIN(MAX(0,-C11-$C26),$D26)</f>
        <v>0</v>
      </c>
      <c r="D32" s="161">
        <f t="shared" si="1"/>
        <v>-99</v>
      </c>
      <c r="E32" s="160">
        <f t="shared" si="1"/>
        <v>-108.9</v>
      </c>
      <c r="F32" s="160">
        <f t="shared" si="1"/>
        <v>-118.70100000000001</v>
      </c>
    </row>
    <row r="33" spans="1:24" hidden="1" outlineLevel="1">
      <c r="B33" s="122" t="s">
        <v>110</v>
      </c>
      <c r="C33" s="158">
        <f t="shared" ref="C33:F33" si="2">-MIN(MAX(0,-C12-$C27),$D27)</f>
        <v>0</v>
      </c>
      <c r="D33" s="158">
        <f t="shared" si="2"/>
        <v>0</v>
      </c>
      <c r="E33" s="161">
        <f t="shared" si="2"/>
        <v>-108.9</v>
      </c>
      <c r="F33" s="160">
        <f t="shared" si="2"/>
        <v>-119.79</v>
      </c>
    </row>
    <row r="34" spans="1:24" hidden="1" outlineLevel="1">
      <c r="B34" s="122" t="s">
        <v>109</v>
      </c>
      <c r="C34" s="158">
        <f t="shared" ref="C34:F34" si="3">-MIN(MAX(0,-C13-$C28),$D28)</f>
        <v>0</v>
      </c>
      <c r="D34" s="158">
        <f t="shared" si="3"/>
        <v>0</v>
      </c>
      <c r="E34" s="158">
        <f t="shared" si="3"/>
        <v>0</v>
      </c>
      <c r="F34" s="161">
        <f t="shared" si="3"/>
        <v>-119.79</v>
      </c>
    </row>
    <row r="35" spans="1:24" hidden="1" outlineLevel="1"/>
    <row r="36" spans="1:24" ht="14.4" hidden="1" outlineLevel="1">
      <c r="B36" s="123" t="s">
        <v>175</v>
      </c>
      <c r="C36" s="147" t="s">
        <v>116</v>
      </c>
      <c r="D36" s="147" t="s">
        <v>115</v>
      </c>
      <c r="E36" s="147" t="s">
        <v>114</v>
      </c>
      <c r="F36" s="147" t="s">
        <v>113</v>
      </c>
      <c r="H36" s="170"/>
    </row>
    <row r="37" spans="1:24" hidden="1" outlineLevel="1">
      <c r="B37" s="122" t="s">
        <v>112</v>
      </c>
      <c r="C37" s="157">
        <f>-C31/C16</f>
        <v>0.45</v>
      </c>
      <c r="D37" s="25">
        <f>-D31/D16</f>
        <v>0.47142857142857142</v>
      </c>
      <c r="E37" s="25">
        <f>-E31/E16</f>
        <v>0.4893877551020408</v>
      </c>
      <c r="F37" s="25">
        <f>-F31/F16</f>
        <v>0.48960155490767732</v>
      </c>
    </row>
    <row r="38" spans="1:24" hidden="1" outlineLevel="1">
      <c r="B38" s="122" t="s">
        <v>111</v>
      </c>
      <c r="C38" s="25"/>
      <c r="D38" s="124">
        <f>-D32/D17</f>
        <v>0.47142857142857142</v>
      </c>
      <c r="E38" s="25">
        <f>-E32/E17</f>
        <v>0.4938775510204082</v>
      </c>
      <c r="F38" s="25">
        <f>-F32/F17</f>
        <v>0.51269193391642376</v>
      </c>
    </row>
    <row r="39" spans="1:24" hidden="1" outlineLevel="1">
      <c r="B39" s="122" t="s">
        <v>110</v>
      </c>
      <c r="C39" s="25"/>
      <c r="D39" s="25"/>
      <c r="E39" s="124">
        <f>-E33/E18</f>
        <v>0.57315789473684209</v>
      </c>
      <c r="F39" s="25">
        <f>-F33/F18</f>
        <v>0.6004511278195489</v>
      </c>
    </row>
    <row r="40" spans="1:24" hidden="1" outlineLevel="1">
      <c r="B40" s="122" t="s">
        <v>109</v>
      </c>
      <c r="C40" s="25"/>
      <c r="D40" s="25"/>
      <c r="E40" s="25"/>
      <c r="F40" s="124">
        <f>-F34/F19</f>
        <v>0.7046470588235294</v>
      </c>
    </row>
    <row r="41" spans="1:24" hidden="1" outlineLevel="1">
      <c r="B41"/>
    </row>
    <row r="42" spans="1:24" hidden="1" outlineLevel="1">
      <c r="B42"/>
    </row>
    <row r="43" spans="1:24" s="149" customFormat="1" ht="15.6" collapsed="1">
      <c r="B43" s="150" t="s">
        <v>4</v>
      </c>
    </row>
    <row r="44" spans="1:24">
      <c r="A44" s="35"/>
      <c r="B44" s="35"/>
      <c r="C44" s="35"/>
      <c r="D44" s="35"/>
      <c r="E44" s="35"/>
      <c r="F44" s="42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</row>
    <row r="45" spans="1:24">
      <c r="A45" s="35"/>
      <c r="B45" s="35"/>
      <c r="C45" s="35"/>
      <c r="D45" s="207" t="s">
        <v>13</v>
      </c>
      <c r="E45" s="208" t="s">
        <v>14</v>
      </c>
      <c r="F45" s="35"/>
      <c r="G45" s="35"/>
      <c r="H45" s="24" t="s">
        <v>16</v>
      </c>
      <c r="I45" s="36" t="s">
        <v>23</v>
      </c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</row>
    <row r="46" spans="1:24">
      <c r="A46" s="35"/>
      <c r="B46" s="35"/>
      <c r="C46" s="35"/>
      <c r="D46" s="44">
        <v>0</v>
      </c>
      <c r="E46" s="44">
        <v>0</v>
      </c>
      <c r="F46" s="35"/>
      <c r="G46" s="35"/>
      <c r="H46" s="27">
        <f t="shared" ref="H46:H51" si="4">MIN($D$57,D47)-MIN($D$57,D46)</f>
        <v>0.4</v>
      </c>
      <c r="I46" s="5">
        <f t="shared" ref="I46:I51" si="5">H46*E46</f>
        <v>0</v>
      </c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</row>
    <row r="47" spans="1:24">
      <c r="A47" s="35"/>
      <c r="B47" s="35"/>
      <c r="C47" s="35"/>
      <c r="D47" s="44">
        <v>0.4</v>
      </c>
      <c r="E47" s="44">
        <v>1</v>
      </c>
      <c r="F47" s="35"/>
      <c r="G47" s="35"/>
      <c r="H47" s="27">
        <f t="shared" si="4"/>
        <v>9.9999999999999978E-2</v>
      </c>
      <c r="I47" s="5">
        <f t="shared" si="5"/>
        <v>9.9999999999999978E-2</v>
      </c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</row>
    <row r="48" spans="1:24">
      <c r="A48" s="35"/>
      <c r="B48" s="35"/>
      <c r="C48" s="35"/>
      <c r="D48" s="44">
        <v>0.5</v>
      </c>
      <c r="E48" s="44">
        <v>0</v>
      </c>
      <c r="F48" s="35"/>
      <c r="G48" s="35"/>
      <c r="H48" s="27">
        <f t="shared" si="4"/>
        <v>2.5</v>
      </c>
      <c r="I48" s="5">
        <f t="shared" si="5"/>
        <v>0</v>
      </c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</row>
    <row r="49" spans="1:24">
      <c r="A49" s="35"/>
      <c r="B49" s="35"/>
      <c r="C49" s="35"/>
      <c r="D49" s="44"/>
      <c r="E49" s="44"/>
      <c r="F49" s="35"/>
      <c r="G49" s="35"/>
      <c r="H49" s="27">
        <f t="shared" si="4"/>
        <v>0</v>
      </c>
      <c r="I49" s="5">
        <f t="shared" ref="I49:I50" si="6">H49*E49</f>
        <v>0</v>
      </c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</row>
    <row r="50" spans="1:24">
      <c r="A50" s="35"/>
      <c r="B50" s="35"/>
      <c r="C50" s="35"/>
      <c r="D50" s="45"/>
      <c r="E50" s="45"/>
      <c r="F50" s="35"/>
      <c r="G50" s="35"/>
      <c r="H50" s="27">
        <f t="shared" si="4"/>
        <v>0</v>
      </c>
      <c r="I50" s="5">
        <f t="shared" si="6"/>
        <v>0</v>
      </c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</row>
    <row r="51" spans="1:24">
      <c r="A51" s="35"/>
      <c r="B51" s="35"/>
      <c r="C51" s="35"/>
      <c r="D51" s="45"/>
      <c r="E51" s="45"/>
      <c r="F51" s="35"/>
      <c r="G51" s="35"/>
      <c r="H51" s="27">
        <f t="shared" si="4"/>
        <v>0</v>
      </c>
      <c r="I51" s="5">
        <f t="shared" si="5"/>
        <v>0</v>
      </c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</row>
    <row r="52" spans="1:24" hidden="1" outlineLevel="1">
      <c r="A52" s="35"/>
      <c r="B52" s="63" t="s">
        <v>21</v>
      </c>
      <c r="C52" s="64"/>
      <c r="D52" s="169"/>
      <c r="E52" s="169" t="s">
        <v>20</v>
      </c>
      <c r="F52" s="35"/>
      <c r="G52" s="35"/>
      <c r="H52" s="27"/>
      <c r="I52" s="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</row>
    <row r="53" spans="1:24" hidden="1" outlineLevel="1">
      <c r="A53" s="35"/>
      <c r="B53" s="65"/>
      <c r="C53" s="53"/>
      <c r="D53" s="45" t="s">
        <v>22</v>
      </c>
      <c r="E53" s="45"/>
      <c r="F53" s="35"/>
      <c r="G53" s="35"/>
      <c r="H53" s="35"/>
      <c r="I53" s="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</row>
    <row r="54" spans="1:24" hidden="1" outlineLevel="1">
      <c r="A54" s="35"/>
      <c r="B54" s="66"/>
      <c r="C54" s="67"/>
      <c r="D54" s="154" t="s">
        <v>28</v>
      </c>
      <c r="E54" s="46"/>
      <c r="F54" s="35"/>
      <c r="G54" s="152"/>
      <c r="H54" s="153" t="s">
        <v>135</v>
      </c>
      <c r="I54" s="71">
        <f>SUM(I46:I51)</f>
        <v>9.9999999999999978E-2</v>
      </c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</row>
    <row r="55" spans="1:24" hidden="1" outlineLevel="1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</row>
    <row r="56" spans="1:24" ht="79.2" hidden="1" outlineLevel="1">
      <c r="A56" s="35"/>
      <c r="B56" s="35"/>
      <c r="C56" s="35"/>
      <c r="D56" s="35"/>
      <c r="E56" s="35"/>
      <c r="F56" s="35"/>
      <c r="G56" s="35"/>
      <c r="H56" s="244" t="s">
        <v>255</v>
      </c>
      <c r="I56" s="236"/>
      <c r="J56" s="235" t="s">
        <v>261</v>
      </c>
      <c r="K56" s="236"/>
      <c r="L56" s="236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</row>
    <row r="57" spans="1:24" hidden="1" outlineLevel="1">
      <c r="A57" s="35"/>
      <c r="B57" s="35" t="s">
        <v>1</v>
      </c>
      <c r="C57" s="35" t="s">
        <v>3</v>
      </c>
      <c r="D57" s="219">
        <v>3</v>
      </c>
      <c r="E57" s="35"/>
      <c r="F57" s="35"/>
      <c r="G57" s="35"/>
      <c r="H57" s="238" t="s">
        <v>253</v>
      </c>
      <c r="I57" s="239" t="s">
        <v>254</v>
      </c>
      <c r="J57" s="238" t="s">
        <v>260</v>
      </c>
      <c r="K57" s="242" t="s">
        <v>254</v>
      </c>
      <c r="L57" s="236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</row>
    <row r="58" spans="1:24" hidden="1" outlineLevel="1">
      <c r="A58" s="35"/>
      <c r="B58" s="35" t="s">
        <v>51</v>
      </c>
      <c r="C58" s="35" t="s">
        <v>159</v>
      </c>
      <c r="D58" s="35"/>
      <c r="E58" s="35"/>
      <c r="F58" s="62">
        <f>I54*I58*K58</f>
        <v>9.9999999999999978E-2</v>
      </c>
      <c r="G58" s="35"/>
      <c r="H58" s="240" t="str">
        <f>C171</f>
        <v>no</v>
      </c>
      <c r="I58" s="241">
        <f>IF(H58="yes",0,1)</f>
        <v>1</v>
      </c>
      <c r="J58" s="240" t="str">
        <f>Input_for_Test!$E$33</f>
        <v>LP-on</v>
      </c>
      <c r="K58" s="243">
        <f>IF(J58="LP-on",1,0)</f>
        <v>1</v>
      </c>
      <c r="L58" s="236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</row>
    <row r="59" spans="1:24" hidden="1" outlineLevel="1"/>
    <row r="60" spans="1:24" hidden="1" outlineLevel="1"/>
    <row r="61" spans="1:24" ht="14.4" hidden="1" outlineLevel="1">
      <c r="B61" s="151" t="s">
        <v>124</v>
      </c>
      <c r="C61" s="147" t="s">
        <v>116</v>
      </c>
      <c r="D61" s="147" t="s">
        <v>115</v>
      </c>
      <c r="E61" s="147" t="s">
        <v>114</v>
      </c>
      <c r="F61" s="147" t="s">
        <v>113</v>
      </c>
    </row>
    <row r="62" spans="1:24" hidden="1" outlineLevel="1">
      <c r="A62" s="136" t="s">
        <v>3</v>
      </c>
      <c r="B62" s="135" t="s">
        <v>112</v>
      </c>
      <c r="C62" s="205">
        <f t="shared" ref="C62:F62" si="7">C37</f>
        <v>0.45</v>
      </c>
      <c r="D62" s="193">
        <f t="shared" si="7"/>
        <v>0.47142857142857142</v>
      </c>
      <c r="E62" s="193">
        <f t="shared" si="7"/>
        <v>0.4893877551020408</v>
      </c>
      <c r="F62" s="193">
        <f t="shared" si="7"/>
        <v>0.48960155490767732</v>
      </c>
    </row>
    <row r="63" spans="1:24" hidden="1" outlineLevel="1">
      <c r="A63" s="129" t="s">
        <v>121</v>
      </c>
      <c r="B63" s="128">
        <f>$I$54</f>
        <v>9.9999999999999978E-2</v>
      </c>
      <c r="C63" s="192">
        <f t="dataTable" ref="C63:F63" dt2D="0" dtr="1" r1="D57"/>
        <v>4.9999999999999989E-2</v>
      </c>
      <c r="D63" s="192">
        <v>7.1428571428571397E-2</v>
      </c>
      <c r="E63" s="192">
        <v>8.9387755102040778E-2</v>
      </c>
      <c r="F63" s="192">
        <v>8.9601554907677294E-2</v>
      </c>
    </row>
    <row r="64" spans="1:24" hidden="1" outlineLevel="1">
      <c r="A64" s="136" t="s">
        <v>3</v>
      </c>
      <c r="B64" s="135" t="s">
        <v>111</v>
      </c>
      <c r="C64" s="20">
        <f>C38</f>
        <v>0</v>
      </c>
      <c r="D64" s="190">
        <f t="shared" ref="D64:F64" si="8">D38</f>
        <v>0.47142857142857142</v>
      </c>
      <c r="E64" s="193">
        <f t="shared" si="8"/>
        <v>0.4938775510204082</v>
      </c>
      <c r="F64" s="193">
        <f t="shared" si="8"/>
        <v>0.51269193391642376</v>
      </c>
    </row>
    <row r="65" spans="1:8" hidden="1" outlineLevel="1">
      <c r="A65" s="129" t="s">
        <v>121</v>
      </c>
      <c r="B65" s="128">
        <f>$I$54</f>
        <v>9.9999999999999978E-2</v>
      </c>
      <c r="C65" s="126">
        <f t="dataTable" ref="C65:F65" dt2D="0" dtr="1" r1="D57" ca="1"/>
        <v>0</v>
      </c>
      <c r="D65" s="192">
        <v>7.1428571428571397E-2</v>
      </c>
      <c r="E65" s="192">
        <v>9.3877551020408179E-2</v>
      </c>
      <c r="F65" s="192">
        <v>9.9999999999999978E-2</v>
      </c>
    </row>
    <row r="66" spans="1:8" hidden="1" outlineLevel="1">
      <c r="A66" s="136" t="s">
        <v>3</v>
      </c>
      <c r="B66" s="135" t="s">
        <v>110</v>
      </c>
      <c r="C66" s="20">
        <f>C39</f>
        <v>0</v>
      </c>
      <c r="D66" s="20">
        <f t="shared" ref="D66:F66" si="9">D39</f>
        <v>0</v>
      </c>
      <c r="E66" s="190">
        <f t="shared" si="9"/>
        <v>0.57315789473684209</v>
      </c>
      <c r="F66" s="193">
        <f t="shared" si="9"/>
        <v>0.6004511278195489</v>
      </c>
    </row>
    <row r="67" spans="1:8" hidden="1" outlineLevel="1">
      <c r="A67" s="129" t="s">
        <v>121</v>
      </c>
      <c r="B67" s="128">
        <f>$I$54</f>
        <v>9.9999999999999978E-2</v>
      </c>
      <c r="C67" s="126">
        <f t="dataTable" ref="C67:F67" dt2D="0" dtr="1" r1="D57" ca="1"/>
        <v>0</v>
      </c>
      <c r="D67" s="126">
        <v>0</v>
      </c>
      <c r="E67" s="192">
        <v>9.9999999999999978E-2</v>
      </c>
      <c r="F67" s="192">
        <v>9.9999999999999978E-2</v>
      </c>
    </row>
    <row r="68" spans="1:8" hidden="1" outlineLevel="1">
      <c r="A68" s="136" t="s">
        <v>3</v>
      </c>
      <c r="B68" s="135" t="s">
        <v>109</v>
      </c>
      <c r="C68" s="20">
        <f>C40</f>
        <v>0</v>
      </c>
      <c r="D68" s="20">
        <f t="shared" ref="D68:F68" si="10">D40</f>
        <v>0</v>
      </c>
      <c r="E68" s="20">
        <f t="shared" si="10"/>
        <v>0</v>
      </c>
      <c r="F68" s="190">
        <f t="shared" si="10"/>
        <v>0.7046470588235294</v>
      </c>
    </row>
    <row r="69" spans="1:8" hidden="1" outlineLevel="1">
      <c r="A69" s="129" t="s">
        <v>121</v>
      </c>
      <c r="B69" s="128">
        <f>$I$54</f>
        <v>9.9999999999999978E-2</v>
      </c>
      <c r="C69" s="126">
        <f t="dataTable" ref="C69:F69" dt2D="0" dtr="1" r1="D57" ca="1"/>
        <v>0</v>
      </c>
      <c r="D69" s="126">
        <v>0</v>
      </c>
      <c r="E69" s="126">
        <v>0</v>
      </c>
      <c r="F69" s="192">
        <v>9.9999999999999978E-2</v>
      </c>
    </row>
    <row r="70" spans="1:8" hidden="1" outlineLevel="1"/>
    <row r="71" spans="1:8" ht="14.4" hidden="1" outlineLevel="1">
      <c r="A71" s="151"/>
      <c r="B71" s="123" t="s">
        <v>126</v>
      </c>
      <c r="C71" s="147" t="s">
        <v>116</v>
      </c>
      <c r="D71" s="147" t="s">
        <v>115</v>
      </c>
      <c r="E71" s="147" t="s">
        <v>114</v>
      </c>
      <c r="F71" s="147" t="s">
        <v>113</v>
      </c>
    </row>
    <row r="72" spans="1:8" hidden="1" outlineLevel="1">
      <c r="B72" s="122" t="s">
        <v>112</v>
      </c>
      <c r="C72" s="157">
        <f>C63</f>
        <v>4.9999999999999989E-2</v>
      </c>
      <c r="D72" s="25">
        <f t="shared" ref="D72:F72" si="11">D63</f>
        <v>7.1428571428571397E-2</v>
      </c>
      <c r="E72" s="25">
        <f t="shared" si="11"/>
        <v>8.9387755102040778E-2</v>
      </c>
      <c r="F72" s="25">
        <f t="shared" si="11"/>
        <v>8.9601554907677294E-2</v>
      </c>
    </row>
    <row r="73" spans="1:8" hidden="1" outlineLevel="1">
      <c r="B73" s="122" t="s">
        <v>111</v>
      </c>
      <c r="C73" s="25"/>
      <c r="D73" s="124">
        <f t="shared" ref="D73:F73" si="12">D65</f>
        <v>7.1428571428571397E-2</v>
      </c>
      <c r="E73" s="25">
        <f t="shared" si="12"/>
        <v>9.3877551020408179E-2</v>
      </c>
      <c r="F73" s="25">
        <f t="shared" si="12"/>
        <v>9.9999999999999978E-2</v>
      </c>
    </row>
    <row r="74" spans="1:8" hidden="1" outlineLevel="1">
      <c r="B74" s="122" t="s">
        <v>110</v>
      </c>
      <c r="C74" s="25"/>
      <c r="D74" s="25"/>
      <c r="E74" s="124">
        <f t="shared" ref="E74:F74" si="13">E67</f>
        <v>9.9999999999999978E-2</v>
      </c>
      <c r="F74" s="25">
        <f t="shared" si="13"/>
        <v>9.9999999999999978E-2</v>
      </c>
    </row>
    <row r="75" spans="1:8" hidden="1" outlineLevel="1">
      <c r="B75" s="122" t="s">
        <v>109</v>
      </c>
      <c r="C75" s="25"/>
      <c r="D75" s="25"/>
      <c r="E75" s="25"/>
      <c r="F75" s="124">
        <f t="shared" ref="F75" si="14">F69</f>
        <v>9.9999999999999978E-2</v>
      </c>
    </row>
    <row r="76" spans="1:8" hidden="1" outlineLevel="1">
      <c r="C76" s="25"/>
      <c r="D76" s="25"/>
      <c r="E76" s="25"/>
      <c r="F76" s="127"/>
    </row>
    <row r="77" spans="1:8" ht="14.4" hidden="1" outlineLevel="1">
      <c r="B77" s="123" t="s">
        <v>218</v>
      </c>
      <c r="C77" s="147" t="s">
        <v>116</v>
      </c>
      <c r="D77" s="147" t="s">
        <v>115</v>
      </c>
      <c r="E77" s="147" t="s">
        <v>114</v>
      </c>
      <c r="F77" s="147" t="s">
        <v>113</v>
      </c>
      <c r="H77" t="s">
        <v>219</v>
      </c>
    </row>
    <row r="78" spans="1:8" hidden="1" outlineLevel="1">
      <c r="B78" s="122" t="s">
        <v>112</v>
      </c>
      <c r="C78" s="157">
        <f>C37-C72</f>
        <v>0.4</v>
      </c>
      <c r="D78" s="25">
        <f>D37-D72</f>
        <v>0.4</v>
      </c>
      <c r="E78" s="25">
        <f>E37-E72</f>
        <v>0.4</v>
      </c>
      <c r="F78" s="25">
        <f>F37-F72</f>
        <v>0.4</v>
      </c>
      <c r="H78" t="s">
        <v>221</v>
      </c>
    </row>
    <row r="79" spans="1:8" hidden="1" outlineLevel="1">
      <c r="B79" s="122" t="s">
        <v>111</v>
      </c>
      <c r="C79" s="25"/>
      <c r="D79" s="124">
        <f>D38-D73</f>
        <v>0.4</v>
      </c>
      <c r="E79" s="25">
        <f>E38-E73</f>
        <v>0.4</v>
      </c>
      <c r="F79" s="25">
        <f>F38-F73</f>
        <v>0.41269193391642378</v>
      </c>
      <c r="H79" t="s">
        <v>222</v>
      </c>
    </row>
    <row r="80" spans="1:8" hidden="1" outlineLevel="1">
      <c r="B80" s="122" t="s">
        <v>110</v>
      </c>
      <c r="C80" s="25"/>
      <c r="D80" s="25"/>
      <c r="E80" s="124">
        <f>E39-E74</f>
        <v>0.47315789473684211</v>
      </c>
      <c r="F80" s="25">
        <f>F39-F74</f>
        <v>0.50045112781954892</v>
      </c>
      <c r="H80" t="s">
        <v>225</v>
      </c>
    </row>
    <row r="81" spans="1:14" hidden="1" outlineLevel="1">
      <c r="A81" t="s">
        <v>223</v>
      </c>
      <c r="B81" s="122" t="s">
        <v>109</v>
      </c>
      <c r="C81" s="25"/>
      <c r="D81" s="25"/>
      <c r="E81" s="25"/>
      <c r="F81" s="124">
        <f>F40-F75</f>
        <v>0.60464705882352943</v>
      </c>
      <c r="H81" t="s">
        <v>224</v>
      </c>
    </row>
    <row r="82" spans="1:14" hidden="1" outlineLevel="1">
      <c r="B82"/>
    </row>
    <row r="83" spans="1:14" hidden="1" outlineLevel="1">
      <c r="B83"/>
    </row>
    <row r="84" spans="1:14" s="149" customFormat="1" ht="15.6" hidden="1" outlineLevel="1">
      <c r="B84" s="150" t="s">
        <v>177</v>
      </c>
    </row>
    <row r="85" spans="1:14" s="176" customFormat="1" ht="15.6" collapsed="1">
      <c r="B85" s="177"/>
    </row>
    <row r="86" spans="1:14" s="176" customFormat="1" ht="15.6">
      <c r="B86" s="150" t="s">
        <v>177</v>
      </c>
      <c r="C86" s="17">
        <v>0.43</v>
      </c>
    </row>
    <row r="87" spans="1:14" s="176" customFormat="1" ht="15.6">
      <c r="B87" s="177"/>
    </row>
    <row r="88" spans="1:14" ht="14.4" hidden="1" outlineLevel="1">
      <c r="B88" s="123" t="s">
        <v>192</v>
      </c>
      <c r="C88" s="147" t="s">
        <v>116</v>
      </c>
      <c r="D88" s="147" t="s">
        <v>115</v>
      </c>
      <c r="E88" s="147" t="s">
        <v>114</v>
      </c>
      <c r="F88" s="147" t="s">
        <v>113</v>
      </c>
      <c r="H88" s="170"/>
    </row>
    <row r="89" spans="1:14" hidden="1" outlineLevel="1">
      <c r="B89" s="122" t="s">
        <v>112</v>
      </c>
      <c r="C89" s="159">
        <f t="shared" ref="C89:F92" si="15">$C$86*$C$22*C16</f>
        <v>62.78</v>
      </c>
      <c r="D89" s="160">
        <f t="shared" si="15"/>
        <v>65.918999999999997</v>
      </c>
      <c r="E89" s="160">
        <f t="shared" si="15"/>
        <v>69.214950000000002</v>
      </c>
      <c r="F89" s="160">
        <f t="shared" si="15"/>
        <v>72.675697499999998</v>
      </c>
      <c r="H89" s="32" t="s">
        <v>183</v>
      </c>
    </row>
    <row r="90" spans="1:14" hidden="1" outlineLevel="1">
      <c r="B90" s="122" t="s">
        <v>111</v>
      </c>
      <c r="C90" s="158">
        <f t="shared" si="15"/>
        <v>0</v>
      </c>
      <c r="D90" s="161">
        <f t="shared" si="15"/>
        <v>65.918999999999997</v>
      </c>
      <c r="E90" s="160">
        <f t="shared" si="15"/>
        <v>69.214950000000002</v>
      </c>
      <c r="F90" s="160">
        <f t="shared" si="15"/>
        <v>72.675697499999998</v>
      </c>
    </row>
    <row r="91" spans="1:14" hidden="1" outlineLevel="1">
      <c r="B91" s="122" t="s">
        <v>110</v>
      </c>
      <c r="C91" s="158">
        <f t="shared" si="15"/>
        <v>0</v>
      </c>
      <c r="D91" s="158">
        <f t="shared" si="15"/>
        <v>0</v>
      </c>
      <c r="E91" s="161">
        <f t="shared" si="15"/>
        <v>59.641000000000005</v>
      </c>
      <c r="F91" s="160">
        <f t="shared" si="15"/>
        <v>62.623049999999999</v>
      </c>
    </row>
    <row r="92" spans="1:14" hidden="1" outlineLevel="1">
      <c r="B92" s="122" t="s">
        <v>109</v>
      </c>
      <c r="C92" s="158">
        <f t="shared" si="15"/>
        <v>0</v>
      </c>
      <c r="D92" s="158">
        <f t="shared" si="15"/>
        <v>0</v>
      </c>
      <c r="E92" s="158">
        <f t="shared" si="15"/>
        <v>0</v>
      </c>
      <c r="F92" s="161">
        <f t="shared" si="15"/>
        <v>53.363</v>
      </c>
    </row>
    <row r="93" spans="1:14" s="176" customFormat="1" ht="15.6" hidden="1" outlineLevel="1">
      <c r="B93" s="177"/>
    </row>
    <row r="94" spans="1:14" hidden="1" outlineLevel="1"/>
    <row r="95" spans="1:14" s="149" customFormat="1" ht="15.6" collapsed="1">
      <c r="B95" s="150" t="s">
        <v>92</v>
      </c>
    </row>
    <row r="96" spans="1:14" hidden="1" outlineLevel="1">
      <c r="A96" s="143"/>
      <c r="B96" s="42"/>
      <c r="C96" s="42"/>
      <c r="D96" s="42" t="s">
        <v>118</v>
      </c>
      <c r="E96" s="42" t="s">
        <v>118</v>
      </c>
      <c r="F96" s="42" t="s">
        <v>132</v>
      </c>
      <c r="G96" s="35"/>
      <c r="H96" s="35"/>
      <c r="I96" s="35"/>
      <c r="J96" s="35"/>
      <c r="K96" s="35"/>
      <c r="L96" s="35"/>
      <c r="M96" s="35"/>
      <c r="N96" s="35"/>
    </row>
    <row r="97" spans="1:51" hidden="1" outlineLevel="1">
      <c r="A97" s="141"/>
      <c r="B97" s="35"/>
      <c r="C97" s="68" t="s">
        <v>131</v>
      </c>
      <c r="D97" s="43" t="s">
        <v>13</v>
      </c>
      <c r="E97" s="43" t="s">
        <v>41</v>
      </c>
      <c r="F97" s="2"/>
      <c r="G97" s="35"/>
      <c r="H97" s="35"/>
      <c r="I97" s="35"/>
      <c r="J97" s="35"/>
      <c r="K97" s="35"/>
      <c r="L97" s="35"/>
      <c r="M97" s="35"/>
      <c r="N97" s="35"/>
    </row>
    <row r="98" spans="1:51" hidden="1" outlineLevel="1">
      <c r="A98" s="141"/>
      <c r="B98" s="35" t="s">
        <v>128</v>
      </c>
      <c r="C98" s="35" t="str">
        <f>IF(LossRatio&lt;MIN(D100:D103),"X","")</f>
        <v/>
      </c>
      <c r="D98" s="49"/>
      <c r="E98" s="49"/>
      <c r="F98" s="48">
        <f>VLOOKUP(MIN(D100:D103),D100:E103,2,FALSE)</f>
        <v>0.9</v>
      </c>
      <c r="G98" s="35"/>
      <c r="H98" s="35"/>
      <c r="I98" s="35"/>
      <c r="J98" s="35"/>
      <c r="K98" s="35"/>
      <c r="L98" s="35"/>
      <c r="M98" s="35"/>
      <c r="N98" s="35"/>
    </row>
    <row r="99" spans="1:51" hidden="1" outlineLevel="1">
      <c r="A99" s="141"/>
      <c r="B99" s="35" t="s">
        <v>129</v>
      </c>
      <c r="C99" s="35" t="str">
        <f>IF(LossRatio&gt;=MAX(D100:D103),"X","")</f>
        <v/>
      </c>
      <c r="D99" s="49"/>
      <c r="E99" s="49"/>
      <c r="F99" s="48">
        <f>VLOOKUP(MAX(D100:D103),D100:E103,2,FALSE)</f>
        <v>0.01</v>
      </c>
      <c r="G99" s="35"/>
      <c r="H99" s="35"/>
      <c r="I99" s="35"/>
      <c r="J99" s="35"/>
      <c r="K99" s="35"/>
      <c r="L99" s="35"/>
      <c r="M99" s="35"/>
      <c r="N99" s="35"/>
    </row>
    <row r="100" spans="1:51" collapsed="1">
      <c r="A100" s="141"/>
      <c r="B100" s="63" t="s">
        <v>130</v>
      </c>
      <c r="C100" s="64" t="str">
        <f>IF(AND(D97&lt;=LossRatio,LossRatio&lt;D100),"X","")</f>
        <v/>
      </c>
      <c r="D100" s="51">
        <v>0</v>
      </c>
      <c r="E100" s="51">
        <v>0.9</v>
      </c>
      <c r="F100" s="140"/>
      <c r="G100" s="35"/>
      <c r="H100" s="35"/>
      <c r="I100" s="35" t="s">
        <v>119</v>
      </c>
      <c r="J100" s="35"/>
      <c r="K100" s="35"/>
      <c r="L100" s="35"/>
      <c r="M100" s="35"/>
      <c r="N100" s="35"/>
    </row>
    <row r="101" spans="1:51">
      <c r="A101" s="141"/>
      <c r="B101" s="65"/>
      <c r="C101" s="53" t="str">
        <f>IF(AND(D100&lt;=LossRatio,LossRatio&lt;D101),"X","")</f>
        <v/>
      </c>
      <c r="D101" s="50">
        <v>0.5</v>
      </c>
      <c r="E101" s="50">
        <v>0.35</v>
      </c>
      <c r="F101" s="139">
        <f>TREND(E100:E101,D100:D101,LossRatio,TRUE)</f>
        <v>0.13</v>
      </c>
      <c r="G101" s="35"/>
      <c r="H101" s="35"/>
      <c r="I101" s="63"/>
      <c r="J101" s="134">
        <v>0</v>
      </c>
      <c r="K101" s="134">
        <f>J101+2.5%</f>
        <v>2.5000000000000001E-2</v>
      </c>
      <c r="L101" s="134">
        <f t="shared" ref="L101:AY101" si="16">K101+2.5%</f>
        <v>0.05</v>
      </c>
      <c r="M101" s="134">
        <f t="shared" si="16"/>
        <v>7.5000000000000011E-2</v>
      </c>
      <c r="N101" s="134">
        <f t="shared" si="16"/>
        <v>0.1</v>
      </c>
      <c r="O101" s="144">
        <f t="shared" si="16"/>
        <v>0.125</v>
      </c>
      <c r="P101" s="144">
        <f t="shared" si="16"/>
        <v>0.15</v>
      </c>
      <c r="Q101" s="144">
        <f t="shared" si="16"/>
        <v>0.17499999999999999</v>
      </c>
      <c r="R101" s="144">
        <f t="shared" si="16"/>
        <v>0.19999999999999998</v>
      </c>
      <c r="S101" s="144">
        <f t="shared" si="16"/>
        <v>0.22499999999999998</v>
      </c>
      <c r="T101" s="144">
        <f t="shared" si="16"/>
        <v>0.24999999999999997</v>
      </c>
      <c r="U101" s="144">
        <f t="shared" si="16"/>
        <v>0.27499999999999997</v>
      </c>
      <c r="V101" s="144">
        <f t="shared" si="16"/>
        <v>0.3</v>
      </c>
      <c r="W101" s="144">
        <f t="shared" si="16"/>
        <v>0.32500000000000001</v>
      </c>
      <c r="X101" s="144">
        <f t="shared" si="16"/>
        <v>0.35000000000000003</v>
      </c>
      <c r="Y101" s="144">
        <f t="shared" si="16"/>
        <v>0.37500000000000006</v>
      </c>
      <c r="Z101" s="144">
        <f t="shared" si="16"/>
        <v>0.40000000000000008</v>
      </c>
      <c r="AA101" s="144">
        <f t="shared" si="16"/>
        <v>0.4250000000000001</v>
      </c>
      <c r="AB101" s="144">
        <f t="shared" si="16"/>
        <v>0.45000000000000012</v>
      </c>
      <c r="AC101" s="144">
        <f t="shared" si="16"/>
        <v>0.47500000000000014</v>
      </c>
      <c r="AD101" s="144">
        <f t="shared" si="16"/>
        <v>0.50000000000000011</v>
      </c>
      <c r="AE101" s="144">
        <f t="shared" si="16"/>
        <v>0.52500000000000013</v>
      </c>
      <c r="AF101" s="144">
        <f t="shared" si="16"/>
        <v>0.55000000000000016</v>
      </c>
      <c r="AG101" s="144">
        <f t="shared" si="16"/>
        <v>0.57500000000000018</v>
      </c>
      <c r="AH101" s="144">
        <f t="shared" si="16"/>
        <v>0.6000000000000002</v>
      </c>
      <c r="AI101" s="144">
        <f t="shared" si="16"/>
        <v>0.62500000000000022</v>
      </c>
      <c r="AJ101" s="144">
        <f t="shared" si="16"/>
        <v>0.65000000000000024</v>
      </c>
      <c r="AK101" s="144">
        <f t="shared" si="16"/>
        <v>0.67500000000000027</v>
      </c>
      <c r="AL101" s="144">
        <f t="shared" si="16"/>
        <v>0.70000000000000029</v>
      </c>
      <c r="AM101" s="144">
        <f t="shared" si="16"/>
        <v>0.72500000000000031</v>
      </c>
      <c r="AN101" s="144">
        <f t="shared" si="16"/>
        <v>0.75000000000000033</v>
      </c>
      <c r="AO101" s="144">
        <f t="shared" si="16"/>
        <v>0.77500000000000036</v>
      </c>
      <c r="AP101" s="144">
        <f t="shared" si="16"/>
        <v>0.80000000000000038</v>
      </c>
      <c r="AQ101" s="144">
        <f t="shared" si="16"/>
        <v>0.8250000000000004</v>
      </c>
      <c r="AR101" s="144">
        <f t="shared" si="16"/>
        <v>0.85000000000000042</v>
      </c>
      <c r="AS101" s="144">
        <f t="shared" si="16"/>
        <v>0.87500000000000044</v>
      </c>
      <c r="AT101" s="144">
        <f t="shared" si="16"/>
        <v>0.90000000000000047</v>
      </c>
      <c r="AU101" s="144">
        <f t="shared" si="16"/>
        <v>0.92500000000000049</v>
      </c>
      <c r="AV101" s="144">
        <f t="shared" si="16"/>
        <v>0.95000000000000051</v>
      </c>
      <c r="AW101" s="144">
        <f t="shared" si="16"/>
        <v>0.97500000000000053</v>
      </c>
      <c r="AX101" s="144">
        <f t="shared" si="16"/>
        <v>1.0000000000000004</v>
      </c>
      <c r="AY101" s="146">
        <f t="shared" si="16"/>
        <v>1.0250000000000004</v>
      </c>
    </row>
    <row r="102" spans="1:51">
      <c r="A102" s="141"/>
      <c r="B102" s="65"/>
      <c r="C102" s="53" t="str">
        <f>IF(AND(D101&lt;=LossRatio,LossRatio&lt;D102),"X","")</f>
        <v/>
      </c>
      <c r="D102" s="50">
        <v>0.6</v>
      </c>
      <c r="E102" s="50">
        <v>0.35</v>
      </c>
      <c r="F102" s="139">
        <f>TREND(E101:E102,D101:D102,LossRatio,TRUE)</f>
        <v>0.35</v>
      </c>
      <c r="G102" s="35"/>
      <c r="H102" s="35"/>
      <c r="I102" s="155">
        <f>F106</f>
        <v>0.17999999999999994</v>
      </c>
      <c r="J102" s="126">
        <f t="dataTable" ref="J102:AY102" dt2D="0" dtr="1" r1="D105"/>
        <v>0.9</v>
      </c>
      <c r="K102" s="126">
        <v>0.87250000000000005</v>
      </c>
      <c r="L102" s="126">
        <v>0.84499999999999997</v>
      </c>
      <c r="M102" s="126">
        <v>0.8175</v>
      </c>
      <c r="N102" s="126">
        <v>0.79</v>
      </c>
      <c r="O102" s="127">
        <v>0.76249999999999996</v>
      </c>
      <c r="P102" s="127">
        <v>0.73499999999999999</v>
      </c>
      <c r="Q102" s="127">
        <v>0.70750000000000002</v>
      </c>
      <c r="R102" s="127">
        <v>0.68</v>
      </c>
      <c r="S102" s="127">
        <v>0.65250000000000008</v>
      </c>
      <c r="T102" s="127">
        <v>0.625</v>
      </c>
      <c r="U102" s="127">
        <v>0.59750000000000003</v>
      </c>
      <c r="V102" s="127">
        <v>0.57000000000000006</v>
      </c>
      <c r="W102" s="127">
        <v>0.54249999999999998</v>
      </c>
      <c r="X102" s="127">
        <v>0.5149999999999999</v>
      </c>
      <c r="Y102" s="127">
        <v>0.48749999999999993</v>
      </c>
      <c r="Z102" s="127">
        <v>0.45999999999999991</v>
      </c>
      <c r="AA102" s="127">
        <v>0.43249999999999988</v>
      </c>
      <c r="AB102" s="127">
        <v>0.40499999999999986</v>
      </c>
      <c r="AC102" s="127">
        <v>0.37749999999999984</v>
      </c>
      <c r="AD102" s="127">
        <v>0.35</v>
      </c>
      <c r="AE102" s="127">
        <v>0.35</v>
      </c>
      <c r="AF102" s="127">
        <v>0.35</v>
      </c>
      <c r="AG102" s="127">
        <v>0.35</v>
      </c>
      <c r="AH102" s="127">
        <v>0.34999999999999942</v>
      </c>
      <c r="AI102" s="127">
        <v>0.30749999999999944</v>
      </c>
      <c r="AJ102" s="127">
        <v>0.26499999999999946</v>
      </c>
      <c r="AK102" s="127">
        <v>0.22249999999999948</v>
      </c>
      <c r="AL102" s="127">
        <v>0.17999999999999949</v>
      </c>
      <c r="AM102" s="127">
        <v>0.13749999999999951</v>
      </c>
      <c r="AN102" s="127">
        <v>9.4999999999999307E-2</v>
      </c>
      <c r="AO102" s="127">
        <v>5.2499999999999325E-2</v>
      </c>
      <c r="AP102" s="127">
        <v>0.01</v>
      </c>
      <c r="AQ102" s="127">
        <v>0.01</v>
      </c>
      <c r="AR102" s="127">
        <v>0.01</v>
      </c>
      <c r="AS102" s="127">
        <v>0.01</v>
      </c>
      <c r="AT102" s="127">
        <v>0.01</v>
      </c>
      <c r="AU102" s="127">
        <v>0.01</v>
      </c>
      <c r="AV102" s="127">
        <v>0.01</v>
      </c>
      <c r="AW102" s="127">
        <v>0.01</v>
      </c>
      <c r="AX102" s="127">
        <v>0.01</v>
      </c>
      <c r="AY102" s="145">
        <v>0.01</v>
      </c>
    </row>
    <row r="103" spans="1:51">
      <c r="A103" s="141"/>
      <c r="B103" s="66"/>
      <c r="C103" s="67" t="str">
        <f>IF(AND(D102&lt;=LossRatio,LossRatio&lt;D103),"X","")</f>
        <v>X</v>
      </c>
      <c r="D103" s="50">
        <v>0.8</v>
      </c>
      <c r="E103" s="50">
        <v>0.01</v>
      </c>
      <c r="F103" s="138">
        <f>TREND(E102:E103,D102:D103,LossRatio,TRUE)</f>
        <v>0.17999999999999994</v>
      </c>
      <c r="G103" s="35"/>
      <c r="H103" s="35"/>
      <c r="I103" s="35"/>
      <c r="J103" s="35"/>
      <c r="K103" s="35"/>
      <c r="L103" s="35"/>
      <c r="M103" s="35"/>
      <c r="N103" s="35"/>
    </row>
    <row r="104" spans="1:51" hidden="1" outlineLevel="1">
      <c r="A104" s="142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</row>
    <row r="105" spans="1:51" hidden="1" outlineLevel="1">
      <c r="A105" s="142"/>
      <c r="B105" s="35" t="s">
        <v>1</v>
      </c>
      <c r="C105" s="35" t="s">
        <v>3</v>
      </c>
      <c r="D105" s="220">
        <v>0.7</v>
      </c>
      <c r="E105" s="35"/>
      <c r="F105" s="35"/>
      <c r="G105" s="35"/>
      <c r="H105" s="35"/>
      <c r="I105" s="35"/>
      <c r="J105" s="35"/>
      <c r="K105" s="35"/>
      <c r="L105" s="35"/>
      <c r="M105" s="35"/>
      <c r="N105" s="35"/>
    </row>
    <row r="106" spans="1:51" hidden="1" outlineLevel="1">
      <c r="A106" s="142"/>
      <c r="B106" s="35" t="s">
        <v>51</v>
      </c>
      <c r="C106" s="35" t="s">
        <v>41</v>
      </c>
      <c r="D106" s="35"/>
      <c r="E106" s="35"/>
      <c r="F106" s="62">
        <f>VLOOKUP("X",C98:F103,4,FALSE)</f>
        <v>0.17999999999999994</v>
      </c>
      <c r="G106" s="35"/>
      <c r="H106" s="35"/>
      <c r="I106" s="35"/>
      <c r="J106" s="35"/>
      <c r="K106" s="35"/>
      <c r="L106" s="35"/>
      <c r="M106" s="35"/>
      <c r="N106" s="35"/>
    </row>
    <row r="107" spans="1:51" hidden="1" outlineLevel="1">
      <c r="A107" s="141"/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</row>
    <row r="108" spans="1:51" hidden="1" outlineLevel="1">
      <c r="A108" s="141"/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</row>
    <row r="109" spans="1:51" hidden="1" outlineLevel="1">
      <c r="A109" s="141"/>
      <c r="B109" s="35"/>
      <c r="C109" s="163" t="s">
        <v>133</v>
      </c>
      <c r="D109" s="164"/>
      <c r="E109" s="165"/>
      <c r="F109" s="35"/>
      <c r="G109" s="35"/>
      <c r="H109" s="35"/>
      <c r="I109" s="35"/>
      <c r="J109" s="35"/>
      <c r="K109" s="35"/>
      <c r="L109" s="35"/>
      <c r="M109" s="35"/>
      <c r="N109" s="35"/>
    </row>
    <row r="110" spans="1:51" hidden="1" outlineLevel="1">
      <c r="A110" s="141"/>
      <c r="B110" s="35"/>
      <c r="C110" s="65" t="s">
        <v>49</v>
      </c>
      <c r="D110" s="54" t="s">
        <v>22</v>
      </c>
      <c r="E110" s="166"/>
      <c r="F110" s="35"/>
      <c r="G110" s="35"/>
      <c r="H110" s="35"/>
      <c r="I110" s="35"/>
      <c r="J110" s="35"/>
      <c r="K110" s="35"/>
      <c r="L110" s="35"/>
      <c r="M110" s="35"/>
      <c r="N110" s="35"/>
    </row>
    <row r="111" spans="1:51" ht="52.8" hidden="1" outlineLevel="1">
      <c r="A111" s="141"/>
      <c r="B111" s="35"/>
      <c r="C111" s="65" t="s">
        <v>49</v>
      </c>
      <c r="D111" s="55" t="s">
        <v>193</v>
      </c>
      <c r="E111" s="166"/>
      <c r="F111" s="35"/>
      <c r="G111" s="35"/>
      <c r="H111" s="35"/>
      <c r="I111" s="35"/>
      <c r="J111" s="35"/>
      <c r="K111" s="35"/>
      <c r="L111" s="35"/>
      <c r="M111" s="35"/>
      <c r="N111" s="35"/>
    </row>
    <row r="112" spans="1:51" ht="26.4" hidden="1" outlineLevel="1">
      <c r="A112" s="141"/>
      <c r="B112" s="35"/>
      <c r="C112" s="65" t="s">
        <v>50</v>
      </c>
      <c r="D112" s="53"/>
      <c r="E112" s="55" t="s">
        <v>44</v>
      </c>
      <c r="F112" s="35"/>
      <c r="G112" s="35"/>
      <c r="H112" s="35"/>
      <c r="I112" s="35"/>
      <c r="J112" s="35"/>
      <c r="K112" s="35"/>
      <c r="L112" s="35"/>
      <c r="M112" s="35"/>
      <c r="N112" s="35"/>
    </row>
    <row r="113" spans="1:14" hidden="1" outlineLevel="1">
      <c r="A113" s="141"/>
      <c r="B113" s="35"/>
      <c r="C113" s="66" t="s">
        <v>50</v>
      </c>
      <c r="D113" s="67"/>
      <c r="E113" s="55" t="s">
        <v>48</v>
      </c>
      <c r="F113" s="35"/>
      <c r="G113" s="35"/>
      <c r="H113" s="35"/>
      <c r="I113" s="35"/>
      <c r="J113" s="35"/>
      <c r="K113" s="35"/>
      <c r="L113" s="35"/>
      <c r="M113" s="35"/>
      <c r="N113" s="35"/>
    </row>
    <row r="114" spans="1:14" hidden="1" outlineLevel="1">
      <c r="B114"/>
    </row>
    <row r="115" spans="1:14" hidden="1" outlineLevel="1">
      <c r="B115"/>
    </row>
    <row r="116" spans="1:14" ht="14.4" hidden="1" outlineLevel="1">
      <c r="B116" s="151" t="s">
        <v>134</v>
      </c>
      <c r="C116" s="82" t="s">
        <v>116</v>
      </c>
      <c r="D116" s="82" t="s">
        <v>115</v>
      </c>
      <c r="E116" s="82" t="s">
        <v>114</v>
      </c>
      <c r="F116" s="82" t="s">
        <v>113</v>
      </c>
    </row>
    <row r="117" spans="1:14" s="26" customFormat="1" hidden="1" outlineLevel="1">
      <c r="A117" s="136" t="s">
        <v>3</v>
      </c>
      <c r="B117" s="135" t="s">
        <v>112</v>
      </c>
      <c r="C117" s="190">
        <f>C78</f>
        <v>0.4</v>
      </c>
      <c r="D117" s="191">
        <f t="shared" ref="D117:F117" si="17">D78</f>
        <v>0.4</v>
      </c>
      <c r="E117" s="191">
        <f t="shared" si="17"/>
        <v>0.4</v>
      </c>
      <c r="F117" s="191">
        <f t="shared" si="17"/>
        <v>0.4</v>
      </c>
    </row>
    <row r="118" spans="1:14" s="125" customFormat="1" hidden="1" outlineLevel="1">
      <c r="A118" s="129" t="s">
        <v>41</v>
      </c>
      <c r="B118" s="128">
        <f>$F$106</f>
        <v>0.17999999999999994</v>
      </c>
      <c r="C118" s="192">
        <f t="dataTable" ref="C118:F118" dt2D="0" dtr="1" r1="D105" ca="1"/>
        <v>0.45999999999999996</v>
      </c>
      <c r="D118" s="192">
        <v>0.45999999999999996</v>
      </c>
      <c r="E118" s="192">
        <v>0.45999999999999996</v>
      </c>
      <c r="F118" s="192">
        <v>0.45999999999999996</v>
      </c>
    </row>
    <row r="119" spans="1:14" s="130" customFormat="1" hidden="1" outlineLevel="1">
      <c r="A119" s="133" t="s">
        <v>3</v>
      </c>
      <c r="B119" s="132" t="s">
        <v>111</v>
      </c>
      <c r="C119" s="20">
        <f t="shared" ref="C119:F119" si="18">C79</f>
        <v>0</v>
      </c>
      <c r="D119" s="190">
        <f t="shared" si="18"/>
        <v>0.4</v>
      </c>
      <c r="E119" s="193">
        <f t="shared" si="18"/>
        <v>0.4</v>
      </c>
      <c r="F119" s="193">
        <f t="shared" si="18"/>
        <v>0.41269193391642378</v>
      </c>
    </row>
    <row r="120" spans="1:14" s="125" customFormat="1" hidden="1" outlineLevel="1">
      <c r="A120" s="129" t="s">
        <v>41</v>
      </c>
      <c r="B120" s="128">
        <f>$F$106</f>
        <v>0.17999999999999994</v>
      </c>
      <c r="C120" s="126">
        <f t="dataTable" ref="C120:F120" dt2D="0" dtr="1" r1="D105" ca="1"/>
        <v>0.9</v>
      </c>
      <c r="D120" s="192">
        <v>0.45999999999999996</v>
      </c>
      <c r="E120" s="192">
        <v>0.45999999999999996</v>
      </c>
      <c r="F120" s="192">
        <v>0.44603887269193382</v>
      </c>
    </row>
    <row r="121" spans="1:14" s="130" customFormat="1" hidden="1" outlineLevel="1">
      <c r="A121" s="133" t="s">
        <v>3</v>
      </c>
      <c r="B121" s="132" t="s">
        <v>110</v>
      </c>
      <c r="C121" s="20">
        <f t="shared" ref="C121:F121" si="19">C80</f>
        <v>0</v>
      </c>
      <c r="D121" s="20">
        <f t="shared" si="19"/>
        <v>0</v>
      </c>
      <c r="E121" s="190">
        <f t="shared" si="19"/>
        <v>0.47315789473684211</v>
      </c>
      <c r="F121" s="193">
        <f t="shared" si="19"/>
        <v>0.50045112781954892</v>
      </c>
    </row>
    <row r="122" spans="1:14" s="125" customFormat="1" hidden="1" outlineLevel="1">
      <c r="A122" s="129" t="s">
        <v>41</v>
      </c>
      <c r="B122" s="128">
        <f>$F$106</f>
        <v>0.17999999999999994</v>
      </c>
      <c r="C122" s="126">
        <f t="dataTable" ref="C122:F122" dt2D="0" dtr="1" r1="D105" ca="1"/>
        <v>0.9</v>
      </c>
      <c r="D122" s="126">
        <v>0.9</v>
      </c>
      <c r="E122" s="192">
        <v>0.37952631578947371</v>
      </c>
      <c r="F122" s="192">
        <v>0.35</v>
      </c>
    </row>
    <row r="123" spans="1:14" s="130" customFormat="1" hidden="1" outlineLevel="1">
      <c r="A123" s="133" t="s">
        <v>3</v>
      </c>
      <c r="B123" s="132" t="s">
        <v>109</v>
      </c>
      <c r="C123" s="20">
        <f t="shared" ref="C123:F123" si="20">C81</f>
        <v>0</v>
      </c>
      <c r="D123" s="20">
        <f t="shared" si="20"/>
        <v>0</v>
      </c>
      <c r="E123" s="20">
        <f t="shared" si="20"/>
        <v>0</v>
      </c>
      <c r="F123" s="190">
        <f t="shared" si="20"/>
        <v>0.60464705882352943</v>
      </c>
    </row>
    <row r="124" spans="1:14" s="125" customFormat="1" hidden="1" outlineLevel="1">
      <c r="A124" s="129" t="s">
        <v>41</v>
      </c>
      <c r="B124" s="128">
        <f>$F$106</f>
        <v>0.17999999999999994</v>
      </c>
      <c r="C124" s="126">
        <f t="dataTable" ref="C124:F124" dt2D="0" dtr="1" r1="D105" ca="1"/>
        <v>0.9</v>
      </c>
      <c r="D124" s="126">
        <v>0.9</v>
      </c>
      <c r="E124" s="126">
        <v>0.9</v>
      </c>
      <c r="F124" s="192">
        <v>0.34209999999999985</v>
      </c>
    </row>
    <row r="125" spans="1:14" hidden="1" outlineLevel="1"/>
    <row r="126" spans="1:14" ht="14.4" hidden="1" outlineLevel="1">
      <c r="B126" s="123" t="s">
        <v>181</v>
      </c>
      <c r="C126" s="147" t="s">
        <v>116</v>
      </c>
      <c r="D126" s="147" t="s">
        <v>115</v>
      </c>
      <c r="E126" s="147" t="s">
        <v>114</v>
      </c>
      <c r="F126" s="147" t="s">
        <v>113</v>
      </c>
      <c r="H126" s="170"/>
    </row>
    <row r="127" spans="1:14" hidden="1" outlineLevel="1">
      <c r="B127" s="122" t="s">
        <v>112</v>
      </c>
      <c r="C127" s="157">
        <f>C118</f>
        <v>0.45999999999999996</v>
      </c>
      <c r="D127" s="25">
        <f>D118</f>
        <v>0.45999999999999996</v>
      </c>
      <c r="E127" s="25">
        <f>E118</f>
        <v>0.45999999999999996</v>
      </c>
      <c r="F127" s="25">
        <f>F118</f>
        <v>0.45999999999999996</v>
      </c>
      <c r="H127" s="32"/>
    </row>
    <row r="128" spans="1:14" hidden="1" outlineLevel="1">
      <c r="B128" s="122" t="s">
        <v>111</v>
      </c>
      <c r="C128" s="25"/>
      <c r="D128" s="124">
        <f>D120</f>
        <v>0.45999999999999996</v>
      </c>
      <c r="E128" s="25">
        <f>E120</f>
        <v>0.45999999999999996</v>
      </c>
      <c r="F128" s="25">
        <f>F120</f>
        <v>0.44603887269193382</v>
      </c>
    </row>
    <row r="129" spans="2:8" hidden="1" outlineLevel="1">
      <c r="B129" s="122" t="s">
        <v>110</v>
      </c>
      <c r="C129" s="25"/>
      <c r="D129" s="25"/>
      <c r="E129" s="124">
        <f>E122</f>
        <v>0.37952631578947371</v>
      </c>
      <c r="F129" s="25">
        <f>F122</f>
        <v>0.35</v>
      </c>
    </row>
    <row r="130" spans="2:8" hidden="1" outlineLevel="1">
      <c r="B130" s="122" t="s">
        <v>109</v>
      </c>
      <c r="C130" s="25"/>
      <c r="D130" s="25"/>
      <c r="E130" s="25"/>
      <c r="F130" s="124">
        <f>F124</f>
        <v>0.34209999999999985</v>
      </c>
    </row>
    <row r="131" spans="2:8" hidden="1" outlineLevel="1">
      <c r="C131" s="25"/>
      <c r="D131" s="25"/>
      <c r="E131" s="25"/>
      <c r="F131" s="131"/>
    </row>
    <row r="132" spans="2:8" hidden="1" outlineLevel="1">
      <c r="B132" s="175"/>
      <c r="C132" s="211"/>
      <c r="D132" s="211"/>
      <c r="E132" s="211"/>
      <c r="F132" s="193"/>
    </row>
    <row r="133" spans="2:8" hidden="1" outlineLevel="1">
      <c r="B133" s="174" t="s">
        <v>244</v>
      </c>
      <c r="C133" s="212"/>
      <c r="D133" s="212" t="s">
        <v>245</v>
      </c>
      <c r="E133" s="192">
        <f>F99</f>
        <v>0.01</v>
      </c>
      <c r="F133" s="193"/>
    </row>
    <row r="134" spans="2:8" hidden="1" outlineLevel="1">
      <c r="B134" s="175"/>
      <c r="C134" s="211"/>
      <c r="D134" s="211"/>
      <c r="E134" s="211"/>
      <c r="F134" s="193"/>
    </row>
    <row r="135" spans="2:8" hidden="1" outlineLevel="1">
      <c r="B135" s="175"/>
      <c r="C135" s="211"/>
      <c r="D135" s="211"/>
      <c r="E135" s="211"/>
      <c r="F135" s="193"/>
    </row>
    <row r="136" spans="2:8" ht="14.4" hidden="1" outlineLevel="1">
      <c r="B136" s="174" t="s">
        <v>242</v>
      </c>
      <c r="C136" s="198" t="s">
        <v>116</v>
      </c>
      <c r="D136" s="198" t="s">
        <v>115</v>
      </c>
      <c r="E136" s="198" t="s">
        <v>114</v>
      </c>
      <c r="F136" s="198" t="s">
        <v>113</v>
      </c>
    </row>
    <row r="137" spans="2:8" hidden="1" outlineLevel="1">
      <c r="B137" s="175" t="s">
        <v>112</v>
      </c>
      <c r="C137" s="199">
        <f t="shared" ref="C137:F140" si="21">$E$133*$C$22*C16</f>
        <v>1.46</v>
      </c>
      <c r="D137" s="200">
        <f t="shared" si="21"/>
        <v>1.5329999999999999</v>
      </c>
      <c r="E137" s="200">
        <f t="shared" si="21"/>
        <v>1.60965</v>
      </c>
      <c r="F137" s="200">
        <f t="shared" si="21"/>
        <v>1.6901325</v>
      </c>
      <c r="H137" s="32" t="s">
        <v>243</v>
      </c>
    </row>
    <row r="138" spans="2:8" hidden="1" outlineLevel="1">
      <c r="B138" s="175" t="s">
        <v>111</v>
      </c>
      <c r="C138" s="201">
        <f t="shared" si="21"/>
        <v>0</v>
      </c>
      <c r="D138" s="202">
        <f t="shared" si="21"/>
        <v>1.5329999999999999</v>
      </c>
      <c r="E138" s="200">
        <f t="shared" si="21"/>
        <v>1.60965</v>
      </c>
      <c r="F138" s="200">
        <f t="shared" si="21"/>
        <v>1.6901325</v>
      </c>
    </row>
    <row r="139" spans="2:8" hidden="1" outlineLevel="1">
      <c r="B139" s="175" t="s">
        <v>110</v>
      </c>
      <c r="C139" s="201">
        <f t="shared" si="21"/>
        <v>0</v>
      </c>
      <c r="D139" s="201">
        <f t="shared" si="21"/>
        <v>0</v>
      </c>
      <c r="E139" s="202">
        <f t="shared" si="21"/>
        <v>1.387</v>
      </c>
      <c r="F139" s="200">
        <f t="shared" si="21"/>
        <v>1.45635</v>
      </c>
    </row>
    <row r="140" spans="2:8" hidden="1" outlineLevel="1">
      <c r="B140" s="175" t="s">
        <v>109</v>
      </c>
      <c r="C140" s="201">
        <f t="shared" si="21"/>
        <v>0</v>
      </c>
      <c r="D140" s="201">
        <f t="shared" si="21"/>
        <v>0</v>
      </c>
      <c r="E140" s="201">
        <f t="shared" si="21"/>
        <v>0</v>
      </c>
      <c r="F140" s="202">
        <f t="shared" si="21"/>
        <v>1.2410000000000001</v>
      </c>
    </row>
    <row r="141" spans="2:8" hidden="1" outlineLevel="1">
      <c r="B141" s="175"/>
      <c r="C141" s="211"/>
      <c r="D141" s="211"/>
      <c r="E141" s="211"/>
      <c r="F141" s="193"/>
    </row>
    <row r="142" spans="2:8" hidden="1" outlineLevel="1">
      <c r="C142" s="25"/>
      <c r="D142" s="25"/>
      <c r="E142" s="25"/>
      <c r="F142" s="131"/>
    </row>
    <row r="143" spans="2:8" ht="14.4" hidden="1" outlineLevel="1">
      <c r="B143" s="123" t="s">
        <v>182</v>
      </c>
      <c r="C143" s="147" t="s">
        <v>116</v>
      </c>
      <c r="D143" s="147" t="s">
        <v>115</v>
      </c>
      <c r="E143" s="147" t="s">
        <v>114</v>
      </c>
      <c r="F143" s="147" t="s">
        <v>113</v>
      </c>
      <c r="H143" s="170"/>
    </row>
    <row r="144" spans="2:8" hidden="1" outlineLevel="1">
      <c r="B144" s="122" t="s">
        <v>112</v>
      </c>
      <c r="C144" s="159">
        <f t="shared" ref="C144:F147" si="22">C127*$C$22*C16</f>
        <v>67.16</v>
      </c>
      <c r="D144" s="160">
        <f t="shared" si="22"/>
        <v>70.518000000000001</v>
      </c>
      <c r="E144" s="160">
        <f t="shared" si="22"/>
        <v>74.043899999999994</v>
      </c>
      <c r="F144" s="160">
        <f t="shared" si="22"/>
        <v>77.746094999999997</v>
      </c>
      <c r="H144" s="32" t="s">
        <v>184</v>
      </c>
    </row>
    <row r="145" spans="1:8" hidden="1" outlineLevel="1">
      <c r="B145" s="122" t="s">
        <v>111</v>
      </c>
      <c r="C145" s="158">
        <f t="shared" si="22"/>
        <v>0</v>
      </c>
      <c r="D145" s="161">
        <f t="shared" si="22"/>
        <v>70.518000000000001</v>
      </c>
      <c r="E145" s="160">
        <f t="shared" si="22"/>
        <v>74.043899999999994</v>
      </c>
      <c r="F145" s="160">
        <f t="shared" si="22"/>
        <v>75.386479499999993</v>
      </c>
    </row>
    <row r="146" spans="1:8" hidden="1" outlineLevel="1">
      <c r="B146" s="122" t="s">
        <v>110</v>
      </c>
      <c r="C146" s="158">
        <f t="shared" si="22"/>
        <v>0</v>
      </c>
      <c r="D146" s="158">
        <f t="shared" si="22"/>
        <v>0</v>
      </c>
      <c r="E146" s="161">
        <f t="shared" si="22"/>
        <v>52.640300000000003</v>
      </c>
      <c r="F146" s="160">
        <f t="shared" si="22"/>
        <v>50.972250000000003</v>
      </c>
    </row>
    <row r="147" spans="1:8" hidden="1" outlineLevel="1">
      <c r="B147" s="122" t="s">
        <v>109</v>
      </c>
      <c r="C147" s="158">
        <f t="shared" si="22"/>
        <v>0</v>
      </c>
      <c r="D147" s="158">
        <f t="shared" si="22"/>
        <v>0</v>
      </c>
      <c r="E147" s="158">
        <f t="shared" si="22"/>
        <v>0</v>
      </c>
      <c r="F147" s="161">
        <f t="shared" si="22"/>
        <v>42.454609999999981</v>
      </c>
    </row>
    <row r="148" spans="1:8" collapsed="1"/>
    <row r="149" spans="1:8" s="226" customFormat="1" ht="15.6">
      <c r="A149" s="224"/>
      <c r="B149" s="225" t="s">
        <v>169</v>
      </c>
    </row>
    <row r="150" spans="1:8" hidden="1" outlineLevel="1">
      <c r="B150"/>
    </row>
    <row r="151" spans="1:8" s="172" customFormat="1" collapsed="1">
      <c r="B151" s="173" t="s">
        <v>166</v>
      </c>
      <c r="C151" s="28">
        <v>0.12</v>
      </c>
      <c r="D151" s="172" t="s">
        <v>167</v>
      </c>
    </row>
    <row r="152" spans="1:8" s="172" customFormat="1">
      <c r="B152" s="173" t="s">
        <v>168</v>
      </c>
      <c r="C152" s="28">
        <v>0.05</v>
      </c>
      <c r="D152" s="172" t="s">
        <v>167</v>
      </c>
    </row>
    <row r="153" spans="1:8" s="172" customFormat="1">
      <c r="B153" s="175" t="s">
        <v>165</v>
      </c>
      <c r="C153" s="28">
        <v>0.66</v>
      </c>
    </row>
    <row r="154" spans="1:8" hidden="1" outlineLevel="1">
      <c r="B154"/>
    </row>
    <row r="155" spans="1:8" ht="14.4" hidden="1" outlineLevel="1">
      <c r="B155" s="123" t="s">
        <v>211</v>
      </c>
      <c r="C155" s="147" t="s">
        <v>116</v>
      </c>
      <c r="D155" s="147" t="s">
        <v>115</v>
      </c>
      <c r="E155" s="147" t="s">
        <v>114</v>
      </c>
      <c r="F155" s="147" t="s">
        <v>113</v>
      </c>
      <c r="H155" s="170"/>
    </row>
    <row r="156" spans="1:8" hidden="1" outlineLevel="1">
      <c r="B156" s="122" t="s">
        <v>112</v>
      </c>
      <c r="C156" s="159">
        <f t="shared" ref="C156:F159" si="23">C16*$C$22*(1-C78-$C$151-$C$152)</f>
        <v>62.78</v>
      </c>
      <c r="D156" s="160">
        <f t="shared" si="23"/>
        <v>65.918999999999997</v>
      </c>
      <c r="E156" s="160">
        <f t="shared" si="23"/>
        <v>69.214950000000002</v>
      </c>
      <c r="F156" s="160">
        <f t="shared" si="23"/>
        <v>72.675697499999998</v>
      </c>
      <c r="H156" s="32" t="s">
        <v>209</v>
      </c>
    </row>
    <row r="157" spans="1:8" hidden="1" outlineLevel="1">
      <c r="B157" s="122" t="s">
        <v>111</v>
      </c>
      <c r="C157" s="158">
        <f t="shared" si="23"/>
        <v>0</v>
      </c>
      <c r="D157" s="161">
        <f t="shared" si="23"/>
        <v>65.918999999999997</v>
      </c>
      <c r="E157" s="160">
        <f t="shared" si="23"/>
        <v>69.214950000000002</v>
      </c>
      <c r="F157" s="160">
        <f t="shared" si="23"/>
        <v>70.530592499999997</v>
      </c>
    </row>
    <row r="158" spans="1:8" hidden="1" outlineLevel="1">
      <c r="B158" s="122" t="s">
        <v>110</v>
      </c>
      <c r="C158" s="158">
        <f t="shared" si="23"/>
        <v>0</v>
      </c>
      <c r="D158" s="158">
        <f t="shared" si="23"/>
        <v>0</v>
      </c>
      <c r="E158" s="161">
        <f t="shared" si="23"/>
        <v>49.494</v>
      </c>
      <c r="F158" s="160">
        <f t="shared" si="23"/>
        <v>47.993849999999995</v>
      </c>
    </row>
    <row r="159" spans="1:8" hidden="1" outlineLevel="1">
      <c r="B159" s="122" t="s">
        <v>109</v>
      </c>
      <c r="C159" s="158">
        <f t="shared" si="23"/>
        <v>0</v>
      </c>
      <c r="D159" s="158">
        <f t="shared" si="23"/>
        <v>0</v>
      </c>
      <c r="E159" s="158">
        <f t="shared" si="23"/>
        <v>0</v>
      </c>
      <c r="F159" s="161">
        <f t="shared" si="23"/>
        <v>27.9663</v>
      </c>
    </row>
    <row r="160" spans="1:8" hidden="1" outlineLevel="1">
      <c r="B160"/>
    </row>
    <row r="161" spans="2:8" hidden="1" outlineLevel="1">
      <c r="B161"/>
    </row>
    <row r="162" spans="2:8" s="172" customFormat="1" collapsed="1">
      <c r="B162" s="174" t="s">
        <v>203</v>
      </c>
      <c r="C162" s="41">
        <v>-20</v>
      </c>
    </row>
    <row r="163" spans="2:8">
      <c r="B163"/>
    </row>
    <row r="164" spans="2:8" s="172" customFormat="1" ht="14.4" hidden="1" outlineLevel="1">
      <c r="B164" s="174" t="s">
        <v>213</v>
      </c>
      <c r="C164" s="198" t="s">
        <v>116</v>
      </c>
      <c r="D164" s="198" t="s">
        <v>115</v>
      </c>
      <c r="E164" s="198" t="s">
        <v>114</v>
      </c>
      <c r="F164" s="198" t="s">
        <v>113</v>
      </c>
      <c r="H164" s="170"/>
    </row>
    <row r="165" spans="2:8" s="172" customFormat="1" ht="14.4" hidden="1" outlineLevel="1">
      <c r="B165" s="184" t="s">
        <v>210</v>
      </c>
      <c r="C165" s="198">
        <f>$C$162</f>
        <v>-20</v>
      </c>
      <c r="D165" s="198">
        <f t="shared" ref="D165:F165" si="24">$C$162</f>
        <v>-20</v>
      </c>
      <c r="E165" s="198">
        <f t="shared" si="24"/>
        <v>-20</v>
      </c>
      <c r="F165" s="198">
        <f t="shared" si="24"/>
        <v>-20</v>
      </c>
      <c r="H165" s="203" t="s">
        <v>210</v>
      </c>
    </row>
    <row r="166" spans="2:8" s="172" customFormat="1" hidden="1" outlineLevel="1">
      <c r="B166" s="175" t="s">
        <v>112</v>
      </c>
      <c r="C166" s="199">
        <f>C156+MIN(0,C165)</f>
        <v>42.78</v>
      </c>
      <c r="D166" s="200">
        <f>D156+MIN(0,D165)</f>
        <v>45.918999999999997</v>
      </c>
      <c r="E166" s="200">
        <f>E156+MIN(0,E165)</f>
        <v>49.214950000000002</v>
      </c>
      <c r="F166" s="200">
        <f>F156+MIN(0,F165)</f>
        <v>52.675697499999998</v>
      </c>
      <c r="H166" s="32" t="s">
        <v>212</v>
      </c>
    </row>
    <row r="167" spans="2:8" s="172" customFormat="1" hidden="1" outlineLevel="1">
      <c r="B167" s="175" t="s">
        <v>111</v>
      </c>
      <c r="C167" s="201"/>
      <c r="D167" s="202">
        <f t="shared" ref="D167:F169" si="25">D157+MIN(0,D166)</f>
        <v>65.918999999999997</v>
      </c>
      <c r="E167" s="200">
        <f t="shared" si="25"/>
        <v>69.214950000000002</v>
      </c>
      <c r="F167" s="200">
        <f t="shared" si="25"/>
        <v>70.530592499999997</v>
      </c>
    </row>
    <row r="168" spans="2:8" s="172" customFormat="1" hidden="1" outlineLevel="1">
      <c r="B168" s="175" t="s">
        <v>110</v>
      </c>
      <c r="C168" s="201"/>
      <c r="D168" s="201">
        <f t="shared" si="25"/>
        <v>0</v>
      </c>
      <c r="E168" s="202">
        <f t="shared" si="25"/>
        <v>49.494</v>
      </c>
      <c r="F168" s="200">
        <f t="shared" si="25"/>
        <v>47.993849999999995</v>
      </c>
    </row>
    <row r="169" spans="2:8" s="172" customFormat="1" hidden="1" outlineLevel="1">
      <c r="B169" s="175" t="s">
        <v>109</v>
      </c>
      <c r="C169" s="201"/>
      <c r="D169" s="201">
        <f t="shared" si="25"/>
        <v>0</v>
      </c>
      <c r="E169" s="201">
        <f t="shared" si="25"/>
        <v>0</v>
      </c>
      <c r="F169" s="202">
        <f t="shared" si="25"/>
        <v>27.9663</v>
      </c>
    </row>
    <row r="170" spans="2:8" s="172" customFormat="1" hidden="1" outlineLevel="1">
      <c r="B170" s="175"/>
      <c r="C170" s="201"/>
      <c r="D170" s="201"/>
      <c r="E170" s="201"/>
      <c r="F170" s="186"/>
    </row>
    <row r="171" spans="2:8" ht="20.399999999999999" collapsed="1">
      <c r="B171" s="123" t="s">
        <v>176</v>
      </c>
      <c r="C171" s="228" t="str">
        <f>Input_for_Test!$D$33</f>
        <v>no</v>
      </c>
    </row>
    <row r="172" spans="2:8">
      <c r="B172"/>
    </row>
    <row r="173" spans="2:8" ht="14.4" hidden="1" outlineLevel="1">
      <c r="B173" s="123" t="s">
        <v>214</v>
      </c>
      <c r="C173" s="147" t="s">
        <v>116</v>
      </c>
      <c r="D173" s="147" t="s">
        <v>115</v>
      </c>
      <c r="E173" s="147" t="s">
        <v>114</v>
      </c>
      <c r="F173" s="147" t="s">
        <v>113</v>
      </c>
    </row>
    <row r="174" spans="2:8" hidden="1" outlineLevel="1">
      <c r="B174" s="122" t="s">
        <v>112</v>
      </c>
      <c r="C174" s="159">
        <f t="shared" ref="C174:F177" si="26">IF($C$171="yes",C166,C156)</f>
        <v>62.78</v>
      </c>
      <c r="D174" s="160">
        <f t="shared" si="26"/>
        <v>65.918999999999997</v>
      </c>
      <c r="E174" s="160">
        <f t="shared" si="26"/>
        <v>69.214950000000002</v>
      </c>
      <c r="F174" s="160">
        <f t="shared" si="26"/>
        <v>72.675697499999998</v>
      </c>
    </row>
    <row r="175" spans="2:8" hidden="1" outlineLevel="1">
      <c r="B175" s="122" t="s">
        <v>111</v>
      </c>
      <c r="C175" s="158">
        <f t="shared" si="26"/>
        <v>0</v>
      </c>
      <c r="D175" s="161">
        <f t="shared" si="26"/>
        <v>65.918999999999997</v>
      </c>
      <c r="E175" s="160">
        <f t="shared" si="26"/>
        <v>69.214950000000002</v>
      </c>
      <c r="F175" s="160">
        <f t="shared" si="26"/>
        <v>70.530592499999997</v>
      </c>
    </row>
    <row r="176" spans="2:8" hidden="1" outlineLevel="1">
      <c r="B176" s="122" t="s">
        <v>110</v>
      </c>
      <c r="C176" s="158">
        <f t="shared" si="26"/>
        <v>0</v>
      </c>
      <c r="D176" s="158">
        <f t="shared" si="26"/>
        <v>0</v>
      </c>
      <c r="E176" s="161">
        <f t="shared" si="26"/>
        <v>49.494</v>
      </c>
      <c r="F176" s="160">
        <f t="shared" si="26"/>
        <v>47.993849999999995</v>
      </c>
    </row>
    <row r="177" spans="2:8" hidden="1" outlineLevel="1">
      <c r="B177" s="122" t="s">
        <v>109</v>
      </c>
      <c r="C177" s="158">
        <f t="shared" si="26"/>
        <v>0</v>
      </c>
      <c r="D177" s="158">
        <f t="shared" si="26"/>
        <v>0</v>
      </c>
      <c r="E177" s="158">
        <f t="shared" si="26"/>
        <v>0</v>
      </c>
      <c r="F177" s="161">
        <f t="shared" si="26"/>
        <v>27.9663</v>
      </c>
    </row>
    <row r="178" spans="2:8" hidden="1" outlineLevel="1">
      <c r="C178" s="158"/>
      <c r="D178" s="158"/>
      <c r="E178" s="158"/>
      <c r="F178" s="162"/>
    </row>
    <row r="179" spans="2:8" hidden="1" outlineLevel="1">
      <c r="B179" s="175"/>
      <c r="C179" s="201"/>
      <c r="D179" s="201"/>
      <c r="E179" s="201"/>
      <c r="F179" s="186"/>
    </row>
    <row r="180" spans="2:8" ht="14.4" hidden="1" outlineLevel="1">
      <c r="B180" s="174" t="s">
        <v>237</v>
      </c>
      <c r="C180" s="198" t="s">
        <v>116</v>
      </c>
      <c r="D180" s="198" t="s">
        <v>115</v>
      </c>
      <c r="E180" s="198" t="s">
        <v>114</v>
      </c>
      <c r="F180" s="198" t="s">
        <v>113</v>
      </c>
    </row>
    <row r="181" spans="2:8" hidden="1" outlineLevel="1">
      <c r="B181" s="175" t="s">
        <v>112</v>
      </c>
      <c r="C181" s="199">
        <f>C16*$C$22* $C$151</f>
        <v>17.52</v>
      </c>
      <c r="D181" s="200">
        <f t="shared" ref="D181:F181" si="27">D16*$C$22* $C$151</f>
        <v>18.395999999999997</v>
      </c>
      <c r="E181" s="200">
        <f t="shared" si="27"/>
        <v>19.315799999999999</v>
      </c>
      <c r="F181" s="200">
        <f t="shared" si="27"/>
        <v>20.281589999999998</v>
      </c>
      <c r="H181" s="32" t="s">
        <v>238</v>
      </c>
    </row>
    <row r="182" spans="2:8" hidden="1" outlineLevel="1">
      <c r="B182" s="175" t="s">
        <v>111</v>
      </c>
      <c r="C182" s="201">
        <f t="shared" ref="C182:F182" si="28">C17*$C$22* $C$151</f>
        <v>0</v>
      </c>
      <c r="D182" s="202">
        <f t="shared" si="28"/>
        <v>18.395999999999997</v>
      </c>
      <c r="E182" s="200">
        <f t="shared" si="28"/>
        <v>19.315799999999999</v>
      </c>
      <c r="F182" s="200">
        <f t="shared" si="28"/>
        <v>20.281589999999998</v>
      </c>
    </row>
    <row r="183" spans="2:8" hidden="1" outlineLevel="1">
      <c r="B183" s="175" t="s">
        <v>110</v>
      </c>
      <c r="C183" s="201">
        <f t="shared" ref="C183:F183" si="29">C18*$C$22* $C$151</f>
        <v>0</v>
      </c>
      <c r="D183" s="201">
        <f t="shared" si="29"/>
        <v>0</v>
      </c>
      <c r="E183" s="202">
        <f t="shared" si="29"/>
        <v>16.643999999999998</v>
      </c>
      <c r="F183" s="200">
        <f t="shared" si="29"/>
        <v>17.476199999999999</v>
      </c>
    </row>
    <row r="184" spans="2:8" hidden="1" outlineLevel="1">
      <c r="B184" s="175" t="s">
        <v>109</v>
      </c>
      <c r="C184" s="201">
        <f t="shared" ref="C184:F184" si="30">C19*$C$22* $C$151</f>
        <v>0</v>
      </c>
      <c r="D184" s="201">
        <f t="shared" si="30"/>
        <v>0</v>
      </c>
      <c r="E184" s="201">
        <f t="shared" si="30"/>
        <v>0</v>
      </c>
      <c r="F184" s="202">
        <f t="shared" si="30"/>
        <v>14.891999999999999</v>
      </c>
    </row>
    <row r="185" spans="2:8" hidden="1" outlineLevel="1">
      <c r="C185" s="158"/>
      <c r="D185" s="158"/>
      <c r="E185" s="158"/>
      <c r="F185" s="162"/>
    </row>
    <row r="186" spans="2:8" s="172" customFormat="1" hidden="1" outlineLevel="1">
      <c r="B186" s="175"/>
      <c r="C186" s="201"/>
      <c r="D186" s="201"/>
      <c r="E186" s="201"/>
      <c r="F186" s="186"/>
    </row>
    <row r="187" spans="2:8" s="172" customFormat="1" hidden="1" outlineLevel="1">
      <c r="B187" s="175"/>
      <c r="C187" s="201"/>
      <c r="D187" s="201"/>
      <c r="E187" s="201"/>
      <c r="F187" s="186"/>
    </row>
    <row r="188" spans="2:8" ht="14.4" hidden="1" outlineLevel="1">
      <c r="B188" s="123" t="s">
        <v>239</v>
      </c>
      <c r="C188" s="147" t="s">
        <v>116</v>
      </c>
      <c r="D188" s="147" t="s">
        <v>115</v>
      </c>
      <c r="E188" s="147" t="s">
        <v>114</v>
      </c>
      <c r="F188" s="147" t="s">
        <v>113</v>
      </c>
      <c r="H188" s="32" t="s">
        <v>215</v>
      </c>
    </row>
    <row r="189" spans="2:8" hidden="1" outlineLevel="1">
      <c r="B189" s="122" t="s">
        <v>112</v>
      </c>
      <c r="C189" s="159">
        <f>$C$153*MAX(0,C174)</f>
        <v>41.434800000000003</v>
      </c>
      <c r="D189" s="160">
        <f t="shared" ref="D189:F189" si="31">$C$153*MAX(0,D174)</f>
        <v>43.506540000000001</v>
      </c>
      <c r="E189" s="160">
        <f t="shared" si="31"/>
        <v>45.681867000000004</v>
      </c>
      <c r="F189" s="160">
        <f t="shared" si="31"/>
        <v>47.965960350000003</v>
      </c>
      <c r="H189" s="32"/>
    </row>
    <row r="190" spans="2:8" hidden="1" outlineLevel="1">
      <c r="B190" s="122" t="s">
        <v>111</v>
      </c>
      <c r="C190" s="158">
        <f t="shared" ref="C190:F190" si="32">$C$153*MAX(0,C175)</f>
        <v>0</v>
      </c>
      <c r="D190" s="161">
        <f t="shared" si="32"/>
        <v>43.506540000000001</v>
      </c>
      <c r="E190" s="160">
        <f t="shared" si="32"/>
        <v>45.681867000000004</v>
      </c>
      <c r="F190" s="160">
        <f t="shared" si="32"/>
        <v>46.550191050000002</v>
      </c>
    </row>
    <row r="191" spans="2:8" hidden="1" outlineLevel="1">
      <c r="B191" s="122" t="s">
        <v>110</v>
      </c>
      <c r="C191" s="158">
        <f t="shared" ref="C191:F191" si="33">$C$153*MAX(0,C176)</f>
        <v>0</v>
      </c>
      <c r="D191" s="158">
        <f t="shared" si="33"/>
        <v>0</v>
      </c>
      <c r="E191" s="161">
        <f t="shared" si="33"/>
        <v>32.666040000000002</v>
      </c>
      <c r="F191" s="160">
        <f t="shared" si="33"/>
        <v>31.675940999999998</v>
      </c>
    </row>
    <row r="192" spans="2:8" hidden="1" outlineLevel="1">
      <c r="B192" s="122" t="s">
        <v>109</v>
      </c>
      <c r="C192" s="158">
        <f t="shared" ref="C192:F192" si="34">$C$153*MAX(0,C177)</f>
        <v>0</v>
      </c>
      <c r="D192" s="158">
        <f t="shared" si="34"/>
        <v>0</v>
      </c>
      <c r="E192" s="158">
        <f t="shared" si="34"/>
        <v>0</v>
      </c>
      <c r="F192" s="161">
        <f t="shared" si="34"/>
        <v>18.457758000000002</v>
      </c>
    </row>
    <row r="193" spans="1:10" hidden="1" outlineLevel="1">
      <c r="B193"/>
      <c r="H193" s="32"/>
      <c r="I193" s="32"/>
      <c r="J193" s="32"/>
    </row>
    <row r="194" spans="1:10" hidden="1" outlineLevel="1">
      <c r="A194" s="172"/>
      <c r="B194" s="172"/>
      <c r="C194" s="172"/>
      <c r="D194" s="172"/>
      <c r="E194" s="172"/>
      <c r="F194" s="172"/>
      <c r="H194" s="32"/>
      <c r="I194" s="32"/>
      <c r="J194" s="32"/>
    </row>
    <row r="195" spans="1:10" ht="14.4" hidden="1" outlineLevel="1">
      <c r="A195" s="172"/>
      <c r="B195" s="174" t="s">
        <v>240</v>
      </c>
      <c r="C195" s="198" t="s">
        <v>116</v>
      </c>
      <c r="D195" s="198" t="s">
        <v>115</v>
      </c>
      <c r="E195" s="198" t="s">
        <v>114</v>
      </c>
      <c r="F195" s="198" t="s">
        <v>113</v>
      </c>
      <c r="H195" s="32" t="s">
        <v>241</v>
      </c>
      <c r="J195" s="32"/>
    </row>
    <row r="196" spans="1:10" hidden="1" outlineLevel="1">
      <c r="A196" s="172"/>
      <c r="B196" s="175" t="s">
        <v>112</v>
      </c>
      <c r="C196" s="199">
        <f>C189+C181</f>
        <v>58.954800000000006</v>
      </c>
      <c r="D196" s="200">
        <f t="shared" ref="D196:F196" si="35">D189+D181</f>
        <v>61.902540000000002</v>
      </c>
      <c r="E196" s="200">
        <f t="shared" si="35"/>
        <v>64.997667000000007</v>
      </c>
      <c r="F196" s="200">
        <f t="shared" si="35"/>
        <v>68.247550349999997</v>
      </c>
      <c r="H196" s="32"/>
      <c r="I196" s="32"/>
      <c r="J196" s="32"/>
    </row>
    <row r="197" spans="1:10" hidden="1" outlineLevel="1">
      <c r="A197" s="172"/>
      <c r="B197" s="175" t="s">
        <v>111</v>
      </c>
      <c r="C197" s="201">
        <f t="shared" ref="C197:F197" si="36">C190+C182</f>
        <v>0</v>
      </c>
      <c r="D197" s="202">
        <f t="shared" si="36"/>
        <v>61.902540000000002</v>
      </c>
      <c r="E197" s="200">
        <f t="shared" si="36"/>
        <v>64.997667000000007</v>
      </c>
      <c r="F197" s="200">
        <f t="shared" si="36"/>
        <v>66.831781050000004</v>
      </c>
      <c r="H197" s="32"/>
      <c r="I197" s="32"/>
      <c r="J197" s="32"/>
    </row>
    <row r="198" spans="1:10" hidden="1" outlineLevel="1">
      <c r="A198" s="172"/>
      <c r="B198" s="175" t="s">
        <v>110</v>
      </c>
      <c r="C198" s="201">
        <f t="shared" ref="C198:F198" si="37">C191+C183</f>
        <v>0</v>
      </c>
      <c r="D198" s="201">
        <f t="shared" si="37"/>
        <v>0</v>
      </c>
      <c r="E198" s="202">
        <f t="shared" si="37"/>
        <v>49.310040000000001</v>
      </c>
      <c r="F198" s="200">
        <f t="shared" si="37"/>
        <v>49.152141</v>
      </c>
    </row>
    <row r="199" spans="1:10" hidden="1" outlineLevel="1">
      <c r="A199" s="172"/>
      <c r="B199" s="175" t="s">
        <v>109</v>
      </c>
      <c r="C199" s="201">
        <f t="shared" ref="C199:F199" si="38">C192+C184</f>
        <v>0</v>
      </c>
      <c r="D199" s="201">
        <f t="shared" si="38"/>
        <v>0</v>
      </c>
      <c r="E199" s="201">
        <f t="shared" si="38"/>
        <v>0</v>
      </c>
      <c r="F199" s="202">
        <f t="shared" si="38"/>
        <v>33.349758000000001</v>
      </c>
    </row>
    <row r="200" spans="1:10" hidden="1" outlineLevel="1">
      <c r="A200" s="172"/>
      <c r="B200" s="175"/>
      <c r="C200" s="201"/>
      <c r="D200" s="201"/>
      <c r="E200" s="201"/>
      <c r="F200" s="186"/>
    </row>
    <row r="201" spans="1:10" hidden="1" outlineLevel="1">
      <c r="A201" s="172"/>
      <c r="B201" s="172"/>
      <c r="C201" s="172"/>
      <c r="D201" s="172"/>
      <c r="E201" s="172"/>
      <c r="F201" s="172"/>
    </row>
    <row r="202" spans="1:10" hidden="1" outlineLevel="1">
      <c r="B202"/>
    </row>
    <row r="203" spans="1:10" ht="17.399999999999999" collapsed="1">
      <c r="B203" s="123" t="s">
        <v>185</v>
      </c>
      <c r="C203" s="227" t="str">
        <f>Input_for_Test!C33</f>
        <v>sliding</v>
      </c>
      <c r="F203" s="35" t="s">
        <v>186</v>
      </c>
    </row>
    <row r="204" spans="1:10">
      <c r="B204" s="22"/>
      <c r="F204" s="35" t="s">
        <v>180</v>
      </c>
    </row>
    <row r="205" spans="1:10" outlineLevel="1">
      <c r="B205" s="22"/>
      <c r="F205" s="35" t="s">
        <v>179</v>
      </c>
    </row>
    <row r="206" spans="1:10" outlineLevel="1">
      <c r="B206" s="22"/>
    </row>
    <row r="207" spans="1:10" outlineLevel="1">
      <c r="B207"/>
    </row>
    <row r="208" spans="1:10" ht="14.4" outlineLevel="1">
      <c r="B208" s="123" t="s">
        <v>178</v>
      </c>
      <c r="C208" s="147" t="s">
        <v>116</v>
      </c>
      <c r="D208" s="147" t="s">
        <v>115</v>
      </c>
      <c r="E208" s="147" t="s">
        <v>114</v>
      </c>
      <c r="F208" s="147" t="s">
        <v>113</v>
      </c>
    </row>
    <row r="209" spans="2:7" ht="14.4" outlineLevel="1">
      <c r="B209" s="122" t="s">
        <v>112</v>
      </c>
      <c r="C209" s="247">
        <v>67.16</v>
      </c>
      <c r="D209" s="160">
        <f t="shared" ref="D209:F209" si="39">IF($C$203="profit",D196,IF($C$203="fix",D89,D144))</f>
        <v>70.518000000000001</v>
      </c>
      <c r="E209" s="160">
        <f t="shared" si="39"/>
        <v>74.043899999999994</v>
      </c>
      <c r="F209" s="160">
        <f t="shared" si="39"/>
        <v>77.746094999999997</v>
      </c>
    </row>
    <row r="210" spans="2:7" outlineLevel="1">
      <c r="B210" s="122" t="s">
        <v>111</v>
      </c>
      <c r="C210" s="158">
        <f t="shared" ref="C210:F210" si="40">IF($C$203="profit",C197,IF($C$203="fix",C90,C145))</f>
        <v>0</v>
      </c>
      <c r="D210" s="161">
        <f t="shared" si="40"/>
        <v>70.518000000000001</v>
      </c>
      <c r="E210" s="160">
        <f t="shared" si="40"/>
        <v>74.043899999999994</v>
      </c>
      <c r="F210" s="160">
        <f t="shared" si="40"/>
        <v>75.386479499999993</v>
      </c>
    </row>
    <row r="211" spans="2:7" outlineLevel="1">
      <c r="B211" s="122" t="s">
        <v>110</v>
      </c>
      <c r="C211" s="158">
        <f t="shared" ref="C211:F211" si="41">IF($C$203="profit",C198,IF($C$203="fix",C91,C146))</f>
        <v>0</v>
      </c>
      <c r="D211" s="158">
        <f t="shared" si="41"/>
        <v>0</v>
      </c>
      <c r="E211" s="161">
        <f t="shared" si="41"/>
        <v>52.640300000000003</v>
      </c>
      <c r="F211" s="160">
        <f t="shared" si="41"/>
        <v>50.972250000000003</v>
      </c>
    </row>
    <row r="212" spans="2:7" outlineLevel="1">
      <c r="B212" s="122" t="s">
        <v>109</v>
      </c>
      <c r="C212" s="158">
        <f t="shared" ref="C212:F212" si="42">IF($C$203="profit",C199,IF($C$203="fix",C92,C147))</f>
        <v>0</v>
      </c>
      <c r="D212" s="158">
        <f t="shared" si="42"/>
        <v>0</v>
      </c>
      <c r="E212" s="158">
        <f t="shared" si="42"/>
        <v>0</v>
      </c>
      <c r="F212" s="161">
        <f t="shared" si="42"/>
        <v>42.454609999999981</v>
      </c>
    </row>
    <row r="213" spans="2:7" outlineLevel="1">
      <c r="B213" s="172"/>
      <c r="C213" s="172"/>
      <c r="D213" s="172"/>
      <c r="E213" s="172"/>
      <c r="F213" s="172"/>
      <c r="G213" s="172"/>
    </row>
    <row r="214" spans="2:7" ht="14.4" outlineLevel="1">
      <c r="B214" s="174" t="s">
        <v>236</v>
      </c>
      <c r="C214" s="198" t="s">
        <v>116</v>
      </c>
      <c r="D214" s="198" t="s">
        <v>115</v>
      </c>
      <c r="E214" s="198" t="s">
        <v>114</v>
      </c>
      <c r="F214" s="198" t="s">
        <v>113</v>
      </c>
      <c r="G214" s="172"/>
    </row>
    <row r="215" spans="2:7" outlineLevel="1">
      <c r="B215" s="175" t="s">
        <v>112</v>
      </c>
      <c r="C215" s="199">
        <f>IF($C$203="profit",C189,IF($C$203="fix",C89,C137))</f>
        <v>1.46</v>
      </c>
      <c r="D215" s="200">
        <f t="shared" ref="D215:F215" si="43">IF($C$203="profit",D189,IF($C$203="fix",D89,D137))</f>
        <v>1.5329999999999999</v>
      </c>
      <c r="E215" s="200">
        <f t="shared" si="43"/>
        <v>1.60965</v>
      </c>
      <c r="F215" s="200">
        <f t="shared" si="43"/>
        <v>1.6901325</v>
      </c>
      <c r="G215" s="172"/>
    </row>
    <row r="216" spans="2:7" outlineLevel="1">
      <c r="B216" s="175" t="s">
        <v>111</v>
      </c>
      <c r="C216" s="201">
        <f t="shared" ref="C216:F216" si="44">IF($C$203="profit",C190,IF($C$203="fix",C90,C138))</f>
        <v>0</v>
      </c>
      <c r="D216" s="202">
        <f t="shared" si="44"/>
        <v>1.5329999999999999</v>
      </c>
      <c r="E216" s="200">
        <f t="shared" si="44"/>
        <v>1.60965</v>
      </c>
      <c r="F216" s="200">
        <f t="shared" si="44"/>
        <v>1.6901325</v>
      </c>
      <c r="G216" s="172"/>
    </row>
    <row r="217" spans="2:7" outlineLevel="1">
      <c r="B217" s="175" t="s">
        <v>110</v>
      </c>
      <c r="C217" s="201">
        <f t="shared" ref="C217:F217" si="45">IF($C$203="profit",C191,IF($C$203="fix",C91,C139))</f>
        <v>0</v>
      </c>
      <c r="D217" s="201">
        <f t="shared" si="45"/>
        <v>0</v>
      </c>
      <c r="E217" s="202">
        <f t="shared" si="45"/>
        <v>1.387</v>
      </c>
      <c r="F217" s="200">
        <f t="shared" si="45"/>
        <v>1.45635</v>
      </c>
      <c r="G217" s="172"/>
    </row>
    <row r="218" spans="2:7" outlineLevel="1">
      <c r="B218" s="175" t="s">
        <v>109</v>
      </c>
      <c r="C218" s="201">
        <f t="shared" ref="C218:F218" si="46">IF($C$203="profit",C192,IF($C$203="fix",C92,C140))</f>
        <v>0</v>
      </c>
      <c r="D218" s="201">
        <f t="shared" si="46"/>
        <v>0</v>
      </c>
      <c r="E218" s="201">
        <f t="shared" si="46"/>
        <v>0</v>
      </c>
      <c r="F218" s="202">
        <f t="shared" si="46"/>
        <v>1.2410000000000001</v>
      </c>
      <c r="G218" s="172"/>
    </row>
    <row r="219" spans="2:7" outlineLevel="1">
      <c r="C219" s="158"/>
      <c r="D219" s="158"/>
      <c r="E219" s="158"/>
      <c r="F219" s="162"/>
    </row>
    <row r="220" spans="2:7" outlineLevel="1">
      <c r="B220" s="22"/>
      <c r="F220" s="130"/>
    </row>
    <row r="221" spans="2:7" outlineLevel="1">
      <c r="C221" s="158"/>
      <c r="D221" s="158"/>
      <c r="E221" s="158"/>
      <c r="F221" s="162"/>
    </row>
    <row r="222" spans="2:7" s="149" customFormat="1" ht="15.6" outlineLevel="1">
      <c r="B222" s="150" t="s">
        <v>229</v>
      </c>
    </row>
    <row r="223" spans="2:7" outlineLevel="1">
      <c r="B223"/>
    </row>
    <row r="224" spans="2:7" ht="14.4" outlineLevel="1">
      <c r="B224" s="123" t="s">
        <v>230</v>
      </c>
      <c r="C224" s="147" t="s">
        <v>116</v>
      </c>
      <c r="D224" s="147" t="s">
        <v>115</v>
      </c>
      <c r="E224" s="147" t="s">
        <v>114</v>
      </c>
      <c r="F224" s="147" t="s">
        <v>113</v>
      </c>
    </row>
    <row r="225" spans="2:8" outlineLevel="1">
      <c r="B225" s="122" t="s">
        <v>112</v>
      </c>
      <c r="C225" s="159">
        <f>-$C$22*C16</f>
        <v>-146</v>
      </c>
      <c r="D225" s="160">
        <f t="shared" ref="D225:F225" si="47">-$C$22*D16</f>
        <v>-153.29999999999998</v>
      </c>
      <c r="E225" s="160">
        <f t="shared" si="47"/>
        <v>-160.965</v>
      </c>
      <c r="F225" s="160">
        <f t="shared" si="47"/>
        <v>-169.01325</v>
      </c>
      <c r="H225" t="s">
        <v>231</v>
      </c>
    </row>
    <row r="226" spans="2:8" outlineLevel="1">
      <c r="B226" s="122" t="s">
        <v>111</v>
      </c>
      <c r="C226" s="158">
        <f t="shared" ref="C226:F226" si="48">-$C$22*C17</f>
        <v>0</v>
      </c>
      <c r="D226" s="161">
        <f t="shared" si="48"/>
        <v>-153.29999999999998</v>
      </c>
      <c r="E226" s="160">
        <f t="shared" si="48"/>
        <v>-160.965</v>
      </c>
      <c r="F226" s="160">
        <f t="shared" si="48"/>
        <v>-169.01325</v>
      </c>
    </row>
    <row r="227" spans="2:8" outlineLevel="1">
      <c r="B227" s="122" t="s">
        <v>110</v>
      </c>
      <c r="C227" s="158">
        <f t="shared" ref="C227:F227" si="49">-$C$22*C18</f>
        <v>0</v>
      </c>
      <c r="D227" s="158">
        <f t="shared" si="49"/>
        <v>0</v>
      </c>
      <c r="E227" s="161">
        <f t="shared" si="49"/>
        <v>-138.69999999999999</v>
      </c>
      <c r="F227" s="160">
        <f t="shared" si="49"/>
        <v>-145.63499999999999</v>
      </c>
    </row>
    <row r="228" spans="2:8" outlineLevel="1">
      <c r="B228" s="122" t="s">
        <v>109</v>
      </c>
      <c r="C228" s="158">
        <f t="shared" ref="C228:F228" si="50">-$C$22*C19</f>
        <v>0</v>
      </c>
      <c r="D228" s="158">
        <f t="shared" si="50"/>
        <v>0</v>
      </c>
      <c r="E228" s="158">
        <f t="shared" si="50"/>
        <v>0</v>
      </c>
      <c r="F228" s="161">
        <f t="shared" si="50"/>
        <v>-124.1</v>
      </c>
    </row>
    <row r="229" spans="2:8" outlineLevel="1">
      <c r="B229"/>
    </row>
    <row r="230" spans="2:8" outlineLevel="1">
      <c r="B230"/>
    </row>
    <row r="231" spans="2:8" ht="14.4" outlineLevel="1">
      <c r="B231" s="123" t="s">
        <v>247</v>
      </c>
      <c r="C231" s="147" t="s">
        <v>116</v>
      </c>
      <c r="D231" s="147" t="s">
        <v>115</v>
      </c>
      <c r="E231" s="147" t="s">
        <v>114</v>
      </c>
      <c r="F231" s="147" t="s">
        <v>113</v>
      </c>
    </row>
    <row r="232" spans="2:8" outlineLevel="1">
      <c r="B232" s="122" t="s">
        <v>112</v>
      </c>
      <c r="C232" s="159">
        <f>C16+C225</f>
        <v>54</v>
      </c>
      <c r="D232" s="160">
        <f t="shared" ref="D232:F232" si="51">D16+D225</f>
        <v>56.700000000000017</v>
      </c>
      <c r="E232" s="160">
        <f t="shared" si="51"/>
        <v>59.534999999999997</v>
      </c>
      <c r="F232" s="160">
        <f t="shared" si="51"/>
        <v>62.511750000000006</v>
      </c>
    </row>
    <row r="233" spans="2:8" outlineLevel="1">
      <c r="B233" s="122" t="s">
        <v>111</v>
      </c>
      <c r="C233" s="158">
        <f t="shared" ref="C233:F233" si="52">C17+C226</f>
        <v>0</v>
      </c>
      <c r="D233" s="161">
        <f t="shared" si="52"/>
        <v>56.700000000000017</v>
      </c>
      <c r="E233" s="160">
        <f t="shared" si="52"/>
        <v>59.534999999999997</v>
      </c>
      <c r="F233" s="160">
        <f t="shared" si="52"/>
        <v>62.511750000000006</v>
      </c>
    </row>
    <row r="234" spans="2:8" outlineLevel="1">
      <c r="B234" s="122" t="s">
        <v>110</v>
      </c>
      <c r="C234" s="158">
        <f t="shared" ref="C234:F234" si="53">C18+C227</f>
        <v>0</v>
      </c>
      <c r="D234" s="158">
        <f t="shared" si="53"/>
        <v>0</v>
      </c>
      <c r="E234" s="161">
        <f t="shared" si="53"/>
        <v>51.300000000000011</v>
      </c>
      <c r="F234" s="160">
        <f t="shared" si="53"/>
        <v>53.865000000000009</v>
      </c>
    </row>
    <row r="235" spans="2:8" outlineLevel="1">
      <c r="B235" s="122" t="s">
        <v>109</v>
      </c>
      <c r="C235" s="158">
        <f t="shared" ref="C235:F235" si="54">C19+C228</f>
        <v>0</v>
      </c>
      <c r="D235" s="158">
        <f t="shared" si="54"/>
        <v>0</v>
      </c>
      <c r="E235" s="158">
        <f t="shared" si="54"/>
        <v>0</v>
      </c>
      <c r="F235" s="161">
        <f t="shared" si="54"/>
        <v>45.900000000000006</v>
      </c>
    </row>
    <row r="236" spans="2:8" outlineLevel="1">
      <c r="B236"/>
    </row>
    <row r="237" spans="2:8" outlineLevel="1">
      <c r="B237"/>
    </row>
    <row r="238" spans="2:8" s="149" customFormat="1" ht="15.6" outlineLevel="1">
      <c r="B238" s="150" t="s">
        <v>55</v>
      </c>
    </row>
    <row r="239" spans="2:8" outlineLevel="1">
      <c r="B239"/>
    </row>
    <row r="240" spans="2:8" ht="14.4" outlineLevel="1">
      <c r="B240" s="123" t="s">
        <v>125</v>
      </c>
      <c r="C240" s="147" t="s">
        <v>116</v>
      </c>
      <c r="D240" s="147" t="s">
        <v>115</v>
      </c>
      <c r="E240" s="147" t="s">
        <v>114</v>
      </c>
      <c r="F240" s="147" t="s">
        <v>113</v>
      </c>
      <c r="H240" s="171" t="s">
        <v>161</v>
      </c>
    </row>
    <row r="241" spans="2:8" outlineLevel="1">
      <c r="B241" s="122" t="s">
        <v>112</v>
      </c>
      <c r="C241" s="221">
        <f>C10</f>
        <v>-90</v>
      </c>
      <c r="D241" s="222">
        <f t="shared" ref="D241:F241" si="55">D10</f>
        <v>-99</v>
      </c>
      <c r="E241" s="222">
        <f t="shared" si="55"/>
        <v>-107.91</v>
      </c>
      <c r="F241" s="222">
        <f t="shared" si="55"/>
        <v>-113.35499999999999</v>
      </c>
      <c r="H241" s="167"/>
    </row>
    <row r="242" spans="2:8" outlineLevel="1">
      <c r="B242" s="122" t="s">
        <v>111</v>
      </c>
      <c r="C242" s="222">
        <f t="shared" ref="C242:F242" si="56">C11</f>
        <v>0</v>
      </c>
      <c r="D242" s="223">
        <f t="shared" si="56"/>
        <v>-99</v>
      </c>
      <c r="E242" s="222">
        <f t="shared" si="56"/>
        <v>-108.9</v>
      </c>
      <c r="F242" s="222">
        <f t="shared" si="56"/>
        <v>-118.70100000000001</v>
      </c>
      <c r="H242" s="167"/>
    </row>
    <row r="243" spans="2:8" outlineLevel="1">
      <c r="B243" s="122" t="s">
        <v>110</v>
      </c>
      <c r="C243" s="222">
        <f t="shared" ref="C243:F243" si="57">C12</f>
        <v>0</v>
      </c>
      <c r="D243" s="222">
        <f t="shared" si="57"/>
        <v>0</v>
      </c>
      <c r="E243" s="223">
        <f t="shared" si="57"/>
        <v>-108.9</v>
      </c>
      <c r="F243" s="222">
        <f t="shared" si="57"/>
        <v>-119.79</v>
      </c>
      <c r="H243" s="167"/>
    </row>
    <row r="244" spans="2:8" outlineLevel="1">
      <c r="B244" s="122" t="s">
        <v>109</v>
      </c>
      <c r="C244" s="222">
        <f t="shared" ref="C244:F244" si="58">C13</f>
        <v>0</v>
      </c>
      <c r="D244" s="222">
        <f t="shared" si="58"/>
        <v>0</v>
      </c>
      <c r="E244" s="222">
        <f t="shared" si="58"/>
        <v>0</v>
      </c>
      <c r="F244" s="223">
        <f t="shared" si="58"/>
        <v>-119.79</v>
      </c>
      <c r="H244" s="167"/>
    </row>
    <row r="245" spans="2:8" outlineLevel="1">
      <c r="C245" s="158"/>
      <c r="D245" s="158"/>
      <c r="E245" s="158"/>
      <c r="F245" s="162"/>
      <c r="H245" s="167"/>
    </row>
    <row r="246" spans="2:8" ht="14.4" outlineLevel="1">
      <c r="B246" s="123" t="s">
        <v>162</v>
      </c>
      <c r="C246" s="147" t="s">
        <v>116</v>
      </c>
      <c r="D246" s="147" t="s">
        <v>115</v>
      </c>
      <c r="E246" s="147" t="s">
        <v>114</v>
      </c>
      <c r="F246" s="147" t="s">
        <v>113</v>
      </c>
      <c r="H246" s="171" t="s">
        <v>227</v>
      </c>
    </row>
    <row r="247" spans="2:8" ht="14.4" outlineLevel="1">
      <c r="B247" s="122" t="s">
        <v>112</v>
      </c>
      <c r="C247" s="246">
        <v>58.4</v>
      </c>
      <c r="D247" s="160">
        <f t="shared" ref="D247:F247" si="59">D78*D16*$C$22</f>
        <v>61.32</v>
      </c>
      <c r="E247" s="160">
        <f t="shared" si="59"/>
        <v>64.385999999999996</v>
      </c>
      <c r="F247" s="160">
        <f t="shared" si="59"/>
        <v>67.605300000000014</v>
      </c>
    </row>
    <row r="248" spans="2:8" outlineLevel="1">
      <c r="B248" s="122" t="s">
        <v>111</v>
      </c>
      <c r="C248" s="158">
        <f t="shared" ref="C248:F248" si="60">C79*C17*$C$22</f>
        <v>0</v>
      </c>
      <c r="D248" s="161">
        <f t="shared" si="60"/>
        <v>61.32</v>
      </c>
      <c r="E248" s="160">
        <f>E79*E17*$C$22</f>
        <v>64.385999999999996</v>
      </c>
      <c r="F248" s="160">
        <f t="shared" si="60"/>
        <v>69.750405000000015</v>
      </c>
      <c r="H248" s="167"/>
    </row>
    <row r="249" spans="2:8" outlineLevel="1">
      <c r="B249" s="122" t="s">
        <v>110</v>
      </c>
      <c r="C249" s="158">
        <f t="shared" ref="C249:F249" si="61">C80*C18*$C$22</f>
        <v>0</v>
      </c>
      <c r="D249" s="158">
        <f t="shared" si="61"/>
        <v>0</v>
      </c>
      <c r="E249" s="161">
        <f t="shared" si="61"/>
        <v>65.62700000000001</v>
      </c>
      <c r="F249" s="160">
        <f t="shared" si="61"/>
        <v>72.883200000000002</v>
      </c>
      <c r="H249" s="167"/>
    </row>
    <row r="250" spans="2:8" outlineLevel="1">
      <c r="B250" s="122" t="s">
        <v>109</v>
      </c>
      <c r="C250" s="158">
        <f t="shared" ref="C250:F250" si="62">C81*C19*$C$22</f>
        <v>0</v>
      </c>
      <c r="D250" s="158">
        <f t="shared" si="62"/>
        <v>0</v>
      </c>
      <c r="E250" s="158">
        <f t="shared" si="62"/>
        <v>0</v>
      </c>
      <c r="F250" s="161">
        <f t="shared" si="62"/>
        <v>75.036699999999996</v>
      </c>
      <c r="H250" s="167"/>
    </row>
    <row r="251" spans="2:8" outlineLevel="1">
      <c r="C251" s="158"/>
      <c r="D251" s="158"/>
      <c r="E251" s="158"/>
      <c r="F251" s="162"/>
      <c r="H251" s="167"/>
    </row>
    <row r="252" spans="2:8" ht="14.4" outlineLevel="1">
      <c r="B252" s="123" t="s">
        <v>127</v>
      </c>
      <c r="C252" s="147" t="s">
        <v>116</v>
      </c>
      <c r="D252" s="147" t="s">
        <v>115</v>
      </c>
      <c r="E252" s="147" t="s">
        <v>114</v>
      </c>
      <c r="F252" s="147" t="s">
        <v>113</v>
      </c>
      <c r="G252" s="32"/>
      <c r="H252" s="171" t="s">
        <v>216</v>
      </c>
    </row>
    <row r="253" spans="2:8" outlineLevel="1">
      <c r="B253" s="122" t="s">
        <v>112</v>
      </c>
      <c r="C253" s="221">
        <f>C241+C247</f>
        <v>-31.6</v>
      </c>
      <c r="D253" s="222">
        <f t="shared" ref="D253:F253" si="63">D241+D247</f>
        <v>-37.68</v>
      </c>
      <c r="E253" s="222">
        <f t="shared" si="63"/>
        <v>-43.524000000000001</v>
      </c>
      <c r="F253" s="222">
        <f t="shared" si="63"/>
        <v>-45.749699999999976</v>
      </c>
    </row>
    <row r="254" spans="2:8" outlineLevel="1">
      <c r="B254" s="122" t="s">
        <v>111</v>
      </c>
      <c r="C254" s="222">
        <f t="shared" ref="C254:F254" si="64">C242+C248</f>
        <v>0</v>
      </c>
      <c r="D254" s="223">
        <f t="shared" si="64"/>
        <v>-37.68</v>
      </c>
      <c r="E254" s="222">
        <f t="shared" si="64"/>
        <v>-44.51400000000001</v>
      </c>
      <c r="F254" s="222">
        <f t="shared" si="64"/>
        <v>-48.950594999999993</v>
      </c>
    </row>
    <row r="255" spans="2:8" outlineLevel="1">
      <c r="B255" s="122" t="s">
        <v>110</v>
      </c>
      <c r="C255" s="222">
        <f t="shared" ref="C255:F255" si="65">C243+C249</f>
        <v>0</v>
      </c>
      <c r="D255" s="222">
        <f t="shared" si="65"/>
        <v>0</v>
      </c>
      <c r="E255" s="223">
        <f t="shared" si="65"/>
        <v>-43.272999999999996</v>
      </c>
      <c r="F255" s="222">
        <f t="shared" si="65"/>
        <v>-46.906800000000004</v>
      </c>
    </row>
    <row r="256" spans="2:8" outlineLevel="1">
      <c r="B256" s="122" t="s">
        <v>109</v>
      </c>
      <c r="C256" s="222">
        <f t="shared" ref="C256:F256" si="66">C244+C250</f>
        <v>0</v>
      </c>
      <c r="D256" s="222">
        <f t="shared" si="66"/>
        <v>0</v>
      </c>
      <c r="E256" s="222">
        <f t="shared" si="66"/>
        <v>0</v>
      </c>
      <c r="F256" s="223">
        <f t="shared" si="66"/>
        <v>-44.75330000000001</v>
      </c>
    </row>
    <row r="257" spans="2:11" outlineLevel="1">
      <c r="B257"/>
    </row>
    <row r="258" spans="2:11" ht="14.4">
      <c r="B258" s="123" t="s">
        <v>198</v>
      </c>
      <c r="C258" s="147" t="s">
        <v>116</v>
      </c>
      <c r="D258" s="147" t="s">
        <v>115</v>
      </c>
      <c r="E258" s="147" t="s">
        <v>114</v>
      </c>
      <c r="F258" s="147" t="s">
        <v>113</v>
      </c>
      <c r="H258" s="210" t="s">
        <v>246</v>
      </c>
      <c r="I258" s="2"/>
      <c r="J258" s="2"/>
      <c r="K258" s="2"/>
    </row>
    <row r="259" spans="2:11">
      <c r="B259" s="122" t="s">
        <v>112</v>
      </c>
      <c r="C259" s="159">
        <f>C253+C209+C232</f>
        <v>89.56</v>
      </c>
      <c r="D259" s="160">
        <f t="shared" ref="D259:F259" si="67">D253+D209+D232</f>
        <v>89.538000000000011</v>
      </c>
      <c r="E259" s="160">
        <f t="shared" si="67"/>
        <v>90.054899999999989</v>
      </c>
      <c r="F259" s="160">
        <f t="shared" si="67"/>
        <v>94.508145000000027</v>
      </c>
    </row>
    <row r="260" spans="2:11">
      <c r="B260" s="122" t="s">
        <v>111</v>
      </c>
      <c r="C260" s="158">
        <f t="shared" ref="C260:F260" si="68">C254+C210+C233</f>
        <v>0</v>
      </c>
      <c r="D260" s="161">
        <f t="shared" si="68"/>
        <v>89.538000000000011</v>
      </c>
      <c r="E260" s="160">
        <f t="shared" si="68"/>
        <v>89.06489999999998</v>
      </c>
      <c r="F260" s="160">
        <f t="shared" si="68"/>
        <v>88.947634500000007</v>
      </c>
    </row>
    <row r="261" spans="2:11">
      <c r="B261" s="122" t="s">
        <v>110</v>
      </c>
      <c r="C261" s="158">
        <f t="shared" ref="C261:F261" si="69">C255+C211+C234</f>
        <v>0</v>
      </c>
      <c r="D261" s="158">
        <f t="shared" si="69"/>
        <v>0</v>
      </c>
      <c r="E261" s="161">
        <f t="shared" si="69"/>
        <v>60.667300000000019</v>
      </c>
      <c r="F261" s="160">
        <f t="shared" si="69"/>
        <v>57.930450000000008</v>
      </c>
    </row>
    <row r="262" spans="2:11">
      <c r="B262" s="122" t="s">
        <v>109</v>
      </c>
      <c r="C262" s="158">
        <f t="shared" ref="C262:F262" si="70">C256+C212+C235</f>
        <v>0</v>
      </c>
      <c r="D262" s="158">
        <f t="shared" si="70"/>
        <v>0</v>
      </c>
      <c r="E262" s="158">
        <f t="shared" si="70"/>
        <v>0</v>
      </c>
      <c r="F262" s="161">
        <f t="shared" si="70"/>
        <v>43.601309999999977</v>
      </c>
    </row>
    <row r="263" spans="2:11" hidden="1" outlineLevel="1">
      <c r="B263"/>
    </row>
    <row r="264" spans="2:11" ht="14.4" hidden="1" outlineLevel="1">
      <c r="B264" s="123" t="s">
        <v>199</v>
      </c>
      <c r="C264" s="147" t="s">
        <v>116</v>
      </c>
      <c r="D264" s="147" t="s">
        <v>115</v>
      </c>
      <c r="E264" s="147" t="s">
        <v>114</v>
      </c>
      <c r="F264" s="147" t="s">
        <v>113</v>
      </c>
    </row>
    <row r="265" spans="2:11" hidden="1" outlineLevel="1">
      <c r="B265" s="122" t="s">
        <v>112</v>
      </c>
      <c r="C265" s="159">
        <f>C259</f>
        <v>89.56</v>
      </c>
      <c r="D265" s="160">
        <f>D259-C259</f>
        <v>-2.199999999999136E-2</v>
      </c>
      <c r="E265" s="160">
        <f t="shared" ref="E265:F266" si="71">E259-D259</f>
        <v>0.51689999999997838</v>
      </c>
      <c r="F265" s="160">
        <f t="shared" si="71"/>
        <v>4.4532450000000381</v>
      </c>
    </row>
    <row r="266" spans="2:11" hidden="1" outlineLevel="1">
      <c r="B266" s="122" t="s">
        <v>111</v>
      </c>
      <c r="C266" s="158"/>
      <c r="D266" s="161">
        <f>D260</f>
        <v>89.538000000000011</v>
      </c>
      <c r="E266" s="160">
        <f t="shared" si="71"/>
        <v>-0.47310000000003072</v>
      </c>
      <c r="F266" s="160">
        <f t="shared" si="71"/>
        <v>-0.1172654999999736</v>
      </c>
    </row>
    <row r="267" spans="2:11" hidden="1" outlineLevel="1">
      <c r="B267" s="122" t="s">
        <v>110</v>
      </c>
      <c r="C267" s="158"/>
      <c r="D267" s="158"/>
      <c r="E267" s="161">
        <f>E261</f>
        <v>60.667300000000019</v>
      </c>
      <c r="F267" s="160">
        <f t="shared" ref="F267" si="72">F261-E261</f>
        <v>-2.7368500000000111</v>
      </c>
    </row>
    <row r="268" spans="2:11" hidden="1" outlineLevel="1">
      <c r="B268" s="122" t="s">
        <v>109</v>
      </c>
      <c r="C268" s="158"/>
      <c r="D268" s="158"/>
      <c r="E268" s="158"/>
      <c r="F268" s="161">
        <f>F262</f>
        <v>43.601309999999977</v>
      </c>
    </row>
    <row r="269" spans="2:11" hidden="1" outlineLevel="1">
      <c r="B269"/>
    </row>
    <row r="270" spans="2:11" hidden="1" outlineLevel="1">
      <c r="B270"/>
    </row>
    <row r="271" spans="2:11" hidden="1" outlineLevel="1"/>
    <row r="272" spans="2:11" ht="14.4" hidden="1" outlineLevel="1">
      <c r="B272" s="123"/>
      <c r="C272" s="147" t="s">
        <v>116</v>
      </c>
      <c r="D272" s="147" t="s">
        <v>115</v>
      </c>
      <c r="E272" s="147" t="s">
        <v>114</v>
      </c>
      <c r="F272" s="147" t="s">
        <v>113</v>
      </c>
    </row>
    <row r="273" spans="2:7" ht="14.4" hidden="1" outlineLevel="1">
      <c r="B273" s="189" t="s">
        <v>232</v>
      </c>
      <c r="C273" s="179">
        <f>C265</f>
        <v>89.56</v>
      </c>
      <c r="D273" s="179">
        <f>D266</f>
        <v>89.538000000000011</v>
      </c>
      <c r="E273" s="179">
        <f>E267</f>
        <v>60.667300000000019</v>
      </c>
      <c r="F273" s="178">
        <f>F268</f>
        <v>43.601309999999977</v>
      </c>
    </row>
    <row r="274" spans="2:7" ht="14.4" hidden="1" outlineLevel="1">
      <c r="B274" s="187" t="s">
        <v>234</v>
      </c>
      <c r="C274" s="188">
        <f>SUM(C275:C278)</f>
        <v>0</v>
      </c>
      <c r="D274" s="188">
        <f>SUM(D275:D278)</f>
        <v>-2.199999999999136E-2</v>
      </c>
      <c r="E274" s="188">
        <f t="shared" ref="E274:F274" si="73">SUM(E275:E278)</f>
        <v>4.3799999999947659E-2</v>
      </c>
      <c r="F274" s="188">
        <f t="shared" si="73"/>
        <v>1.5991295000000534</v>
      </c>
    </row>
    <row r="275" spans="2:7" hidden="1" outlineLevel="1">
      <c r="B275" s="122" t="s">
        <v>112</v>
      </c>
      <c r="C275" s="181"/>
      <c r="D275" s="186">
        <f>D265</f>
        <v>-2.199999999999136E-2</v>
      </c>
      <c r="E275" s="186">
        <f t="shared" ref="E275:F275" si="74">E265</f>
        <v>0.51689999999997838</v>
      </c>
      <c r="F275" s="186">
        <f t="shared" si="74"/>
        <v>4.4532450000000381</v>
      </c>
    </row>
    <row r="276" spans="2:7" hidden="1" outlineLevel="1">
      <c r="B276" s="122" t="s">
        <v>111</v>
      </c>
      <c r="C276" s="185"/>
      <c r="D276" s="181"/>
      <c r="E276" s="186">
        <f>E266</f>
        <v>-0.47310000000003072</v>
      </c>
      <c r="F276" s="186">
        <f>F266</f>
        <v>-0.1172654999999736</v>
      </c>
    </row>
    <row r="277" spans="2:7" hidden="1" outlineLevel="1">
      <c r="B277" s="122" t="s">
        <v>110</v>
      </c>
      <c r="C277" s="185"/>
      <c r="D277" s="181"/>
      <c r="E277" s="181"/>
      <c r="F277" s="186">
        <f>F267</f>
        <v>-2.7368500000000111</v>
      </c>
    </row>
    <row r="278" spans="2:7" hidden="1" outlineLevel="1">
      <c r="B278" s="122" t="s">
        <v>109</v>
      </c>
      <c r="C278" s="185"/>
      <c r="D278" s="181"/>
      <c r="E278" s="181"/>
      <c r="F278" s="181"/>
    </row>
    <row r="279" spans="2:7" s="32" customFormat="1" hidden="1" outlineLevel="1">
      <c r="B279" s="135" t="s">
        <v>233</v>
      </c>
      <c r="C279" s="182">
        <f>C273+C274</f>
        <v>89.56</v>
      </c>
      <c r="D279" s="182">
        <f>D273+D274</f>
        <v>89.51600000000002</v>
      </c>
      <c r="E279" s="182">
        <f>E273+E274</f>
        <v>60.711099999999966</v>
      </c>
      <c r="F279" s="182">
        <f>F273+F274</f>
        <v>45.20043950000003</v>
      </c>
      <c r="G279" s="180">
        <f>G273+G274</f>
        <v>0</v>
      </c>
    </row>
    <row r="280" spans="2:7" hidden="1" outlineLevel="1"/>
    <row r="281" spans="2:7" hidden="1" outlineLevel="1"/>
    <row r="282" spans="2:7" collapsed="1"/>
    <row r="286" spans="2:7" ht="13.8" thickBot="1"/>
    <row r="287" spans="2:7" ht="60.6" thickBot="1">
      <c r="C287" s="245">
        <v>6</v>
      </c>
    </row>
  </sheetData>
  <dataValidations count="1">
    <dataValidation type="list" allowBlank="1" showInputMessage="1" showErrorMessage="1" sqref="C203">
      <formula1>$F$203:$F$205</formula1>
    </dataValidation>
  </dataValidations>
  <pageMargins left="0.7" right="0.7" top="0.78740157499999996" bottom="0.78740157499999996" header="0.3" footer="0.3"/>
  <pageSetup paperSize="9" scale="58" orientation="landscape" r:id="rId1"/>
  <rowBreaks count="3" manualBreakCount="3">
    <brk id="59" max="12" man="1"/>
    <brk id="115" max="12" man="1"/>
    <brk id="200" max="12" man="1"/>
  </rowBreak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2:I49"/>
  <sheetViews>
    <sheetView showGridLines="0" topLeftCell="A16" zoomScale="115" zoomScaleNormal="115" workbookViewId="0">
      <selection activeCell="B2" sqref="B2"/>
    </sheetView>
  </sheetViews>
  <sheetFormatPr defaultColWidth="11.5546875" defaultRowHeight="13.2"/>
  <cols>
    <col min="1" max="1" width="36.88671875" style="32" customWidth="1"/>
    <col min="2" max="2" width="82.6640625" style="195" customWidth="1"/>
  </cols>
  <sheetData>
    <row r="2" spans="1:2">
      <c r="B2" s="194" t="s">
        <v>104</v>
      </c>
    </row>
    <row r="4" spans="1:2">
      <c r="A4" s="121" t="s">
        <v>152</v>
      </c>
    </row>
    <row r="5" spans="1:2">
      <c r="B5" s="195" t="s">
        <v>146</v>
      </c>
    </row>
    <row r="6" spans="1:2">
      <c r="B6" s="204" t="s">
        <v>4</v>
      </c>
    </row>
    <row r="7" spans="1:2">
      <c r="B7" s="204" t="s">
        <v>92</v>
      </c>
    </row>
    <row r="8" spans="1:2">
      <c r="B8" s="204" t="s">
        <v>137</v>
      </c>
    </row>
    <row r="9" spans="1:2">
      <c r="B9" s="195" t="s">
        <v>147</v>
      </c>
    </row>
    <row r="11" spans="1:2">
      <c r="B11" s="195" t="s">
        <v>217</v>
      </c>
    </row>
    <row r="12" spans="1:2">
      <c r="B12" s="195" t="s">
        <v>144</v>
      </c>
    </row>
    <row r="13" spans="1:2">
      <c r="B13" s="195" t="s">
        <v>145</v>
      </c>
    </row>
    <row r="15" spans="1:2">
      <c r="A15" s="121" t="s">
        <v>4</v>
      </c>
    </row>
    <row r="16" spans="1:2">
      <c r="A16" s="40"/>
      <c r="B16" s="206" t="s">
        <v>228</v>
      </c>
    </row>
    <row r="17" spans="1:9">
      <c r="B17" s="195" t="s">
        <v>156</v>
      </c>
    </row>
    <row r="18" spans="1:9">
      <c r="B18" s="195" t="s">
        <v>207</v>
      </c>
    </row>
    <row r="19" spans="1:9" ht="26.4">
      <c r="B19" s="195" t="s">
        <v>157</v>
      </c>
    </row>
    <row r="20" spans="1:9">
      <c r="B20" s="195" t="s">
        <v>154</v>
      </c>
    </row>
    <row r="21" spans="1:9">
      <c r="B21" s="196" t="s">
        <v>155</v>
      </c>
    </row>
    <row r="22" spans="1:9" ht="26.4">
      <c r="B22" s="196" t="s">
        <v>136</v>
      </c>
    </row>
    <row r="24" spans="1:9">
      <c r="A24" s="121" t="s">
        <v>41</v>
      </c>
    </row>
    <row r="25" spans="1:9">
      <c r="B25" s="197" t="s">
        <v>148</v>
      </c>
      <c r="C25" s="130"/>
      <c r="D25" s="130"/>
      <c r="E25" s="130"/>
      <c r="F25" s="130"/>
      <c r="G25" s="130"/>
      <c r="H25" s="130"/>
      <c r="I25" s="130"/>
    </row>
    <row r="26" spans="1:9">
      <c r="A26" s="183" t="s">
        <v>177</v>
      </c>
      <c r="B26" s="195" t="s">
        <v>163</v>
      </c>
    </row>
    <row r="27" spans="1:9">
      <c r="A27" s="183"/>
    </row>
    <row r="28" spans="1:9" ht="26.4">
      <c r="B28" s="195" t="s">
        <v>149</v>
      </c>
    </row>
    <row r="29" spans="1:9">
      <c r="B29" s="195" t="s">
        <v>150</v>
      </c>
    </row>
    <row r="30" spans="1:9">
      <c r="B30" s="195" t="s">
        <v>151</v>
      </c>
    </row>
    <row r="31" spans="1:9">
      <c r="B31" s="195" t="s">
        <v>142</v>
      </c>
    </row>
    <row r="32" spans="1:9">
      <c r="B32" s="195" t="s">
        <v>143</v>
      </c>
    </row>
    <row r="34" spans="1:2">
      <c r="A34" s="183" t="s">
        <v>92</v>
      </c>
      <c r="B34" s="195" t="s">
        <v>206</v>
      </c>
    </row>
    <row r="35" spans="1:2">
      <c r="A35" s="183"/>
    </row>
    <row r="36" spans="1:2">
      <c r="A36" s="183" t="s">
        <v>137</v>
      </c>
      <c r="B36" s="195" t="s">
        <v>189</v>
      </c>
    </row>
    <row r="37" spans="1:2">
      <c r="B37" s="195" t="s">
        <v>190</v>
      </c>
    </row>
    <row r="38" spans="1:2">
      <c r="B38" s="195" t="s">
        <v>201</v>
      </c>
    </row>
    <row r="39" spans="1:2">
      <c r="B39" s="195" t="s">
        <v>202</v>
      </c>
    </row>
    <row r="41" spans="1:2">
      <c r="A41" s="121" t="s">
        <v>164</v>
      </c>
    </row>
    <row r="42" spans="1:2">
      <c r="B42" s="195" t="s">
        <v>195</v>
      </c>
    </row>
    <row r="43" spans="1:2">
      <c r="B43" s="195" t="s">
        <v>196</v>
      </c>
    </row>
    <row r="44" spans="1:2">
      <c r="B44" s="195" t="s">
        <v>197</v>
      </c>
    </row>
    <row r="45" spans="1:2">
      <c r="B45" s="195" t="s">
        <v>194</v>
      </c>
    </row>
    <row r="46" spans="1:2">
      <c r="B46" s="195" t="s">
        <v>208</v>
      </c>
    </row>
    <row r="47" spans="1:2">
      <c r="A47" s="121" t="s">
        <v>200</v>
      </c>
    </row>
    <row r="48" spans="1:2">
      <c r="B48" s="195" t="s">
        <v>153</v>
      </c>
    </row>
    <row r="49" spans="2:2">
      <c r="B49" s="195" t="s">
        <v>158</v>
      </c>
    </row>
  </sheetData>
  <pageMargins left="0.70866141732283472" right="0.70866141732283472" top="0.78740157480314965" bottom="0.78740157480314965" header="0.31496062992125984" footer="0.31496062992125984"/>
  <pageSetup paperSize="9" scale="74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Tabelle3"/>
  <dimension ref="A1:S35"/>
  <sheetViews>
    <sheetView showGridLines="0" zoomScale="85" zoomScaleNormal="85" workbookViewId="0">
      <selection activeCell="Q1" sqref="Q1:Q2"/>
    </sheetView>
  </sheetViews>
  <sheetFormatPr defaultColWidth="11.44140625" defaultRowHeight="13.2"/>
  <cols>
    <col min="3" max="3" width="19.6640625" bestFit="1" customWidth="1"/>
    <col min="5" max="5" width="19.88671875" bestFit="1" customWidth="1"/>
    <col min="9" max="9" width="9.44140625" customWidth="1"/>
    <col min="10" max="10" width="19.109375" customWidth="1"/>
    <col min="11" max="11" width="19.6640625" bestFit="1" customWidth="1"/>
    <col min="17" max="17" width="17.44140625" bestFit="1" customWidth="1"/>
    <col min="19" max="19" width="14.6640625" bestFit="1" customWidth="1"/>
  </cols>
  <sheetData>
    <row r="1" spans="1:18">
      <c r="A1" s="42" t="s">
        <v>26</v>
      </c>
      <c r="C1" s="72" t="s">
        <v>2</v>
      </c>
      <c r="D1" s="40"/>
      <c r="E1" s="72" t="s">
        <v>56</v>
      </c>
      <c r="F1" s="40"/>
      <c r="Q1" s="30" t="s">
        <v>24</v>
      </c>
    </row>
    <row r="2" spans="1:18">
      <c r="A2" s="41">
        <v>1000</v>
      </c>
      <c r="C2" s="33">
        <v>2.2000000000000002</v>
      </c>
      <c r="E2" s="33">
        <f>MIN(C2,C6)</f>
        <v>2</v>
      </c>
      <c r="H2" t="s">
        <v>33</v>
      </c>
      <c r="Q2" s="33">
        <v>0.3</v>
      </c>
      <c r="R2" t="s">
        <v>29</v>
      </c>
    </row>
    <row r="3" spans="1:18">
      <c r="H3" t="s">
        <v>34</v>
      </c>
      <c r="R3" t="s">
        <v>30</v>
      </c>
    </row>
    <row r="4" spans="1:18">
      <c r="H4" t="s">
        <v>35</v>
      </c>
    </row>
    <row r="5" spans="1:18">
      <c r="A5" s="42" t="s">
        <v>25</v>
      </c>
      <c r="B5" s="32"/>
      <c r="C5" s="42" t="s">
        <v>27</v>
      </c>
    </row>
    <row r="6" spans="1:18">
      <c r="A6" s="41">
        <v>2000</v>
      </c>
      <c r="C6" s="28">
        <f>A6/A2</f>
        <v>2</v>
      </c>
    </row>
    <row r="9" spans="1:18" s="35" customFormat="1">
      <c r="I9" s="42" t="s">
        <v>57</v>
      </c>
    </row>
    <row r="10" spans="1:18" s="35" customFormat="1"/>
    <row r="11" spans="1:18" s="35" customFormat="1">
      <c r="I11" s="43" t="s">
        <v>13</v>
      </c>
      <c r="J11" s="43" t="s">
        <v>14</v>
      </c>
      <c r="M11" s="24" t="s">
        <v>16</v>
      </c>
      <c r="N11" s="36" t="s">
        <v>23</v>
      </c>
    </row>
    <row r="12" spans="1:18" s="35" customFormat="1">
      <c r="I12" s="44">
        <v>0</v>
      </c>
      <c r="J12" s="44">
        <v>0</v>
      </c>
      <c r="M12" s="27">
        <f>MIN($E$2,I13)-MIN($E$2,I12)</f>
        <v>0.6</v>
      </c>
      <c r="N12" s="5">
        <f t="shared" ref="N12:N20" si="0">M12*J12</f>
        <v>0</v>
      </c>
    </row>
    <row r="13" spans="1:18" s="35" customFormat="1">
      <c r="I13" s="44">
        <v>0.6</v>
      </c>
      <c r="J13" s="44">
        <v>1</v>
      </c>
      <c r="M13" s="27">
        <f>MIN($E$2,I14)-MIN($E$2,I13)</f>
        <v>5.0000000000000044E-2</v>
      </c>
      <c r="N13" s="5">
        <f t="shared" si="0"/>
        <v>5.0000000000000044E-2</v>
      </c>
    </row>
    <row r="14" spans="1:18" s="35" customFormat="1">
      <c r="I14" s="44">
        <v>0.65</v>
      </c>
      <c r="J14" s="44">
        <v>0.5</v>
      </c>
      <c r="M14" s="27">
        <f>MIN($E$2,I15)-MIN($E$2,I14)</f>
        <v>4.9999999999999933E-2</v>
      </c>
      <c r="N14" s="5">
        <f t="shared" si="0"/>
        <v>2.4999999999999967E-2</v>
      </c>
    </row>
    <row r="15" spans="1:18" s="35" customFormat="1">
      <c r="I15" s="44">
        <v>0.7</v>
      </c>
      <c r="J15" s="44">
        <v>0</v>
      </c>
      <c r="M15" s="27">
        <f>MIN($E$2,I16)-MIN($E$2,I15)</f>
        <v>1.3</v>
      </c>
      <c r="N15" s="5">
        <f t="shared" si="0"/>
        <v>0</v>
      </c>
    </row>
    <row r="16" spans="1:18" s="35" customFormat="1">
      <c r="I16" s="45"/>
      <c r="J16" s="45"/>
      <c r="M16" s="27">
        <f>MIN($E$2,I22)-MIN($E$2,I16)</f>
        <v>0</v>
      </c>
      <c r="N16" s="5">
        <f t="shared" si="0"/>
        <v>0</v>
      </c>
    </row>
    <row r="17" spans="7:19" s="35" customFormat="1">
      <c r="I17" s="45"/>
      <c r="J17" s="45"/>
      <c r="M17" s="27">
        <f>MIN($E$2,I23)-MIN($E$2,I17)</f>
        <v>0</v>
      </c>
      <c r="N17" s="5">
        <f t="shared" si="0"/>
        <v>0</v>
      </c>
    </row>
    <row r="18" spans="7:19" s="35" customFormat="1">
      <c r="I18" s="45"/>
      <c r="J18" s="45"/>
      <c r="M18" s="27">
        <f>MIN($E$2,I24)-MIN($E$2,I18)</f>
        <v>0</v>
      </c>
      <c r="N18" s="5">
        <f t="shared" si="0"/>
        <v>0</v>
      </c>
    </row>
    <row r="19" spans="7:19" s="35" customFormat="1">
      <c r="I19" s="45"/>
      <c r="J19" s="45"/>
      <c r="M19" s="27">
        <f>MIN($E$2,I25)-MIN($E$2,I19)</f>
        <v>0</v>
      </c>
      <c r="N19" s="5">
        <f t="shared" si="0"/>
        <v>0</v>
      </c>
    </row>
    <row r="20" spans="7:19" s="35" customFormat="1">
      <c r="I20" s="45"/>
      <c r="J20" s="45"/>
      <c r="M20" s="27">
        <f>MIN($E$2,I26)-MIN($E$2,I20)</f>
        <v>0</v>
      </c>
      <c r="N20" s="5">
        <f t="shared" si="0"/>
        <v>0</v>
      </c>
    </row>
    <row r="21" spans="7:19" s="35" customFormat="1">
      <c r="G21" s="35" t="s">
        <v>21</v>
      </c>
      <c r="I21" s="45"/>
      <c r="J21" s="45" t="s">
        <v>20</v>
      </c>
      <c r="M21" s="27"/>
      <c r="N21" s="5"/>
    </row>
    <row r="22" spans="7:19" s="35" customFormat="1">
      <c r="I22" s="45" t="s">
        <v>22</v>
      </c>
      <c r="J22" s="45"/>
      <c r="N22" s="5"/>
      <c r="Q22" s="37" t="s">
        <v>53</v>
      </c>
      <c r="R22" s="24"/>
      <c r="S22" s="37" t="s">
        <v>54</v>
      </c>
    </row>
    <row r="23" spans="7:19" s="35" customFormat="1">
      <c r="I23" s="46" t="s">
        <v>28</v>
      </c>
      <c r="J23" s="46"/>
      <c r="M23" s="70" t="s">
        <v>55</v>
      </c>
      <c r="N23" s="71">
        <f>SUM(N12:N20)</f>
        <v>7.5000000000000011E-2</v>
      </c>
      <c r="Q23" s="38">
        <f>E2-N23</f>
        <v>1.925</v>
      </c>
      <c r="R23" s="24"/>
      <c r="S23" s="39">
        <f>Q23*Q2</f>
        <v>0.57750000000000001</v>
      </c>
    </row>
    <row r="24" spans="7:19" s="35" customFormat="1"/>
    <row r="25" spans="7:19" s="35" customFormat="1"/>
    <row r="26" spans="7:19" s="35" customFormat="1">
      <c r="M26" s="35" t="s">
        <v>19</v>
      </c>
    </row>
    <row r="28" spans="7:19" s="47" customFormat="1">
      <c r="I28" s="47" t="s">
        <v>32</v>
      </c>
    </row>
    <row r="29" spans="7:19" s="47" customFormat="1"/>
    <row r="31" spans="7:19" s="57" customFormat="1">
      <c r="I31" s="57" t="s">
        <v>31</v>
      </c>
    </row>
    <row r="32" spans="7:19" s="35" customFormat="1">
      <c r="I32" s="34"/>
      <c r="M32" s="24"/>
      <c r="N32" s="36"/>
    </row>
    <row r="33" spans="9:14" s="35" customFormat="1">
      <c r="I33" s="69" t="s">
        <v>1</v>
      </c>
      <c r="J33" s="48">
        <f>E2</f>
        <v>2</v>
      </c>
      <c r="M33" s="27"/>
      <c r="N33" s="5"/>
    </row>
    <row r="34" spans="9:14" s="35" customFormat="1">
      <c r="I34" s="69" t="s">
        <v>51</v>
      </c>
      <c r="J34" s="4">
        <f>NewSliding!K18</f>
        <v>0.05</v>
      </c>
      <c r="M34" s="27"/>
      <c r="N34" s="5"/>
    </row>
    <row r="35" spans="9:14" s="35" customFormat="1"/>
  </sheetData>
  <pageMargins left="0.7" right="0.7" top="0.78740157499999996" bottom="0.78740157499999996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codeName="Tabelle2"/>
  <dimension ref="A3:AA147"/>
  <sheetViews>
    <sheetView showGridLines="0" zoomScale="85" zoomScaleNormal="85" zoomScaleSheetLayoutView="40" workbookViewId="0">
      <selection activeCell="B6" sqref="B6:E6"/>
    </sheetView>
  </sheetViews>
  <sheetFormatPr defaultColWidth="11.44140625" defaultRowHeight="14.4" outlineLevelRow="1"/>
  <cols>
    <col min="1" max="1" width="65" style="73" bestFit="1" customWidth="1"/>
    <col min="2" max="5" width="11.5546875" style="73" bestFit="1" customWidth="1"/>
    <col min="6" max="16384" width="11.44140625" style="73"/>
  </cols>
  <sheetData>
    <row r="3" spans="1:8">
      <c r="A3" s="73" t="s">
        <v>105</v>
      </c>
    </row>
    <row r="6" spans="1:8">
      <c r="A6" s="73" t="s">
        <v>40</v>
      </c>
      <c r="B6" s="73" t="s">
        <v>39</v>
      </c>
      <c r="C6" s="73" t="s">
        <v>38</v>
      </c>
      <c r="D6" s="73" t="s">
        <v>37</v>
      </c>
      <c r="E6" s="73" t="s">
        <v>36</v>
      </c>
    </row>
    <row r="8" spans="1:8" ht="15" thickBot="1"/>
    <row r="9" spans="1:8" s="74" customFormat="1" ht="15" thickBot="1">
      <c r="A9" s="74" t="s">
        <v>58</v>
      </c>
      <c r="B9" s="75">
        <f>B10+B16</f>
        <v>-72204.399999999994</v>
      </c>
      <c r="C9" s="75">
        <f t="shared" ref="C9:E9" si="0">C10+C16</f>
        <v>-64825.536000000007</v>
      </c>
      <c r="D9" s="75">
        <f t="shared" si="0"/>
        <v>-95465.282500000001</v>
      </c>
      <c r="E9" s="75">
        <f t="shared" si="0"/>
        <v>-109310.21244973807</v>
      </c>
      <c r="F9" s="76" t="s">
        <v>59</v>
      </c>
      <c r="G9" s="76"/>
      <c r="H9" s="77"/>
    </row>
    <row r="10" spans="1:8" s="81" customFormat="1" ht="15" thickBot="1">
      <c r="A10" s="78" t="s">
        <v>60</v>
      </c>
      <c r="B10" s="79">
        <f t="shared" ref="B10" si="1">SUM(B11:B15)</f>
        <v>-93214.399999999994</v>
      </c>
      <c r="C10" s="80">
        <f>SUM(C11:C15)</f>
        <v>-98904.876000000004</v>
      </c>
      <c r="D10" s="80">
        <f t="shared" ref="D10:E10" si="2">SUM(D11:D15)</f>
        <v>-104747.3636</v>
      </c>
      <c r="E10" s="80">
        <f t="shared" si="2"/>
        <v>-110981.33805523807</v>
      </c>
      <c r="F10" s="76" t="s">
        <v>59</v>
      </c>
      <c r="G10" s="76"/>
      <c r="H10" s="77"/>
    </row>
    <row r="11" spans="1:8" ht="15" thickBot="1">
      <c r="A11" s="82" t="s">
        <v>61</v>
      </c>
      <c r="B11" s="83">
        <v>0</v>
      </c>
      <c r="C11" s="73">
        <v>0</v>
      </c>
      <c r="D11" s="73">
        <v>0</v>
      </c>
      <c r="E11" s="73">
        <v>0</v>
      </c>
      <c r="F11" s="73" t="s">
        <v>62</v>
      </c>
    </row>
    <row r="12" spans="1:8" ht="15" outlineLevel="1" thickBot="1">
      <c r="A12" s="73">
        <v>2012</v>
      </c>
      <c r="B12" s="84">
        <f>B25</f>
        <v>-93214.399999999994</v>
      </c>
      <c r="C12" s="85"/>
      <c r="D12" s="86"/>
      <c r="E12" s="87"/>
    </row>
    <row r="13" spans="1:8" ht="15" outlineLevel="1" thickBot="1">
      <c r="A13" s="73">
        <v>2013</v>
      </c>
      <c r="C13" s="84">
        <f>C26</f>
        <v>-98904.876000000004</v>
      </c>
      <c r="D13" s="85"/>
      <c r="E13" s="87"/>
    </row>
    <row r="14" spans="1:8" ht="15" outlineLevel="1" thickBot="1">
      <c r="A14" s="73">
        <v>2014</v>
      </c>
      <c r="D14" s="84">
        <f>D27</f>
        <v>-104747.3636</v>
      </c>
      <c r="E14" s="88"/>
    </row>
    <row r="15" spans="1:8" ht="15" outlineLevel="1" thickBot="1">
      <c r="A15" s="73">
        <v>2015</v>
      </c>
      <c r="E15" s="84">
        <f>E28</f>
        <v>-110981.33805523807</v>
      </c>
    </row>
    <row r="16" spans="1:8" s="81" customFormat="1" ht="15" thickBot="1">
      <c r="A16" s="89" t="s">
        <v>63</v>
      </c>
      <c r="B16" s="79">
        <f t="shared" ref="B16" si="3">SUM(B17:B21)</f>
        <v>21010</v>
      </c>
      <c r="C16" s="80">
        <f>SUM(C17:C21)</f>
        <v>34079.339999999997</v>
      </c>
      <c r="D16" s="80">
        <f t="shared" ref="D16:E16" si="4">SUM(D17:D21)</f>
        <v>9282.0811000000012</v>
      </c>
      <c r="E16" s="80">
        <f t="shared" si="4"/>
        <v>1671.1256055000013</v>
      </c>
      <c r="F16" s="76" t="s">
        <v>59</v>
      </c>
      <c r="G16" s="76"/>
      <c r="H16" s="77"/>
    </row>
    <row r="17" spans="1:7" ht="15" thickBot="1">
      <c r="A17" s="82" t="s">
        <v>61</v>
      </c>
      <c r="B17" s="90">
        <f>B24</f>
        <v>21010</v>
      </c>
      <c r="C17" s="90">
        <f t="shared" ref="C17:E20" si="5">C24</f>
        <v>33962.5</v>
      </c>
      <c r="D17" s="90">
        <f t="shared" si="5"/>
        <v>6652.7049999999999</v>
      </c>
      <c r="E17" s="90">
        <f t="shared" si="5"/>
        <v>849.42444299999943</v>
      </c>
    </row>
    <row r="18" spans="1:7" ht="15" outlineLevel="1" thickBot="1">
      <c r="A18" s="73">
        <v>2012</v>
      </c>
      <c r="B18" s="91"/>
      <c r="C18" s="90">
        <f t="shared" si="5"/>
        <v>116.83999999999833</v>
      </c>
      <c r="D18" s="90">
        <f t="shared" si="5"/>
        <v>2017.5600000000018</v>
      </c>
      <c r="E18" s="90">
        <f t="shared" si="5"/>
        <v>-920</v>
      </c>
    </row>
    <row r="19" spans="1:7" ht="15" outlineLevel="1" thickBot="1">
      <c r="A19" s="73">
        <v>2013</v>
      </c>
      <c r="C19" s="91"/>
      <c r="D19" s="90">
        <f t="shared" si="5"/>
        <v>611.81609999999989</v>
      </c>
      <c r="E19" s="90">
        <f t="shared" si="5"/>
        <v>562.70345250000071</v>
      </c>
    </row>
    <row r="20" spans="1:7" ht="15" outlineLevel="1" thickBot="1">
      <c r="A20" s="73">
        <v>2014</v>
      </c>
      <c r="C20" s="92"/>
      <c r="D20" s="91"/>
      <c r="E20" s="90">
        <f t="shared" si="5"/>
        <v>1178.997710000001</v>
      </c>
    </row>
    <row r="21" spans="1:7" ht="15" outlineLevel="1" thickBot="1">
      <c r="A21" s="73">
        <v>2015</v>
      </c>
      <c r="C21" s="92"/>
      <c r="D21" s="92"/>
      <c r="E21" s="91"/>
    </row>
    <row r="22" spans="1:7" outlineLevel="1">
      <c r="C22" s="92"/>
      <c r="D22" s="92"/>
      <c r="E22" s="93"/>
    </row>
    <row r="23" spans="1:7" s="74" customFormat="1">
      <c r="A23" s="74" t="s">
        <v>64</v>
      </c>
      <c r="B23" s="94"/>
      <c r="C23" s="94"/>
      <c r="D23" s="94"/>
      <c r="E23" s="94"/>
      <c r="G23" s="74" t="s">
        <v>65</v>
      </c>
    </row>
    <row r="24" spans="1:7" s="81" customFormat="1">
      <c r="A24" s="95" t="s">
        <v>61</v>
      </c>
      <c r="B24" s="96">
        <f t="shared" ref="B24:E25" si="6">B32+B40+B80</f>
        <v>21010</v>
      </c>
      <c r="C24" s="96">
        <f t="shared" si="6"/>
        <v>33962.5</v>
      </c>
      <c r="D24" s="96">
        <f t="shared" si="6"/>
        <v>6652.7049999999999</v>
      </c>
      <c r="E24" s="96">
        <f t="shared" si="6"/>
        <v>849.42444299999943</v>
      </c>
    </row>
    <row r="25" spans="1:7" outlineLevel="1">
      <c r="A25" s="73">
        <v>2012</v>
      </c>
      <c r="B25" s="97">
        <f t="shared" si="6"/>
        <v>-93214.399999999994</v>
      </c>
      <c r="C25" s="96">
        <f t="shared" si="6"/>
        <v>116.83999999999833</v>
      </c>
      <c r="D25" s="96">
        <f t="shared" si="6"/>
        <v>2017.5600000000018</v>
      </c>
      <c r="E25" s="96">
        <f t="shared" si="6"/>
        <v>-920</v>
      </c>
    </row>
    <row r="26" spans="1:7" outlineLevel="1">
      <c r="A26" s="73">
        <v>2013</v>
      </c>
      <c r="B26" s="98"/>
      <c r="C26" s="97">
        <f>C34+C42+C82</f>
        <v>-98904.876000000004</v>
      </c>
      <c r="D26" s="96">
        <f>D34+D42+D82</f>
        <v>611.81609999999989</v>
      </c>
      <c r="E26" s="96">
        <f>E34+E42+E82</f>
        <v>562.70345250000071</v>
      </c>
    </row>
    <row r="27" spans="1:7" outlineLevel="1">
      <c r="A27" s="73">
        <v>2014</v>
      </c>
      <c r="B27" s="98"/>
      <c r="C27" s="98"/>
      <c r="D27" s="97">
        <f>D35+D43+D83</f>
        <v>-104747.3636</v>
      </c>
      <c r="E27" s="96">
        <f>E35+E43+E83</f>
        <v>1178.997710000001</v>
      </c>
    </row>
    <row r="28" spans="1:7" outlineLevel="1">
      <c r="A28" s="73">
        <v>2015</v>
      </c>
      <c r="B28" s="98"/>
      <c r="C28" s="98"/>
      <c r="D28" s="98"/>
      <c r="E28" s="97">
        <f>E36+E44+E84</f>
        <v>-110981.33805523807</v>
      </c>
    </row>
    <row r="29" spans="1:7" outlineLevel="1">
      <c r="C29" s="92"/>
      <c r="D29" s="92"/>
      <c r="E29" s="93"/>
    </row>
    <row r="30" spans="1:7" outlineLevel="1">
      <c r="C30" s="92"/>
      <c r="D30" s="92"/>
      <c r="E30" s="93"/>
    </row>
    <row r="31" spans="1:7" s="74" customFormat="1">
      <c r="A31" s="74" t="s">
        <v>66</v>
      </c>
      <c r="B31" s="94"/>
      <c r="C31" s="94"/>
      <c r="D31" s="94"/>
      <c r="E31" s="94"/>
    </row>
    <row r="32" spans="1:7" s="81" customFormat="1">
      <c r="A32" s="95" t="s">
        <v>61</v>
      </c>
      <c r="B32" s="98">
        <v>0</v>
      </c>
      <c r="C32" s="98">
        <v>0</v>
      </c>
      <c r="D32" s="98">
        <v>0</v>
      </c>
      <c r="E32" s="98">
        <v>0</v>
      </c>
      <c r="F32" s="81" t="s">
        <v>67</v>
      </c>
    </row>
    <row r="33" spans="1:6" outlineLevel="1">
      <c r="A33" s="73">
        <v>2012</v>
      </c>
      <c r="B33" s="99">
        <f>2%*B81</f>
        <v>-2026.4</v>
      </c>
      <c r="C33" s="100">
        <f t="shared" ref="C33:E33" si="7">2%*C81</f>
        <v>2.5399999999999636</v>
      </c>
      <c r="D33" s="100">
        <f t="shared" si="7"/>
        <v>43.860000000000035</v>
      </c>
      <c r="E33" s="100">
        <f t="shared" si="7"/>
        <v>-20</v>
      </c>
    </row>
    <row r="34" spans="1:6" outlineLevel="1">
      <c r="A34" s="73">
        <v>2013</v>
      </c>
      <c r="B34" s="100">
        <f t="shared" ref="B34:E36" si="8">2%*B82</f>
        <v>0</v>
      </c>
      <c r="C34" s="99">
        <f t="shared" si="8"/>
        <v>-2150.1060000000002</v>
      </c>
      <c r="D34" s="100">
        <f t="shared" si="8"/>
        <v>13.300349999999998</v>
      </c>
      <c r="E34" s="100">
        <f t="shared" si="8"/>
        <v>12.232683750000016</v>
      </c>
    </row>
    <row r="35" spans="1:6" outlineLevel="1">
      <c r="A35" s="73">
        <v>2014</v>
      </c>
      <c r="B35" s="100">
        <f t="shared" si="8"/>
        <v>0</v>
      </c>
      <c r="C35" s="100">
        <f t="shared" si="8"/>
        <v>0</v>
      </c>
      <c r="D35" s="99">
        <f t="shared" si="8"/>
        <v>-2277.1166000000003</v>
      </c>
      <c r="E35" s="100">
        <f t="shared" si="8"/>
        <v>25.630385000000025</v>
      </c>
    </row>
    <row r="36" spans="1:6" outlineLevel="1">
      <c r="A36" s="73">
        <v>2015</v>
      </c>
      <c r="B36" s="100">
        <f t="shared" si="8"/>
        <v>0</v>
      </c>
      <c r="C36" s="100">
        <f t="shared" si="8"/>
        <v>0</v>
      </c>
      <c r="D36" s="100">
        <f t="shared" si="8"/>
        <v>0</v>
      </c>
      <c r="E36" s="99">
        <f t="shared" si="8"/>
        <v>-2412.6377838095232</v>
      </c>
    </row>
    <row r="38" spans="1:6">
      <c r="C38" s="92"/>
      <c r="D38" s="92"/>
      <c r="E38" s="93"/>
    </row>
    <row r="39" spans="1:6" s="74" customFormat="1">
      <c r="A39" s="74" t="s">
        <v>68</v>
      </c>
      <c r="B39" s="94"/>
      <c r="C39" s="94"/>
      <c r="D39" s="94"/>
      <c r="E39" s="94"/>
    </row>
    <row r="40" spans="1:6" s="81" customFormat="1">
      <c r="A40" s="95" t="s">
        <v>61</v>
      </c>
      <c r="B40" s="98">
        <v>0</v>
      </c>
      <c r="C40" s="98">
        <v>0</v>
      </c>
      <c r="D40" s="98">
        <v>0</v>
      </c>
      <c r="E40" s="98">
        <v>0</v>
      </c>
      <c r="F40" s="81" t="s">
        <v>69</v>
      </c>
    </row>
    <row r="41" spans="1:6" outlineLevel="1">
      <c r="A41" s="73">
        <v>2012</v>
      </c>
      <c r="B41" s="99">
        <f>-10%*B81</f>
        <v>10132</v>
      </c>
      <c r="C41" s="100">
        <f t="shared" ref="C41:E41" si="9">-10%*C81</f>
        <v>-12.699999999999818</v>
      </c>
      <c r="D41" s="100">
        <f t="shared" si="9"/>
        <v>-219.30000000000018</v>
      </c>
      <c r="E41" s="100">
        <f t="shared" si="9"/>
        <v>100</v>
      </c>
    </row>
    <row r="42" spans="1:6" outlineLevel="1">
      <c r="A42" s="73">
        <v>2013</v>
      </c>
      <c r="B42" s="100">
        <f t="shared" ref="B42:E44" si="10">-10%*B82</f>
        <v>0</v>
      </c>
      <c r="C42" s="99">
        <f t="shared" si="10"/>
        <v>10750.53</v>
      </c>
      <c r="D42" s="100">
        <f t="shared" si="10"/>
        <v>-66.501750000000001</v>
      </c>
      <c r="E42" s="100">
        <f t="shared" si="10"/>
        <v>-61.163418750000076</v>
      </c>
    </row>
    <row r="43" spans="1:6" outlineLevel="1">
      <c r="A43" s="73">
        <v>2014</v>
      </c>
      <c r="B43" s="100">
        <f t="shared" si="10"/>
        <v>0</v>
      </c>
      <c r="C43" s="100">
        <f t="shared" si="10"/>
        <v>0</v>
      </c>
      <c r="D43" s="99">
        <f t="shared" si="10"/>
        <v>11385.583000000001</v>
      </c>
      <c r="E43" s="100">
        <f t="shared" si="10"/>
        <v>-128.15192500000012</v>
      </c>
    </row>
    <row r="44" spans="1:6" outlineLevel="1">
      <c r="A44" s="73">
        <v>2015</v>
      </c>
      <c r="B44" s="100">
        <f t="shared" si="10"/>
        <v>0</v>
      </c>
      <c r="C44" s="100">
        <f t="shared" si="10"/>
        <v>0</v>
      </c>
      <c r="D44" s="100">
        <f t="shared" si="10"/>
        <v>0</v>
      </c>
      <c r="E44" s="99">
        <f t="shared" si="10"/>
        <v>12063.188919047616</v>
      </c>
    </row>
    <row r="45" spans="1:6" outlineLevel="1">
      <c r="C45" s="92"/>
      <c r="D45" s="92"/>
      <c r="E45" s="93"/>
    </row>
    <row r="46" spans="1:6">
      <c r="C46" s="92"/>
      <c r="D46" s="92"/>
      <c r="E46" s="93"/>
    </row>
    <row r="47" spans="1:6" s="114" customFormat="1" ht="33.6">
      <c r="A47" s="113" t="s">
        <v>41</v>
      </c>
    </row>
    <row r="48" spans="1:6" s="81" customFormat="1">
      <c r="A48" s="95" t="s">
        <v>61</v>
      </c>
      <c r="B48" s="98">
        <v>0</v>
      </c>
      <c r="C48" s="98">
        <v>0</v>
      </c>
      <c r="D48" s="98">
        <v>0</v>
      </c>
      <c r="E48" s="98">
        <v>0</v>
      </c>
      <c r="F48" s="81" t="s">
        <v>69</v>
      </c>
    </row>
    <row r="49" spans="1:14" outlineLevel="1">
      <c r="A49" s="73">
        <v>2012</v>
      </c>
      <c r="B49" s="99">
        <f>-10%*B90</f>
        <v>0</v>
      </c>
      <c r="C49" s="100">
        <f t="shared" ref="C49:E49" si="11">-10%*C90</f>
        <v>0</v>
      </c>
      <c r="D49" s="100">
        <f t="shared" si="11"/>
        <v>8800</v>
      </c>
      <c r="E49" s="100">
        <f t="shared" si="11"/>
        <v>1100</v>
      </c>
      <c r="H49" s="73" t="s">
        <v>92</v>
      </c>
      <c r="K49" s="73" t="s">
        <v>93</v>
      </c>
      <c r="L49" s="110">
        <v>0.65</v>
      </c>
      <c r="M49" s="73" t="s">
        <v>95</v>
      </c>
      <c r="N49" s="110">
        <v>0.25</v>
      </c>
    </row>
    <row r="50" spans="1:14" outlineLevel="1">
      <c r="A50" s="73">
        <v>2013</v>
      </c>
      <c r="B50" s="100">
        <f t="shared" ref="B50:E50" si="12">-10%*B91</f>
        <v>0</v>
      </c>
      <c r="C50" s="99">
        <f t="shared" si="12"/>
        <v>0</v>
      </c>
      <c r="D50" s="100">
        <f t="shared" si="12"/>
        <v>0</v>
      </c>
      <c r="E50" s="100">
        <f t="shared" si="12"/>
        <v>9219.0476190476202</v>
      </c>
      <c r="K50" s="73" t="s">
        <v>94</v>
      </c>
      <c r="L50" s="110">
        <v>0.75</v>
      </c>
      <c r="M50" s="73" t="s">
        <v>96</v>
      </c>
      <c r="N50" s="110">
        <v>0.2</v>
      </c>
    </row>
    <row r="51" spans="1:14" outlineLevel="1">
      <c r="A51" s="73">
        <v>2014</v>
      </c>
      <c r="B51" s="100">
        <f t="shared" ref="B51:E51" si="13">-10%*B92</f>
        <v>1731</v>
      </c>
      <c r="C51" s="100">
        <f t="shared" si="13"/>
        <v>298.4800000000003</v>
      </c>
      <c r="D51" s="99">
        <f t="shared" si="13"/>
        <v>542.71075000000019</v>
      </c>
      <c r="E51" s="100">
        <f t="shared" si="13"/>
        <v>567.98351194999486</v>
      </c>
    </row>
    <row r="52" spans="1:14" outlineLevel="1">
      <c r="A52" s="73">
        <v>2015</v>
      </c>
      <c r="B52" s="100">
        <f t="shared" ref="B52:E52" si="14">-10%*B93</f>
        <v>-401</v>
      </c>
      <c r="C52" s="100">
        <f t="shared" si="14"/>
        <v>-1039.3500000000001</v>
      </c>
      <c r="D52" s="100">
        <f t="shared" si="14"/>
        <v>-207.07050000000004</v>
      </c>
      <c r="E52" s="99">
        <f t="shared" si="14"/>
        <v>-61.842444299999947</v>
      </c>
    </row>
    <row r="53" spans="1:14">
      <c r="C53" s="92"/>
      <c r="D53" s="92"/>
      <c r="E53" s="93"/>
    </row>
    <row r="54" spans="1:14">
      <c r="C54" s="92"/>
      <c r="D54" s="92"/>
      <c r="E54" s="93"/>
    </row>
    <row r="55" spans="1:14">
      <c r="C55" s="92"/>
      <c r="D55" s="92"/>
      <c r="E55" s="93"/>
    </row>
    <row r="56" spans="1:14">
      <c r="C56" s="92"/>
      <c r="D56" s="92"/>
      <c r="E56" s="93"/>
    </row>
    <row r="57" spans="1:14">
      <c r="C57" s="92"/>
      <c r="D57" s="92"/>
      <c r="E57" s="93"/>
    </row>
    <row r="58" spans="1:14">
      <c r="A58" s="73" t="s">
        <v>76</v>
      </c>
      <c r="C58" s="92"/>
      <c r="D58" s="92"/>
      <c r="E58" s="93"/>
    </row>
    <row r="59" spans="1:14" s="74" customFormat="1">
      <c r="A59" s="74" t="s">
        <v>80</v>
      </c>
      <c r="C59" s="97"/>
      <c r="D59" s="97"/>
      <c r="E59" s="107"/>
    </row>
    <row r="60" spans="1:14" s="74" customFormat="1">
      <c r="A60" s="74" t="s">
        <v>77</v>
      </c>
      <c r="C60" s="97"/>
      <c r="D60" s="97"/>
      <c r="E60" s="107"/>
    </row>
    <row r="61" spans="1:14" s="74" customFormat="1">
      <c r="A61" s="74" t="s">
        <v>78</v>
      </c>
      <c r="C61" s="97"/>
      <c r="D61" s="97"/>
      <c r="E61" s="107"/>
    </row>
    <row r="62" spans="1:14" s="74" customFormat="1">
      <c r="A62" s="74" t="s">
        <v>106</v>
      </c>
      <c r="C62" s="97"/>
      <c r="D62" s="97"/>
      <c r="E62" s="107"/>
    </row>
    <row r="63" spans="1:14">
      <c r="C63" s="92"/>
      <c r="D63" s="92"/>
      <c r="E63" s="93"/>
    </row>
    <row r="64" spans="1:14">
      <c r="A64" s="73" t="s">
        <v>79</v>
      </c>
      <c r="C64" s="92"/>
      <c r="D64" s="92"/>
      <c r="E64" s="93"/>
    </row>
    <row r="65" spans="1:14">
      <c r="C65" s="92"/>
      <c r="D65" s="92"/>
      <c r="E65" s="93"/>
    </row>
    <row r="66" spans="1:14">
      <c r="C66" s="92"/>
      <c r="D66" s="92"/>
      <c r="E66" s="93"/>
    </row>
    <row r="67" spans="1:14">
      <c r="C67" s="92"/>
      <c r="D67" s="92"/>
      <c r="E67" s="93"/>
    </row>
    <row r="68" spans="1:14">
      <c r="C68" s="92"/>
      <c r="D68" s="92"/>
      <c r="E68" s="93"/>
    </row>
    <row r="69" spans="1:14">
      <c r="C69" s="92"/>
      <c r="D69" s="92"/>
      <c r="E69" s="93"/>
    </row>
    <row r="70" spans="1:14" s="114" customFormat="1" ht="33.6">
      <c r="A70" s="113" t="s">
        <v>91</v>
      </c>
    </row>
    <row r="71" spans="1:14" s="81" customFormat="1">
      <c r="A71" s="81" t="s">
        <v>100</v>
      </c>
      <c r="B71" s="101"/>
      <c r="C71" s="101"/>
      <c r="D71" s="101"/>
      <c r="E71" s="101"/>
    </row>
    <row r="72" spans="1:14">
      <c r="A72" s="82" t="s">
        <v>61</v>
      </c>
      <c r="B72" s="92"/>
      <c r="C72" s="92"/>
      <c r="D72" s="92"/>
      <c r="E72" s="92"/>
      <c r="I72" s="81"/>
      <c r="J72" s="81" t="s">
        <v>101</v>
      </c>
      <c r="K72" s="81"/>
      <c r="L72" s="81"/>
      <c r="M72" s="81"/>
      <c r="N72" s="81"/>
    </row>
    <row r="73" spans="1:14" outlineLevel="1">
      <c r="A73" s="73">
        <v>2012</v>
      </c>
      <c r="B73" s="92"/>
      <c r="C73" s="92"/>
      <c r="D73" s="92"/>
      <c r="E73" s="92"/>
      <c r="I73" s="81"/>
      <c r="J73" s="81" t="s">
        <v>102</v>
      </c>
      <c r="K73" s="81"/>
      <c r="L73" s="81"/>
      <c r="M73" s="81"/>
      <c r="N73" s="81"/>
    </row>
    <row r="74" spans="1:14" outlineLevel="1">
      <c r="A74" s="73">
        <v>2013</v>
      </c>
      <c r="B74" s="92"/>
      <c r="C74" s="92"/>
      <c r="D74" s="92"/>
      <c r="E74" s="92"/>
      <c r="I74" s="81"/>
      <c r="J74" s="81" t="s">
        <v>103</v>
      </c>
      <c r="K74" s="81"/>
      <c r="L74" s="81"/>
      <c r="M74" s="81"/>
      <c r="N74" s="81"/>
    </row>
    <row r="75" spans="1:14" outlineLevel="1">
      <c r="A75" s="73">
        <v>2014</v>
      </c>
      <c r="B75" s="92"/>
      <c r="C75" s="92"/>
      <c r="D75" s="92"/>
      <c r="E75" s="92"/>
      <c r="I75" s="81"/>
      <c r="J75" s="81"/>
      <c r="K75" s="81"/>
      <c r="L75" s="81"/>
      <c r="M75" s="81"/>
      <c r="N75" s="81"/>
    </row>
    <row r="76" spans="1:14" outlineLevel="1">
      <c r="A76" s="73">
        <v>2015</v>
      </c>
      <c r="B76" s="92"/>
      <c r="C76" s="92"/>
      <c r="D76" s="92"/>
      <c r="E76" s="92"/>
      <c r="I76" s="81"/>
      <c r="J76" s="81"/>
      <c r="K76" s="81"/>
      <c r="L76" s="81"/>
      <c r="M76" s="81"/>
      <c r="N76" s="81"/>
    </row>
    <row r="77" spans="1:14" outlineLevel="1">
      <c r="B77" s="92"/>
      <c r="C77" s="92"/>
      <c r="D77" s="92"/>
      <c r="E77" s="92"/>
      <c r="I77" s="81"/>
      <c r="J77" s="81"/>
      <c r="K77" s="81"/>
      <c r="L77" s="81"/>
      <c r="M77" s="81"/>
      <c r="N77" s="81"/>
    </row>
    <row r="78" spans="1:14" outlineLevel="1">
      <c r="B78" s="92"/>
      <c r="C78" s="92"/>
      <c r="D78" s="92"/>
      <c r="E78" s="92"/>
      <c r="I78" s="81"/>
      <c r="J78" s="81"/>
      <c r="K78" s="81"/>
      <c r="L78" s="81"/>
      <c r="M78" s="81"/>
      <c r="N78" s="81"/>
    </row>
    <row r="79" spans="1:14" s="81" customFormat="1">
      <c r="A79" s="81" t="s">
        <v>70</v>
      </c>
      <c r="B79" s="101">
        <f>SUM(B80:B84)</f>
        <v>-80310</v>
      </c>
      <c r="C79" s="101">
        <f t="shared" ref="C79:E79" si="15">SUM(C80:C84)</f>
        <v>-73415.8</v>
      </c>
      <c r="D79" s="101">
        <f t="shared" si="15"/>
        <v>-104345.1075</v>
      </c>
      <c r="E79" s="101">
        <f t="shared" si="15"/>
        <v>-118889.31130997615</v>
      </c>
      <c r="G79" s="81" t="s">
        <v>71</v>
      </c>
    </row>
    <row r="80" spans="1:14">
      <c r="A80" s="82" t="s">
        <v>61</v>
      </c>
      <c r="B80" s="92">
        <f t="shared" ref="B80:E84" si="16">B87+B93</f>
        <v>21010</v>
      </c>
      <c r="C80" s="92">
        <f t="shared" si="16"/>
        <v>33962.5</v>
      </c>
      <c r="D80" s="92">
        <f t="shared" si="16"/>
        <v>6652.7049999999999</v>
      </c>
      <c r="E80" s="92">
        <f t="shared" si="16"/>
        <v>849.42444299999943</v>
      </c>
      <c r="I80" s="81"/>
      <c r="J80" s="81"/>
      <c r="K80" s="81"/>
      <c r="L80" s="81"/>
      <c r="M80" s="81"/>
      <c r="N80" s="81"/>
    </row>
    <row r="81" spans="1:14" outlineLevel="1">
      <c r="A81" s="73">
        <v>2012</v>
      </c>
      <c r="B81" s="92">
        <f t="shared" si="16"/>
        <v>-101320</v>
      </c>
      <c r="C81" s="92">
        <f t="shared" si="16"/>
        <v>126.99999999999818</v>
      </c>
      <c r="D81" s="92">
        <f t="shared" si="16"/>
        <v>2193.0000000000018</v>
      </c>
      <c r="E81" s="92">
        <f t="shared" si="16"/>
        <v>-1000</v>
      </c>
      <c r="I81" s="81"/>
      <c r="J81" s="81"/>
      <c r="K81" s="81"/>
      <c r="L81" s="81"/>
      <c r="M81" s="81"/>
      <c r="N81" s="81"/>
    </row>
    <row r="82" spans="1:14" outlineLevel="1">
      <c r="A82" s="73">
        <v>2013</v>
      </c>
      <c r="B82" s="92">
        <f t="shared" si="16"/>
        <v>0</v>
      </c>
      <c r="C82" s="92">
        <f t="shared" si="16"/>
        <v>-107505.3</v>
      </c>
      <c r="D82" s="92">
        <f t="shared" si="16"/>
        <v>665.01749999999993</v>
      </c>
      <c r="E82" s="92">
        <f t="shared" si="16"/>
        <v>611.63418750000073</v>
      </c>
      <c r="I82" s="81"/>
      <c r="J82" s="81"/>
      <c r="K82" s="81"/>
      <c r="L82" s="81"/>
      <c r="M82" s="81"/>
      <c r="N82" s="81"/>
    </row>
    <row r="83" spans="1:14" outlineLevel="1">
      <c r="A83" s="73">
        <v>2014</v>
      </c>
      <c r="B83" s="92">
        <f t="shared" si="16"/>
        <v>0</v>
      </c>
      <c r="C83" s="92">
        <f t="shared" si="16"/>
        <v>0</v>
      </c>
      <c r="D83" s="92">
        <f t="shared" si="16"/>
        <v>-113855.83</v>
      </c>
      <c r="E83" s="92">
        <f t="shared" si="16"/>
        <v>1281.5192500000012</v>
      </c>
      <c r="I83" s="81"/>
      <c r="J83" s="81"/>
      <c r="K83" s="81"/>
      <c r="L83" s="81"/>
      <c r="M83" s="81"/>
      <c r="N83" s="81"/>
    </row>
    <row r="84" spans="1:14" outlineLevel="1">
      <c r="A84" s="73">
        <v>2015</v>
      </c>
      <c r="B84" s="92">
        <f t="shared" si="16"/>
        <v>0</v>
      </c>
      <c r="C84" s="92">
        <f t="shared" si="16"/>
        <v>0</v>
      </c>
      <c r="D84" s="92">
        <f t="shared" si="16"/>
        <v>0</v>
      </c>
      <c r="E84" s="92">
        <f t="shared" si="16"/>
        <v>-120631.88919047615</v>
      </c>
      <c r="I84" s="81"/>
      <c r="J84" s="81"/>
      <c r="K84" s="81"/>
      <c r="L84" s="81"/>
      <c r="M84" s="81"/>
      <c r="N84" s="81"/>
    </row>
    <row r="85" spans="1:14" outlineLevel="1">
      <c r="B85" s="102"/>
      <c r="C85" s="102"/>
      <c r="D85" s="102"/>
      <c r="E85" s="102"/>
      <c r="I85" s="81"/>
      <c r="J85" s="81"/>
      <c r="K85" s="81"/>
      <c r="L85" s="81"/>
      <c r="M85" s="81"/>
      <c r="N85" s="81"/>
    </row>
    <row r="86" spans="1:14" s="81" customFormat="1">
      <c r="A86" s="81" t="s">
        <v>72</v>
      </c>
      <c r="B86" s="101">
        <f>SUM(B87:B91)</f>
        <v>-63000</v>
      </c>
      <c r="C86" s="101">
        <f t="shared" ref="C86:E86" si="17">SUM(C87:C91)</f>
        <v>-70431</v>
      </c>
      <c r="D86" s="101">
        <f t="shared" si="17"/>
        <v>-98918</v>
      </c>
      <c r="E86" s="101">
        <f t="shared" si="17"/>
        <v>-113209.4761904762</v>
      </c>
    </row>
    <row r="87" spans="1:14">
      <c r="A87" s="82" t="s">
        <v>61</v>
      </c>
      <c r="B87" s="102">
        <v>17000</v>
      </c>
      <c r="C87" s="102">
        <v>23569</v>
      </c>
      <c r="D87" s="102">
        <v>4582</v>
      </c>
      <c r="E87" s="102">
        <v>231</v>
      </c>
      <c r="I87" s="81"/>
      <c r="J87" s="81"/>
      <c r="K87" s="81"/>
      <c r="L87" s="81"/>
      <c r="M87" s="81"/>
      <c r="N87" s="81"/>
    </row>
    <row r="88" spans="1:14" outlineLevel="1">
      <c r="A88" s="73">
        <v>2012</v>
      </c>
      <c r="B88" s="102">
        <v>-80000</v>
      </c>
      <c r="C88" s="102">
        <v>-10000</v>
      </c>
      <c r="D88" s="102">
        <v>-5000</v>
      </c>
      <c r="E88" s="102">
        <v>-5000</v>
      </c>
      <c r="I88" s="81"/>
      <c r="J88" s="81"/>
      <c r="K88" s="81"/>
      <c r="L88" s="81"/>
      <c r="M88" s="81"/>
      <c r="N88" s="81"/>
    </row>
    <row r="89" spans="1:14" outlineLevel="1">
      <c r="A89" s="73">
        <v>2013</v>
      </c>
      <c r="B89" s="102"/>
      <c r="C89" s="102">
        <v>-84000</v>
      </c>
      <c r="D89" s="102">
        <v>-10500</v>
      </c>
      <c r="E89" s="102">
        <v>-5250</v>
      </c>
      <c r="I89" s="81"/>
      <c r="J89" s="81"/>
      <c r="K89" s="81"/>
      <c r="L89" s="81"/>
      <c r="M89" s="81"/>
      <c r="N89" s="81"/>
    </row>
    <row r="90" spans="1:14" outlineLevel="1">
      <c r="A90" s="73">
        <v>2014</v>
      </c>
      <c r="B90" s="102"/>
      <c r="C90" s="102"/>
      <c r="D90" s="102">
        <v>-88000</v>
      </c>
      <c r="E90" s="102">
        <v>-11000</v>
      </c>
      <c r="I90" s="81"/>
      <c r="J90" s="81"/>
      <c r="K90" s="81"/>
      <c r="L90" s="81"/>
      <c r="M90" s="81"/>
      <c r="N90" s="81"/>
    </row>
    <row r="91" spans="1:14" outlineLevel="1">
      <c r="A91" s="73">
        <v>2015</v>
      </c>
      <c r="B91" s="102"/>
      <c r="C91" s="102"/>
      <c r="D91" s="102"/>
      <c r="E91" s="102">
        <v>-92190.476190476198</v>
      </c>
      <c r="I91" s="81"/>
      <c r="J91" s="81"/>
      <c r="K91" s="81"/>
      <c r="L91" s="81"/>
      <c r="M91" s="81"/>
      <c r="N91" s="81"/>
    </row>
    <row r="92" spans="1:14" s="81" customFormat="1">
      <c r="A92" s="81" t="s">
        <v>73</v>
      </c>
      <c r="B92" s="101">
        <f>SUM(B93:B97)</f>
        <v>-17310</v>
      </c>
      <c r="C92" s="101">
        <f t="shared" ref="C92:E92" si="18">SUM(C93:C97)</f>
        <v>-2984.8000000000029</v>
      </c>
      <c r="D92" s="101">
        <f t="shared" si="18"/>
        <v>-5427.1075000000019</v>
      </c>
      <c r="E92" s="101">
        <f t="shared" si="18"/>
        <v>-5679.8351194999486</v>
      </c>
    </row>
    <row r="93" spans="1:14">
      <c r="A93" s="82" t="s">
        <v>61</v>
      </c>
      <c r="B93" s="102">
        <f>B99-G99</f>
        <v>4010</v>
      </c>
      <c r="C93" s="102">
        <f t="shared" ref="C93:E94" si="19">C99-B99</f>
        <v>10393.5</v>
      </c>
      <c r="D93" s="102">
        <f t="shared" si="19"/>
        <v>2070.7050000000004</v>
      </c>
      <c r="E93" s="102">
        <f t="shared" si="19"/>
        <v>618.42444299999943</v>
      </c>
      <c r="I93" s="81"/>
      <c r="J93" s="81"/>
      <c r="K93" s="81"/>
      <c r="L93" s="81"/>
      <c r="M93" s="81"/>
      <c r="N93" s="81"/>
    </row>
    <row r="94" spans="1:14" outlineLevel="1">
      <c r="A94" s="73">
        <v>2012</v>
      </c>
      <c r="B94" s="102">
        <f>B100</f>
        <v>-21320</v>
      </c>
      <c r="C94" s="102">
        <f t="shared" si="19"/>
        <v>10126.999999999998</v>
      </c>
      <c r="D94" s="102">
        <f t="shared" si="19"/>
        <v>7193.0000000000018</v>
      </c>
      <c r="E94" s="102">
        <f t="shared" si="19"/>
        <v>4000</v>
      </c>
      <c r="I94" s="81"/>
      <c r="J94" s="81"/>
      <c r="K94" s="81"/>
      <c r="L94" s="81"/>
      <c r="M94" s="81"/>
      <c r="N94" s="81"/>
    </row>
    <row r="95" spans="1:14" outlineLevel="1">
      <c r="A95" s="73">
        <v>2013</v>
      </c>
      <c r="B95" s="102"/>
      <c r="C95" s="102">
        <f>C101</f>
        <v>-23505.300000000003</v>
      </c>
      <c r="D95" s="102">
        <f>D101-C101</f>
        <v>11165.0175</v>
      </c>
      <c r="E95" s="102">
        <f>E101-D101</f>
        <v>5861.6341875000007</v>
      </c>
      <c r="I95" s="81"/>
      <c r="J95" s="81"/>
      <c r="K95" s="81"/>
      <c r="L95" s="81"/>
      <c r="M95" s="81"/>
      <c r="N95" s="81"/>
    </row>
    <row r="96" spans="1:14" outlineLevel="1">
      <c r="A96" s="73">
        <v>2014</v>
      </c>
      <c r="B96" s="102"/>
      <c r="C96" s="102"/>
      <c r="D96" s="102">
        <f>D102</f>
        <v>-25855.830000000005</v>
      </c>
      <c r="E96" s="102">
        <f>E102-D102</f>
        <v>12281.519250000001</v>
      </c>
      <c r="I96" s="81"/>
      <c r="J96" s="81"/>
      <c r="K96" s="81"/>
      <c r="L96" s="81"/>
      <c r="M96" s="81"/>
      <c r="N96" s="81"/>
    </row>
    <row r="97" spans="1:27" outlineLevel="1">
      <c r="A97" s="73">
        <v>2015</v>
      </c>
      <c r="B97" s="102"/>
      <c r="C97" s="102"/>
      <c r="D97" s="102"/>
      <c r="E97" s="102">
        <f>E103</f>
        <v>-28441.41299999995</v>
      </c>
      <c r="I97" s="81"/>
      <c r="J97" s="81"/>
      <c r="K97" s="81"/>
      <c r="L97" s="81"/>
      <c r="M97" s="81"/>
      <c r="N97" s="81"/>
    </row>
    <row r="98" spans="1:27" s="81" customFormat="1" ht="15" thickBot="1">
      <c r="A98" s="81" t="s">
        <v>74</v>
      </c>
      <c r="B98" s="101">
        <f>SUM(B99:B103)</f>
        <v>-37310</v>
      </c>
      <c r="C98" s="101">
        <f t="shared" ref="C98:E98" si="20">SUM(C99:C103)</f>
        <v>-40294.800000000003</v>
      </c>
      <c r="D98" s="101">
        <f t="shared" si="20"/>
        <v>-45721.907500000008</v>
      </c>
      <c r="E98" s="101">
        <f t="shared" si="20"/>
        <v>-51401.742619499957</v>
      </c>
    </row>
    <row r="99" spans="1:27" ht="15" thickBot="1">
      <c r="A99" s="82" t="s">
        <v>61</v>
      </c>
      <c r="B99" s="102">
        <v>-15990</v>
      </c>
      <c r="C99" s="102">
        <v>-5596.5000000000009</v>
      </c>
      <c r="D99" s="102">
        <v>-3525.7950000000005</v>
      </c>
      <c r="E99" s="102">
        <v>-2907.3705570000011</v>
      </c>
      <c r="G99" s="103">
        <v>-20000</v>
      </c>
      <c r="H99" s="104" t="s">
        <v>75</v>
      </c>
      <c r="I99" s="105"/>
      <c r="J99" s="105"/>
      <c r="K99" s="105"/>
      <c r="L99" s="106"/>
      <c r="M99" s="81"/>
      <c r="N99" s="81"/>
    </row>
    <row r="100" spans="1:27" outlineLevel="1">
      <c r="A100" s="73">
        <v>2012</v>
      </c>
      <c r="B100" s="102">
        <v>-21320</v>
      </c>
      <c r="C100" s="102">
        <v>-11193.000000000002</v>
      </c>
      <c r="D100" s="102">
        <v>-4000</v>
      </c>
      <c r="E100" s="102">
        <v>0</v>
      </c>
      <c r="I100" s="81"/>
      <c r="J100" s="81"/>
      <c r="K100" s="81"/>
      <c r="L100" s="81"/>
      <c r="M100" s="81"/>
      <c r="N100" s="81"/>
    </row>
    <row r="101" spans="1:27" outlineLevel="1">
      <c r="A101" s="73">
        <v>2013</v>
      </c>
      <c r="B101" s="102">
        <v>0</v>
      </c>
      <c r="C101" s="102">
        <v>-23505.300000000003</v>
      </c>
      <c r="D101" s="102">
        <v>-12340.282500000003</v>
      </c>
      <c r="E101" s="102">
        <v>-6478.6483125000022</v>
      </c>
      <c r="I101" s="81"/>
      <c r="J101" s="81"/>
      <c r="K101" s="81"/>
      <c r="L101" s="81"/>
      <c r="M101" s="81"/>
      <c r="N101" s="81"/>
    </row>
    <row r="102" spans="1:27" outlineLevel="1">
      <c r="A102" s="73">
        <v>2014</v>
      </c>
      <c r="B102" s="102">
        <v>0</v>
      </c>
      <c r="C102" s="102">
        <v>0</v>
      </c>
      <c r="D102" s="102">
        <v>-25855.830000000005</v>
      </c>
      <c r="E102" s="102">
        <v>-13574.310750000004</v>
      </c>
      <c r="H102" s="102"/>
      <c r="I102" s="101"/>
      <c r="J102" s="101"/>
      <c r="K102" s="81"/>
      <c r="L102" s="81"/>
      <c r="M102" s="81"/>
      <c r="N102" s="81"/>
    </row>
    <row r="103" spans="1:27" outlineLevel="1">
      <c r="A103" s="73">
        <v>2015</v>
      </c>
      <c r="B103" s="102">
        <v>0</v>
      </c>
      <c r="C103" s="102">
        <v>0</v>
      </c>
      <c r="D103" s="102">
        <v>0</v>
      </c>
      <c r="E103" s="102">
        <v>-28441.41299999995</v>
      </c>
      <c r="I103" s="81"/>
      <c r="J103" s="81"/>
      <c r="K103" s="81"/>
      <c r="L103" s="81"/>
      <c r="M103" s="81"/>
      <c r="N103" s="81"/>
    </row>
    <row r="104" spans="1:27">
      <c r="B104" s="102"/>
      <c r="C104" s="102"/>
      <c r="D104" s="102"/>
      <c r="E104" s="102"/>
    </row>
    <row r="107" spans="1:27" s="114" customFormat="1" ht="33.6">
      <c r="A107" s="113" t="s">
        <v>90</v>
      </c>
    </row>
    <row r="108" spans="1:27" s="81" customFormat="1" ht="15.75" customHeight="1">
      <c r="A108" s="74" t="s">
        <v>107</v>
      </c>
      <c r="B108" s="94"/>
      <c r="C108" s="94"/>
      <c r="D108" s="94"/>
      <c r="E108" s="94"/>
    </row>
    <row r="109" spans="1:27" customFormat="1" outlineLevel="1">
      <c r="A109" s="119" t="s">
        <v>81</v>
      </c>
      <c r="B109" s="94"/>
      <c r="C109" s="94"/>
      <c r="D109" s="94"/>
      <c r="E109" s="94"/>
      <c r="F109" s="73"/>
      <c r="H109" s="81"/>
      <c r="I109" s="81"/>
      <c r="J109" s="81"/>
      <c r="K109" s="35"/>
      <c r="L109" s="35"/>
      <c r="M109" s="35"/>
      <c r="N109" s="35"/>
    </row>
    <row r="110" spans="1:27" outlineLevel="1">
      <c r="A110" s="74">
        <v>2012</v>
      </c>
      <c r="B110" s="120">
        <f t="shared" ref="B110:E113" si="21">IF($B$115="Yes, pattern",B119,B137)</f>
        <v>-20000</v>
      </c>
      <c r="C110" s="120">
        <f t="shared" si="21"/>
        <v>-20000</v>
      </c>
      <c r="D110" s="120">
        <f t="shared" si="21"/>
        <v>-20000</v>
      </c>
      <c r="E110" s="120">
        <f t="shared" si="21"/>
        <v>-20000</v>
      </c>
      <c r="H110" s="81"/>
      <c r="I110" s="81"/>
      <c r="J110" s="81"/>
      <c r="K110" s="81"/>
      <c r="L110" s="81"/>
      <c r="M110" s="81"/>
      <c r="N110" s="81"/>
      <c r="AA110" s="81" t="s">
        <v>98</v>
      </c>
    </row>
    <row r="111" spans="1:27" outlineLevel="1">
      <c r="A111" s="74">
        <v>2013</v>
      </c>
      <c r="B111" s="120">
        <f t="shared" si="21"/>
        <v>0</v>
      </c>
      <c r="C111" s="120">
        <f t="shared" si="21"/>
        <v>-24000</v>
      </c>
      <c r="D111" s="120">
        <f t="shared" si="21"/>
        <v>-24000</v>
      </c>
      <c r="E111" s="120">
        <f t="shared" si="21"/>
        <v>-24000</v>
      </c>
      <c r="H111" s="81"/>
      <c r="I111" s="81"/>
      <c r="J111" s="81"/>
      <c r="K111" s="81"/>
      <c r="L111" s="81"/>
      <c r="M111" s="81"/>
      <c r="N111" s="81"/>
      <c r="AA111" s="81" t="s">
        <v>99</v>
      </c>
    </row>
    <row r="112" spans="1:27" outlineLevel="1">
      <c r="A112" s="74">
        <v>2014</v>
      </c>
      <c r="B112" s="120">
        <f t="shared" si="21"/>
        <v>0</v>
      </c>
      <c r="C112" s="120">
        <f t="shared" si="21"/>
        <v>0</v>
      </c>
      <c r="D112" s="120">
        <f t="shared" si="21"/>
        <v>-30000</v>
      </c>
      <c r="E112" s="120">
        <f t="shared" si="21"/>
        <v>-30000</v>
      </c>
      <c r="H112" s="35"/>
      <c r="I112" s="35"/>
      <c r="J112" s="35"/>
      <c r="K112" s="81"/>
      <c r="L112" s="81"/>
      <c r="M112" s="81"/>
      <c r="N112" s="81"/>
    </row>
    <row r="113" spans="1:14" outlineLevel="1">
      <c r="A113" s="74">
        <v>2015</v>
      </c>
      <c r="B113" s="120">
        <f t="shared" si="21"/>
        <v>0</v>
      </c>
      <c r="C113" s="120">
        <f t="shared" si="21"/>
        <v>0</v>
      </c>
      <c r="D113" s="120">
        <f t="shared" si="21"/>
        <v>0</v>
      </c>
      <c r="E113" s="120">
        <f t="shared" si="21"/>
        <v>-36000</v>
      </c>
      <c r="H113" s="81"/>
      <c r="I113" s="81"/>
      <c r="J113" s="81"/>
      <c r="K113" s="81"/>
      <c r="L113" s="81"/>
      <c r="M113" s="81"/>
      <c r="N113" s="81"/>
    </row>
    <row r="114" spans="1:14" outlineLevel="1">
      <c r="H114" s="81"/>
      <c r="I114" s="81"/>
      <c r="J114" s="81"/>
      <c r="K114" s="81"/>
      <c r="L114" s="81"/>
      <c r="M114" s="81"/>
      <c r="N114" s="81"/>
    </row>
    <row r="115" spans="1:14" s="81" customFormat="1" ht="15.75" customHeight="1">
      <c r="A115" s="81" t="s">
        <v>97</v>
      </c>
      <c r="B115" s="116" t="s">
        <v>99</v>
      </c>
      <c r="C115" s="117"/>
      <c r="D115" s="118"/>
      <c r="E115" s="118"/>
    </row>
    <row r="116" spans="1:14">
      <c r="H116" s="81"/>
      <c r="I116" s="81"/>
      <c r="J116" s="81"/>
      <c r="K116" s="81"/>
      <c r="L116" s="81"/>
      <c r="M116" s="81"/>
      <c r="N116" s="81"/>
    </row>
    <row r="117" spans="1:14" s="81" customFormat="1" ht="15.75" customHeight="1">
      <c r="A117" s="81" t="s">
        <v>89</v>
      </c>
      <c r="B117" s="101"/>
      <c r="C117" s="101"/>
      <c r="D117" s="101"/>
      <c r="E117" s="101"/>
    </row>
    <row r="118" spans="1:14" customFormat="1" outlineLevel="1">
      <c r="A118" s="82" t="s">
        <v>81</v>
      </c>
      <c r="B118" s="102"/>
      <c r="C118" s="102"/>
      <c r="D118" s="102"/>
      <c r="E118" s="102"/>
      <c r="F118" s="73"/>
      <c r="H118" s="35"/>
      <c r="I118" s="35"/>
      <c r="J118" s="35"/>
      <c r="K118" s="35"/>
      <c r="L118" s="35"/>
      <c r="M118" s="35"/>
      <c r="N118" s="35"/>
    </row>
    <row r="119" spans="1:14" outlineLevel="1">
      <c r="A119" s="73">
        <v>2012</v>
      </c>
      <c r="B119" s="115">
        <f>SUM($B127:B127)</f>
        <v>-10000</v>
      </c>
      <c r="C119" s="115">
        <f>SUM($B127:C127)</f>
        <v>-16000</v>
      </c>
      <c r="D119" s="115">
        <f>SUM($B127:D127)</f>
        <v>-20000</v>
      </c>
      <c r="E119" s="115">
        <f>SUM($B127:E127)</f>
        <v>-20000</v>
      </c>
      <c r="H119" s="81"/>
      <c r="I119" s="81"/>
      <c r="J119" s="81"/>
      <c r="K119" s="81"/>
      <c r="L119" s="81"/>
      <c r="M119" s="81"/>
      <c r="N119" s="81"/>
    </row>
    <row r="120" spans="1:14" outlineLevel="1">
      <c r="A120" s="73">
        <v>2013</v>
      </c>
      <c r="B120" s="115">
        <f>SUM($B128:B128)</f>
        <v>0</v>
      </c>
      <c r="C120" s="115">
        <f>SUM($B128:C128)</f>
        <v>-12000</v>
      </c>
      <c r="D120" s="115">
        <f>SUM($B128:D128)</f>
        <v>-19200</v>
      </c>
      <c r="E120" s="115">
        <f>SUM($B128:E128)</f>
        <v>-24000</v>
      </c>
      <c r="H120" s="81"/>
      <c r="I120" s="81"/>
      <c r="J120" s="81"/>
      <c r="K120" s="81"/>
      <c r="L120" s="81"/>
      <c r="M120" s="81"/>
      <c r="N120" s="81"/>
    </row>
    <row r="121" spans="1:14" outlineLevel="1">
      <c r="A121" s="73">
        <v>2014</v>
      </c>
      <c r="B121" s="115">
        <f>SUM($B129:B129)</f>
        <v>0</v>
      </c>
      <c r="C121" s="115">
        <f>SUM($B129:C129)</f>
        <v>0</v>
      </c>
      <c r="D121" s="115">
        <f>SUM($B129:D129)</f>
        <v>-15000</v>
      </c>
      <c r="E121" s="115">
        <f>SUM($B129:E129)</f>
        <v>-24000</v>
      </c>
      <c r="H121" s="101"/>
      <c r="I121" s="101"/>
      <c r="J121" s="101"/>
      <c r="K121" s="81"/>
      <c r="L121" s="81"/>
      <c r="M121" s="81"/>
      <c r="N121" s="81"/>
    </row>
    <row r="122" spans="1:14" outlineLevel="1">
      <c r="A122" s="73">
        <v>2015</v>
      </c>
      <c r="B122" s="115">
        <f>SUM($B130:B130)</f>
        <v>0</v>
      </c>
      <c r="C122" s="115">
        <f>SUM($B130:C130)</f>
        <v>0</v>
      </c>
      <c r="D122" s="115">
        <f>SUM($B130:D130)</f>
        <v>0</v>
      </c>
      <c r="E122" s="115">
        <f>SUM($B130:E130)</f>
        <v>-18000</v>
      </c>
      <c r="H122" s="81"/>
      <c r="I122" s="81"/>
      <c r="J122" s="81"/>
      <c r="K122" s="81"/>
      <c r="L122" s="81"/>
      <c r="M122" s="81"/>
      <c r="N122" s="81"/>
    </row>
    <row r="123" spans="1:14">
      <c r="H123" s="81"/>
      <c r="I123" s="81"/>
      <c r="J123" s="81"/>
      <c r="K123" s="81"/>
      <c r="L123" s="81"/>
      <c r="M123" s="81"/>
      <c r="N123" s="81"/>
    </row>
    <row r="124" spans="1:14">
      <c r="H124" s="81"/>
      <c r="I124" s="81"/>
      <c r="J124" s="81"/>
      <c r="K124" s="81"/>
      <c r="L124" s="81"/>
      <c r="M124" s="81"/>
      <c r="N124" s="81"/>
    </row>
    <row r="125" spans="1:14" s="81" customFormat="1">
      <c r="A125" s="81" t="s">
        <v>88</v>
      </c>
      <c r="B125" s="101"/>
      <c r="C125" s="101"/>
      <c r="D125" s="101"/>
      <c r="E125" s="101"/>
    </row>
    <row r="126" spans="1:14" customFormat="1" outlineLevel="1">
      <c r="A126" s="82" t="s">
        <v>81</v>
      </c>
      <c r="B126" s="102"/>
      <c r="C126" s="102"/>
      <c r="D126" s="102"/>
      <c r="E126" s="102"/>
      <c r="F126" s="73"/>
      <c r="H126" s="35"/>
      <c r="I126" s="35"/>
      <c r="J126" s="35"/>
      <c r="K126" s="35"/>
      <c r="L126" s="35"/>
      <c r="M126" s="35"/>
      <c r="N126" s="35"/>
    </row>
    <row r="127" spans="1:14" outlineLevel="1">
      <c r="A127" s="73">
        <v>2012</v>
      </c>
      <c r="B127" s="115">
        <f>B$133*$B$144</f>
        <v>-10000</v>
      </c>
      <c r="C127" s="115">
        <f t="shared" ref="C127:D127" si="22">C$133*$B$144</f>
        <v>-6000</v>
      </c>
      <c r="D127" s="115">
        <f t="shared" si="22"/>
        <v>-4000</v>
      </c>
      <c r="E127" s="115">
        <v>0</v>
      </c>
      <c r="H127" s="81"/>
      <c r="I127" s="81"/>
      <c r="J127" s="81"/>
      <c r="K127" s="81"/>
      <c r="L127" s="81"/>
      <c r="M127" s="81"/>
      <c r="N127" s="81"/>
    </row>
    <row r="128" spans="1:14" outlineLevel="1">
      <c r="A128" s="73">
        <v>2013</v>
      </c>
      <c r="B128" s="115">
        <v>0</v>
      </c>
      <c r="C128" s="115">
        <f>B$133*$C$145</f>
        <v>-12000</v>
      </c>
      <c r="D128" s="115">
        <f t="shared" ref="D128:E128" si="23">C$133*$C$145</f>
        <v>-7200</v>
      </c>
      <c r="E128" s="115">
        <f t="shared" si="23"/>
        <v>-4800</v>
      </c>
      <c r="H128" s="81"/>
      <c r="I128" s="81"/>
      <c r="J128" s="81"/>
      <c r="K128" s="81"/>
      <c r="L128" s="81"/>
      <c r="M128" s="81"/>
      <c r="N128" s="81"/>
    </row>
    <row r="129" spans="1:14" outlineLevel="1">
      <c r="A129" s="73">
        <v>2014</v>
      </c>
      <c r="B129" s="115">
        <v>0</v>
      </c>
      <c r="C129" s="115">
        <v>0</v>
      </c>
      <c r="D129" s="115">
        <f>B$133*$D$146</f>
        <v>-15000</v>
      </c>
      <c r="E129" s="115">
        <f t="shared" ref="E129" si="24">C$133*$D$146</f>
        <v>-9000</v>
      </c>
      <c r="H129" s="101"/>
      <c r="I129" s="101"/>
      <c r="J129" s="101"/>
      <c r="K129" s="81"/>
      <c r="L129" s="81"/>
      <c r="M129" s="81"/>
      <c r="N129" s="81"/>
    </row>
    <row r="130" spans="1:14" outlineLevel="1">
      <c r="A130" s="73">
        <v>2015</v>
      </c>
      <c r="B130" s="115">
        <v>0</v>
      </c>
      <c r="C130" s="115">
        <v>0</v>
      </c>
      <c r="D130" s="115">
        <v>0</v>
      </c>
      <c r="E130" s="115">
        <f>B$133*$E$147</f>
        <v>-18000</v>
      </c>
      <c r="H130" s="81"/>
      <c r="I130" s="81"/>
      <c r="J130" s="81"/>
      <c r="K130" s="81"/>
      <c r="L130" s="81"/>
      <c r="M130" s="81"/>
      <c r="N130" s="81"/>
    </row>
    <row r="131" spans="1:14">
      <c r="H131" s="81"/>
      <c r="I131" s="81"/>
      <c r="J131" s="81"/>
      <c r="K131" s="81"/>
      <c r="L131" s="81"/>
      <c r="M131" s="81"/>
      <c r="N131" s="81"/>
    </row>
    <row r="132" spans="1:14">
      <c r="A132" s="81"/>
      <c r="B132" s="112" t="s">
        <v>85</v>
      </c>
      <c r="C132" s="112" t="s">
        <v>86</v>
      </c>
      <c r="D132" s="112" t="s">
        <v>87</v>
      </c>
      <c r="H132" s="81"/>
      <c r="I132" s="81"/>
      <c r="J132" s="81"/>
      <c r="K132" s="81"/>
      <c r="L132" s="81"/>
      <c r="M132" s="81"/>
      <c r="N132" s="81"/>
    </row>
    <row r="133" spans="1:14">
      <c r="A133" s="81" t="s">
        <v>84</v>
      </c>
      <c r="B133" s="111">
        <v>0.5</v>
      </c>
      <c r="C133" s="111">
        <v>0.3</v>
      </c>
      <c r="D133" s="111">
        <v>0.2</v>
      </c>
      <c r="E133"/>
      <c r="H133" s="81"/>
      <c r="I133" s="81"/>
      <c r="J133" s="81"/>
      <c r="K133" s="81"/>
      <c r="L133" s="81"/>
      <c r="M133" s="81"/>
      <c r="N133" s="81"/>
    </row>
    <row r="134" spans="1:14">
      <c r="H134" s="81"/>
      <c r="I134" s="81"/>
      <c r="J134" s="81"/>
      <c r="K134" s="81"/>
      <c r="L134" s="81"/>
      <c r="M134" s="81"/>
      <c r="N134" s="81"/>
    </row>
    <row r="135" spans="1:14">
      <c r="A135" s="81" t="s">
        <v>108</v>
      </c>
      <c r="B135" s="101"/>
      <c r="C135" s="101"/>
      <c r="D135" s="101"/>
      <c r="E135" s="101"/>
      <c r="F135" s="81"/>
      <c r="G135" s="81"/>
      <c r="H135" s="81" t="s">
        <v>83</v>
      </c>
      <c r="I135" s="81"/>
      <c r="J135" s="81"/>
      <c r="K135" s="81"/>
      <c r="L135" s="81"/>
      <c r="M135" s="81"/>
      <c r="N135" s="81"/>
    </row>
    <row r="136" spans="1:14" outlineLevel="1">
      <c r="A136" s="82" t="s">
        <v>81</v>
      </c>
      <c r="B136" s="102"/>
      <c r="C136" s="102"/>
      <c r="D136" s="102"/>
      <c r="E136" s="102"/>
      <c r="H136" s="81"/>
      <c r="I136" s="81"/>
      <c r="J136" s="81"/>
      <c r="K136" s="81"/>
      <c r="L136" s="81"/>
      <c r="M136" s="81"/>
      <c r="N136" s="81"/>
    </row>
    <row r="137" spans="1:14" outlineLevel="1">
      <c r="A137" s="73">
        <v>2012</v>
      </c>
      <c r="B137" s="115">
        <f>B144</f>
        <v>-20000</v>
      </c>
      <c r="C137" s="115">
        <f>B137</f>
        <v>-20000</v>
      </c>
      <c r="D137" s="115">
        <f t="shared" ref="D137:E137" si="25">C137</f>
        <v>-20000</v>
      </c>
      <c r="E137" s="115">
        <f t="shared" si="25"/>
        <v>-20000</v>
      </c>
      <c r="H137" s="81"/>
      <c r="I137" s="81"/>
      <c r="J137" s="81"/>
      <c r="K137" s="81"/>
      <c r="L137" s="81"/>
      <c r="M137" s="81"/>
      <c r="N137" s="81"/>
    </row>
    <row r="138" spans="1:14" outlineLevel="1">
      <c r="A138" s="73">
        <v>2013</v>
      </c>
      <c r="B138" s="115">
        <v>0</v>
      </c>
      <c r="C138" s="115">
        <f>C145</f>
        <v>-24000</v>
      </c>
      <c r="D138" s="115">
        <f>C138</f>
        <v>-24000</v>
      </c>
      <c r="E138" s="115">
        <f>D138</f>
        <v>-24000</v>
      </c>
      <c r="H138" s="81"/>
      <c r="I138" s="81"/>
      <c r="J138" s="81"/>
      <c r="K138" s="81"/>
      <c r="L138" s="81"/>
      <c r="M138" s="81"/>
      <c r="N138" s="81"/>
    </row>
    <row r="139" spans="1:14" outlineLevel="1">
      <c r="A139" s="73">
        <v>2014</v>
      </c>
      <c r="B139" s="115">
        <v>0</v>
      </c>
      <c r="C139" s="115">
        <v>0</v>
      </c>
      <c r="D139" s="115">
        <f>D146</f>
        <v>-30000</v>
      </c>
      <c r="E139" s="115">
        <f>D139</f>
        <v>-30000</v>
      </c>
      <c r="H139" s="81"/>
      <c r="I139" s="81"/>
      <c r="J139" s="81"/>
      <c r="K139" s="81"/>
      <c r="L139" s="81"/>
      <c r="M139" s="81"/>
      <c r="N139" s="81"/>
    </row>
    <row r="140" spans="1:14" outlineLevel="1">
      <c r="A140" s="73">
        <v>2015</v>
      </c>
      <c r="B140" s="115">
        <v>0</v>
      </c>
      <c r="C140" s="115">
        <v>0</v>
      </c>
      <c r="D140" s="115">
        <v>0</v>
      </c>
      <c r="E140" s="115">
        <f>E147</f>
        <v>-36000</v>
      </c>
      <c r="H140" s="81"/>
      <c r="I140" s="81"/>
      <c r="J140" s="81"/>
      <c r="K140" s="81"/>
      <c r="L140" s="81"/>
      <c r="M140" s="81"/>
      <c r="N140" s="81"/>
    </row>
    <row r="142" spans="1:14">
      <c r="A142" s="81" t="s">
        <v>82</v>
      </c>
      <c r="B142" s="101"/>
      <c r="C142" s="101"/>
      <c r="D142" s="101"/>
      <c r="E142" s="101"/>
      <c r="F142" s="81"/>
      <c r="G142" s="81"/>
      <c r="H142" s="81" t="s">
        <v>83</v>
      </c>
      <c r="I142" s="81"/>
      <c r="J142" s="81"/>
      <c r="K142" s="81"/>
      <c r="L142" s="81"/>
      <c r="M142" s="81"/>
      <c r="N142" s="81"/>
    </row>
    <row r="143" spans="1:14" outlineLevel="1">
      <c r="A143" s="82" t="s">
        <v>81</v>
      </c>
      <c r="B143" s="102"/>
      <c r="C143" s="102"/>
      <c r="D143" s="102"/>
      <c r="E143" s="102"/>
      <c r="H143" s="81"/>
      <c r="I143" s="81"/>
      <c r="J143" s="81"/>
      <c r="K143" s="81"/>
      <c r="L143" s="81"/>
      <c r="M143" s="81"/>
      <c r="N143" s="81"/>
    </row>
    <row r="144" spans="1:14" outlineLevel="1">
      <c r="A144" s="73">
        <v>2012</v>
      </c>
      <c r="B144" s="109">
        <v>-20000</v>
      </c>
      <c r="C144" s="108"/>
      <c r="D144" s="108"/>
      <c r="E144" s="108">
        <v>0</v>
      </c>
      <c r="H144" s="81"/>
      <c r="I144" s="81"/>
      <c r="J144" s="81"/>
      <c r="K144" s="81"/>
      <c r="L144" s="81"/>
      <c r="M144" s="81"/>
      <c r="N144" s="81"/>
    </row>
    <row r="145" spans="1:14" outlineLevel="1">
      <c r="A145" s="73">
        <v>2013</v>
      </c>
      <c r="B145" s="108">
        <v>0</v>
      </c>
      <c r="C145" s="109">
        <v>-24000</v>
      </c>
      <c r="D145" s="108"/>
      <c r="E145" s="108"/>
      <c r="H145" s="81"/>
      <c r="I145" s="81"/>
      <c r="J145" s="81"/>
      <c r="K145" s="81"/>
      <c r="L145" s="81"/>
      <c r="M145" s="81"/>
      <c r="N145" s="81"/>
    </row>
    <row r="146" spans="1:14" outlineLevel="1">
      <c r="A146" s="73">
        <v>2014</v>
      </c>
      <c r="B146" s="108">
        <v>0</v>
      </c>
      <c r="C146" s="108">
        <v>0</v>
      </c>
      <c r="D146" s="109">
        <v>-30000</v>
      </c>
      <c r="E146" s="108"/>
      <c r="H146" s="81"/>
      <c r="I146" s="81"/>
      <c r="J146" s="81"/>
      <c r="K146" s="81"/>
      <c r="L146" s="81"/>
      <c r="M146" s="81"/>
      <c r="N146" s="81"/>
    </row>
    <row r="147" spans="1:14" outlineLevel="1">
      <c r="A147" s="73">
        <v>2015</v>
      </c>
      <c r="B147" s="108">
        <v>0</v>
      </c>
      <c r="C147" s="108">
        <v>0</v>
      </c>
      <c r="D147" s="108">
        <v>0</v>
      </c>
      <c r="E147" s="109">
        <v>-36000</v>
      </c>
      <c r="H147" s="81"/>
      <c r="I147" s="81"/>
      <c r="J147" s="81"/>
      <c r="K147" s="81"/>
      <c r="L147" s="81"/>
      <c r="M147" s="81"/>
      <c r="N147" s="81"/>
    </row>
  </sheetData>
  <dataValidations disablePrompts="1" count="1">
    <dataValidation type="list" allowBlank="1" showInputMessage="1" showErrorMessage="1" sqref="B115 J115">
      <formula1>$AA$110:$AA$111</formula1>
    </dataValidation>
  </dataValidations>
  <pageMargins left="0.7" right="0.7" top="0.78740157499999996" bottom="0.78740157499999996" header="0.3" footer="0.3"/>
  <pageSetup paperSize="9" scale="53" orientation="portrait" r:id="rId1"/>
  <rowBreaks count="1" manualBreakCount="1">
    <brk id="69" max="8" man="1"/>
  </rowBreaks>
  <colBreaks count="1" manualBreakCount="1">
    <brk id="10" min="5" max="145" man="1"/>
  </colBreaks>
  <ignoredErrors>
    <ignoredError sqref="C122" formulaRange="1"/>
  </ignoredErrors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 codeName="Tabelle5"/>
  <dimension ref="B7:K28"/>
  <sheetViews>
    <sheetView topLeftCell="A7" workbookViewId="0">
      <selection activeCell="C24" sqref="C24:E28"/>
    </sheetView>
  </sheetViews>
  <sheetFormatPr defaultColWidth="11.5546875" defaultRowHeight="13.2"/>
  <sheetData>
    <row r="7" spans="2:6">
      <c r="D7" s="41" t="s">
        <v>1</v>
      </c>
    </row>
    <row r="8" spans="2:6">
      <c r="D8" s="2" t="s">
        <v>51</v>
      </c>
    </row>
    <row r="13" spans="2:6">
      <c r="B13" s="42"/>
      <c r="C13" s="42"/>
      <c r="D13" s="42" t="s">
        <v>1</v>
      </c>
      <c r="E13" s="42" t="s">
        <v>1</v>
      </c>
      <c r="F13" s="42" t="s">
        <v>52</v>
      </c>
    </row>
    <row r="14" spans="2:6" ht="26.4">
      <c r="B14" s="35"/>
      <c r="C14" s="68" t="s">
        <v>42</v>
      </c>
      <c r="D14" s="43" t="s">
        <v>13</v>
      </c>
      <c r="E14" s="43" t="s">
        <v>41</v>
      </c>
      <c r="F14" s="2"/>
    </row>
    <row r="15" spans="2:6">
      <c r="B15" s="35" t="s">
        <v>45</v>
      </c>
      <c r="C15" s="35" t="str">
        <f>IF(LossRatio&lt;MIN(D:D),"X","")</f>
        <v/>
      </c>
      <c r="D15" s="49"/>
      <c r="E15" s="49"/>
      <c r="F15" s="48">
        <f>VLOOKUP(MIN(D:D),D:E,2,FALSE)</f>
        <v>0.8</v>
      </c>
    </row>
    <row r="16" spans="2:6">
      <c r="B16" s="35" t="s">
        <v>46</v>
      </c>
      <c r="C16" s="35" t="str">
        <f>IF(LossRatio&gt;=MAX(D:D),"X","")</f>
        <v>X</v>
      </c>
      <c r="D16" s="49"/>
      <c r="E16" s="49"/>
      <c r="F16" s="48">
        <f>VLOOKUP(MAX(D:D),D:E,2,FALSE)</f>
        <v>0.05</v>
      </c>
    </row>
    <row r="17" spans="2:11">
      <c r="B17" s="63" t="s">
        <v>47</v>
      </c>
      <c r="C17" s="64" t="str">
        <f>IF(AND(D14&lt;=LossRatio,LossRatio&lt;D17),"X","")</f>
        <v/>
      </c>
      <c r="D17" s="51">
        <v>0.1</v>
      </c>
      <c r="E17" s="51">
        <v>0.8</v>
      </c>
      <c r="F17" s="59"/>
      <c r="J17" s="35" t="s">
        <v>3</v>
      </c>
      <c r="K17" s="56">
        <v>0.85</v>
      </c>
    </row>
    <row r="18" spans="2:11">
      <c r="B18" s="65"/>
      <c r="C18" s="53" t="str">
        <f>IF(AND(D17&lt;=LossRatio,LossRatio&lt;D18),"X","")</f>
        <v/>
      </c>
      <c r="D18" s="50">
        <v>0.6</v>
      </c>
      <c r="E18" s="50">
        <v>0.2</v>
      </c>
      <c r="F18" s="60">
        <f>TREND(E17:E18,D17:D18,LossRatio,TRUE)</f>
        <v>-9.9999999999999978E-2</v>
      </c>
      <c r="J18" s="35" t="s">
        <v>41</v>
      </c>
      <c r="K18" s="62">
        <f>VLOOKUP("X",C15:F20,4,FALSE)</f>
        <v>0.05</v>
      </c>
    </row>
    <row r="19" spans="2:11">
      <c r="B19" s="65"/>
      <c r="C19" s="53" t="str">
        <f>IF(AND(D18&lt;=LossRatio,LossRatio&lt;D19),"X","")</f>
        <v/>
      </c>
      <c r="D19" s="50">
        <v>0.7</v>
      </c>
      <c r="E19" s="50">
        <v>0.1</v>
      </c>
      <c r="F19" s="60">
        <f>TREND(E18:E19,D18:D19,LossRatio,TRUE)</f>
        <v>-5.0000000000000155E-2</v>
      </c>
    </row>
    <row r="20" spans="2:11">
      <c r="B20" s="66"/>
      <c r="C20" s="67" t="str">
        <f>IF(AND(D19&lt;=LossRatio,LossRatio&lt;D20),"X","")</f>
        <v/>
      </c>
      <c r="D20" s="52">
        <v>0.8</v>
      </c>
      <c r="E20" s="52">
        <v>0.05</v>
      </c>
      <c r="F20" s="61">
        <f>TREND(E19:E20,D19:D20,LossRatio,TRUE)</f>
        <v>2.5000000000000078E-2</v>
      </c>
    </row>
    <row r="24" spans="2:11" s="57" customFormat="1">
      <c r="C24" s="58" t="s">
        <v>43</v>
      </c>
      <c r="D24" s="58"/>
      <c r="E24" s="58"/>
      <c r="F24" s="58"/>
    </row>
    <row r="25" spans="2:11" s="35" customFormat="1">
      <c r="C25" s="53" t="s">
        <v>49</v>
      </c>
      <c r="D25" s="54" t="s">
        <v>22</v>
      </c>
      <c r="E25" s="53"/>
    </row>
    <row r="26" spans="2:11" s="35" customFormat="1" ht="39.6">
      <c r="C26" s="53" t="s">
        <v>49</v>
      </c>
      <c r="D26" s="55" t="s">
        <v>28</v>
      </c>
      <c r="E26" s="53"/>
    </row>
    <row r="27" spans="2:11" s="35" customFormat="1" ht="52.8">
      <c r="C27" s="53" t="s">
        <v>50</v>
      </c>
      <c r="D27" s="53"/>
      <c r="E27" s="55" t="s">
        <v>44</v>
      </c>
    </row>
    <row r="28" spans="2:11" s="35" customFormat="1" ht="26.4">
      <c r="C28" s="53" t="s">
        <v>50</v>
      </c>
      <c r="D28" s="53"/>
      <c r="E28" s="55" t="s">
        <v>48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9</vt:i4>
      </vt:variant>
    </vt:vector>
  </HeadingPairs>
  <TitlesOfParts>
    <vt:vector size="16" baseType="lpstr">
      <vt:lpstr>Tabelle1</vt:lpstr>
      <vt:lpstr>Input_for_Test</vt:lpstr>
      <vt:lpstr>Sliding_in_Triangle</vt:lpstr>
      <vt:lpstr>UseCase</vt:lpstr>
      <vt:lpstr>LossPart</vt:lpstr>
      <vt:lpstr>Spec including financials</vt:lpstr>
      <vt:lpstr>NewSliding</vt:lpstr>
      <vt:lpstr>Sliding_in_Triangle!LossRatio</vt:lpstr>
      <vt:lpstr>LossRatio</vt:lpstr>
      <vt:lpstr>maxCo</vt:lpstr>
      <vt:lpstr>maxLR</vt:lpstr>
      <vt:lpstr>minCo</vt:lpstr>
      <vt:lpstr>minLR</vt:lpstr>
      <vt:lpstr>Sliding_in_Triangle!Print_Area</vt:lpstr>
      <vt:lpstr>'Spec including financials'!Print_Area</vt:lpstr>
      <vt:lpstr>UseCase!Print_Area</vt:lpstr>
    </vt:vector>
  </TitlesOfParts>
  <Company>Munich Re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Waßmer Arnold</dc:creator>
  <cp:lastModifiedBy>Stefan Kunz</cp:lastModifiedBy>
  <cp:lastPrinted>2012-10-18T12:29:46Z</cp:lastPrinted>
  <dcterms:created xsi:type="dcterms:W3CDTF">2010-11-11T16:37:51Z</dcterms:created>
  <dcterms:modified xsi:type="dcterms:W3CDTF">2013-01-23T19:29:18Z</dcterms:modified>
</cp:coreProperties>
</file>