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jcchar/repositories/Projects/complexity-verification-project/data/"/>
    </mc:Choice>
  </mc:AlternateContent>
  <xr:revisionPtr revIDLastSave="0" documentId="13_ncr:1_{781045F3-BD2F-B143-977A-2B5620562A0B}" xr6:coauthVersionLast="47" xr6:coauthVersionMax="47" xr10:uidLastSave="{00000000-0000-0000-0000-000000000000}"/>
  <bookViews>
    <workbookView xWindow="-20" yWindow="760" windowWidth="30240" windowHeight="17680" activeTab="1" xr2:uid="{00000000-000D-0000-FFFF-FFFF00000000}"/>
  </bookViews>
  <sheets>
    <sheet name="all_tools" sheetId="1" r:id="rId1"/>
    <sheet name="all_but_chck_frm" sheetId="6" r:id="rId2"/>
    <sheet name="checker_framework" sheetId="2" r:id="rId3"/>
    <sheet name="typestate_checker" sheetId="3" r:id="rId4"/>
    <sheet name="infer" sheetId="4" r:id="rId5"/>
    <sheet name="openjml" sheetId="5" r:id="rId6"/>
  </sheets>
  <definedNames>
    <definedName name="_xlnm._FilterDatabase" localSheetId="1" hidden="1">all_but_chck_frm!$A$1:$O$21</definedName>
    <definedName name="_xlnm._FilterDatabase" localSheetId="0" hidden="1">all_tools!$A$1:$O$21</definedName>
    <definedName name="_xlnm._FilterDatabase" localSheetId="2" hidden="1">checker_framework!$A$1:$O$21</definedName>
    <definedName name="_xlnm._FilterDatabase" localSheetId="4" hidden="1">infer!$A$1:$O$21</definedName>
    <definedName name="_xlnm._FilterDatabase" localSheetId="5" hidden="1">openjml!$A$1:$O$21</definedName>
    <definedName name="_xlnm._FilterDatabase" localSheetId="3" hidden="1">typestate_checker!$A$1:$O$21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R6" i="6" s="1"/>
  <c r="M7" i="6"/>
  <c r="R7" i="6" s="1"/>
  <c r="M8" i="6"/>
  <c r="R8" i="6" s="1"/>
  <c r="M9" i="6"/>
  <c r="R9" i="6" s="1"/>
  <c r="M10" i="6"/>
  <c r="R10" i="6" s="1"/>
  <c r="M11" i="6"/>
  <c r="R11" i="6" s="1"/>
  <c r="M12" i="6"/>
  <c r="M13" i="6"/>
  <c r="M14" i="6"/>
  <c r="M15" i="6"/>
  <c r="R15" i="6" s="1"/>
  <c r="M16" i="6"/>
  <c r="R16" i="6" s="1"/>
  <c r="M17" i="6"/>
  <c r="M18" i="6"/>
  <c r="R18" i="6" s="1"/>
  <c r="M19" i="6"/>
  <c r="R19" i="6" s="1"/>
  <c r="M20" i="6"/>
  <c r="R20" i="6" s="1"/>
  <c r="M21" i="6"/>
  <c r="R21" i="6" s="1"/>
  <c r="S21" i="6"/>
  <c r="Q21" i="6"/>
  <c r="P21" i="6"/>
  <c r="O21" i="6"/>
  <c r="N21" i="6"/>
  <c r="S20" i="6"/>
  <c r="Q20" i="6"/>
  <c r="P20" i="6"/>
  <c r="O20" i="6"/>
  <c r="N20" i="6"/>
  <c r="S19" i="6"/>
  <c r="Q19" i="6"/>
  <c r="P19" i="6"/>
  <c r="O19" i="6"/>
  <c r="N19" i="6"/>
  <c r="S18" i="6"/>
  <c r="Q18" i="6"/>
  <c r="P18" i="6"/>
  <c r="O18" i="6"/>
  <c r="N18" i="6"/>
  <c r="S17" i="6"/>
  <c r="Q17" i="6"/>
  <c r="P17" i="6"/>
  <c r="O17" i="6"/>
  <c r="N17" i="6"/>
  <c r="R17" i="6"/>
  <c r="S16" i="6"/>
  <c r="Q16" i="6"/>
  <c r="P16" i="6"/>
  <c r="O16" i="6"/>
  <c r="N16" i="6"/>
  <c r="S15" i="6"/>
  <c r="Q15" i="6"/>
  <c r="P15" i="6"/>
  <c r="O15" i="6"/>
  <c r="N15" i="6"/>
  <c r="S14" i="6"/>
  <c r="Q14" i="6"/>
  <c r="P14" i="6"/>
  <c r="O14" i="6"/>
  <c r="N14" i="6"/>
  <c r="R14" i="6"/>
  <c r="S13" i="6"/>
  <c r="Q13" i="6"/>
  <c r="P13" i="6"/>
  <c r="O13" i="6"/>
  <c r="N13" i="6"/>
  <c r="R13" i="6"/>
  <c r="S12" i="6"/>
  <c r="Q12" i="6"/>
  <c r="P12" i="6"/>
  <c r="O12" i="6"/>
  <c r="N12" i="6"/>
  <c r="R12" i="6"/>
  <c r="S11" i="6"/>
  <c r="Q11" i="6"/>
  <c r="P11" i="6"/>
  <c r="O11" i="6"/>
  <c r="N11" i="6"/>
  <c r="S10" i="6"/>
  <c r="Q10" i="6"/>
  <c r="P10" i="6"/>
  <c r="O10" i="6"/>
  <c r="N10" i="6"/>
  <c r="S9" i="6"/>
  <c r="Q9" i="6"/>
  <c r="P9" i="6"/>
  <c r="O9" i="6"/>
  <c r="N9" i="6"/>
  <c r="S8" i="6"/>
  <c r="P8" i="6"/>
  <c r="O8" i="6"/>
  <c r="N8" i="6"/>
  <c r="S7" i="6"/>
  <c r="P7" i="6"/>
  <c r="O7" i="6"/>
  <c r="N7" i="6"/>
  <c r="S6" i="6"/>
  <c r="P6" i="6"/>
  <c r="O6" i="6"/>
  <c r="N6" i="6"/>
  <c r="S5" i="6"/>
  <c r="P5" i="6"/>
  <c r="O5" i="6"/>
  <c r="N5" i="6"/>
  <c r="R5" i="6"/>
  <c r="S4" i="6"/>
  <c r="Q4" i="6"/>
  <c r="P4" i="6"/>
  <c r="O4" i="6"/>
  <c r="N4" i="6"/>
  <c r="R4" i="6"/>
  <c r="S3" i="6"/>
  <c r="Q3" i="6"/>
  <c r="P3" i="6"/>
  <c r="O3" i="6"/>
  <c r="N3" i="6"/>
  <c r="R3" i="6"/>
  <c r="S2" i="6"/>
  <c r="Q2" i="6"/>
  <c r="P2" i="6"/>
  <c r="O2" i="6"/>
  <c r="N2" i="6"/>
  <c r="R2" i="6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P8" i="3"/>
  <c r="P7" i="3"/>
  <c r="P6" i="3"/>
  <c r="P5" i="3"/>
  <c r="Q4" i="3"/>
  <c r="P4" i="3"/>
  <c r="Q3" i="3"/>
  <c r="P3" i="3"/>
  <c r="Q2" i="3"/>
  <c r="P2" i="3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4" i="2"/>
  <c r="Q3" i="2"/>
  <c r="Q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4" i="1"/>
  <c r="M25" i="5"/>
  <c r="M24" i="5"/>
  <c r="M23" i="5" s="1"/>
  <c r="M2" i="1"/>
  <c r="N2" i="1"/>
  <c r="M3" i="1"/>
  <c r="R3" i="2" s="1"/>
  <c r="N3" i="1"/>
  <c r="M4" i="1"/>
  <c r="N4" i="1"/>
  <c r="M5" i="1"/>
  <c r="N5" i="1"/>
  <c r="M6" i="1"/>
  <c r="N6" i="1"/>
  <c r="M7" i="1"/>
  <c r="R7" i="2" s="1"/>
  <c r="N7" i="1"/>
  <c r="M8" i="1"/>
  <c r="R8" i="2" s="1"/>
  <c r="N8" i="1"/>
  <c r="M9" i="1"/>
  <c r="N9" i="1"/>
  <c r="M10" i="1"/>
  <c r="N10" i="1"/>
  <c r="M11" i="1"/>
  <c r="N11" i="1"/>
  <c r="M12" i="1"/>
  <c r="R12" i="2" s="1"/>
  <c r="N12" i="1"/>
  <c r="M13" i="1"/>
  <c r="R13" i="2" s="1"/>
  <c r="N13" i="1"/>
  <c r="M14" i="1"/>
  <c r="N14" i="1"/>
  <c r="M15" i="1"/>
  <c r="N15" i="1"/>
  <c r="M16" i="1"/>
  <c r="N16" i="1"/>
  <c r="M17" i="1"/>
  <c r="R17" i="2" s="1"/>
  <c r="N17" i="1"/>
  <c r="M18" i="1"/>
  <c r="R18" i="2" s="1"/>
  <c r="N18" i="1"/>
  <c r="M19" i="1"/>
  <c r="N19" i="1"/>
  <c r="M20" i="1"/>
  <c r="N20" i="1"/>
  <c r="M21" i="1"/>
  <c r="N21" i="1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M25" i="4" s="1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21" i="3"/>
  <c r="N21" i="3"/>
  <c r="M21" i="3"/>
  <c r="R21" i="3" s="1"/>
  <c r="O20" i="3"/>
  <c r="N20" i="3"/>
  <c r="M20" i="3"/>
  <c r="R20" i="3" s="1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R11" i="3" s="1"/>
  <c r="O10" i="3"/>
  <c r="N10" i="3"/>
  <c r="M10" i="3"/>
  <c r="R10" i="3" s="1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M29" i="6" l="1"/>
  <c r="M25" i="6"/>
  <c r="M27" i="6" s="1"/>
  <c r="M24" i="6"/>
  <c r="M23" i="6" s="1"/>
  <c r="R15" i="3"/>
  <c r="R5" i="3"/>
  <c r="M29" i="5"/>
  <c r="M30" i="5" s="1"/>
  <c r="R2" i="2"/>
  <c r="R6" i="2"/>
  <c r="R21" i="2"/>
  <c r="R11" i="2"/>
  <c r="R16" i="2"/>
  <c r="R4" i="2"/>
  <c r="R19" i="2"/>
  <c r="R14" i="2"/>
  <c r="R9" i="2"/>
  <c r="R20" i="2"/>
  <c r="R15" i="2"/>
  <c r="R10" i="2"/>
  <c r="R5" i="2"/>
  <c r="R12" i="3"/>
  <c r="R2" i="3"/>
  <c r="R7" i="3"/>
  <c r="R17" i="3"/>
  <c r="R4" i="3"/>
  <c r="R14" i="3"/>
  <c r="R8" i="3"/>
  <c r="R18" i="3"/>
  <c r="M27" i="5"/>
  <c r="M28" i="5" s="1"/>
  <c r="R9" i="3"/>
  <c r="R16" i="3"/>
  <c r="R6" i="3"/>
  <c r="R3" i="3"/>
  <c r="R13" i="3"/>
  <c r="R19" i="3"/>
  <c r="M27" i="4"/>
  <c r="M25" i="3"/>
  <c r="M27" i="3" s="1"/>
  <c r="M29" i="3"/>
  <c r="M24" i="3"/>
  <c r="M23" i="3" s="1"/>
  <c r="M29" i="2"/>
  <c r="M25" i="2"/>
  <c r="M27" i="2" s="1"/>
  <c r="M24" i="2"/>
  <c r="M23" i="2" s="1"/>
  <c r="M29" i="1"/>
  <c r="M29" i="4"/>
  <c r="M24" i="4"/>
  <c r="M23" i="4" s="1"/>
  <c r="M26" i="5"/>
  <c r="M24" i="1"/>
  <c r="M23" i="1" s="1"/>
  <c r="M25" i="1"/>
  <c r="M27" i="1" s="1"/>
  <c r="M28" i="6" l="1"/>
  <c r="M26" i="6"/>
  <c r="M30" i="6"/>
  <c r="M26" i="3"/>
  <c r="M30" i="3"/>
  <c r="M28" i="3"/>
  <c r="M26" i="2"/>
  <c r="M28" i="2"/>
  <c r="M30" i="2"/>
  <c r="M26" i="4"/>
  <c r="M28" i="4"/>
  <c r="M28" i="1"/>
  <c r="M30" i="1"/>
  <c r="M30" i="4"/>
  <c r="M26" i="1"/>
</calcChain>
</file>

<file path=xl/sharedStrings.xml><?xml version="1.0" encoding="utf-8"?>
<sst xmlns="http://schemas.openxmlformats.org/spreadsheetml/2006/main" count="567" uniqueCount="59">
  <si>
    <t>metric</t>
  </si>
  <si>
    <t>dataset_id</t>
  </si>
  <si>
    <t>metric_type</t>
  </si>
  <si>
    <t>expected_cor</t>
  </si>
  <si>
    <t>num_snippets_judged</t>
  </si>
  <si>
    <t>num_snippets_warnings</t>
  </si>
  <si>
    <t>num_warnings</t>
  </si>
  <si>
    <t>num_snippets_for_correlation</t>
  </si>
  <si>
    <t>kendalls_tau</t>
  </si>
  <si>
    <t>kendalls_p_value</t>
  </si>
  <si>
    <t>spearmans_rho</t>
  </si>
  <si>
    <t>spearmans_p_value</t>
  </si>
  <si>
    <t>correct_output_rating</t>
  </si>
  <si>
    <t>output_difficulty</t>
  </si>
  <si>
    <t>time_to_give_output</t>
  </si>
  <si>
    <t>brain_deact_31ant</t>
  </si>
  <si>
    <t>brain_deact_31post</t>
  </si>
  <si>
    <t>brain_deact_32</t>
  </si>
  <si>
    <t>time_to_understand</t>
  </si>
  <si>
    <t>readability_level</t>
  </si>
  <si>
    <t>correct_verif_questions</t>
  </si>
  <si>
    <t>binary_understandability</t>
  </si>
  <si>
    <t>gap_accuracy</t>
  </si>
  <si>
    <t>readability_level_before</t>
  </si>
  <si>
    <t>readability_level_ba</t>
  </si>
  <si>
    <t>time_to_read_complete</t>
  </si>
  <si>
    <t>perc_correct_output</t>
  </si>
  <si>
    <t>brain_deact_31</t>
  </si>
  <si>
    <t>complexity_level</t>
  </si>
  <si>
    <t>f</t>
  </si>
  <si>
    <t>correctness</t>
  </si>
  <si>
    <t>rating</t>
  </si>
  <si>
    <t>time</t>
  </si>
  <si>
    <t>physiological</t>
  </si>
  <si>
    <t>negative</t>
  </si>
  <si>
    <t>positive</t>
  </si>
  <si>
    <t>expected_cor?</t>
  </si>
  <si>
    <t>None</t>
  </si>
  <si>
    <t>Small</t>
  </si>
  <si>
    <t>Medium</t>
  </si>
  <si>
    <t>Large</t>
  </si>
  <si>
    <t>cor_intepretation</t>
  </si>
  <si>
    <t>stat_significant?</t>
  </si>
  <si>
    <t>Interpretation</t>
  </si>
  <si>
    <t>Lower</t>
  </si>
  <si>
    <t>Upper</t>
  </si>
  <si>
    <t># of expected cor</t>
  </si>
  <si>
    <t>% of expected cor</t>
  </si>
  <si>
    <t># of expected cor (Small+)</t>
  </si>
  <si>
    <t>% of expected cor (Small+)</t>
  </si>
  <si>
    <t># of correlations (non-blank)</t>
  </si>
  <si>
    <t># of correlations</t>
  </si>
  <si>
    <t># of expected cor (Medium)</t>
  </si>
  <si>
    <t>% of expected cor (Medium)</t>
  </si>
  <si>
    <t>9_nc</t>
  </si>
  <si>
    <t>=</t>
  </si>
  <si>
    <t>greater</t>
  </si>
  <si>
    <t>smaller</t>
  </si>
  <si>
    <t>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</si>
</sst>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5" fillId="8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164" fontId="0" fillId="0" borderId="0" xfId="1" applyNumberFormat="1" applyFon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3" fillId="3" borderId="0" xfId="0" applyNumberFormat="1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2" fontId="4" fillId="5" borderId="0" xfId="0" applyNumberFormat="1" applyFont="1" applyFill="1"/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zoomScale="145" zoomScaleNormal="145" workbookViewId="0">
      <selection activeCell="H13" sqref="H13"/>
    </sheetView>
  </sheetViews>
  <sheetFormatPr baseColWidth="10" defaultColWidth="8.83203125" defaultRowHeight="15" x14ac:dyDescent="0.2"/>
  <cols>
    <col min="1" max="1" width="24.6640625" customWidth="1"/>
    <col min="2" max="2" width="10.6640625" style="3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5.33203125" customWidth="1"/>
    <col min="9" max="10" width="21.6640625" customWidth="1"/>
    <col min="11" max="12" width="21.6640625" hidden="1" customWidth="1"/>
    <col min="13" max="13" width="17.6640625" bestFit="1" customWidth="1"/>
    <col min="14" max="14" width="15" bestFit="1" customWidth="1"/>
    <col min="15" max="15" width="13.5" bestFit="1" customWidth="1"/>
    <col min="16" max="16" width="2.6640625" customWidth="1"/>
    <col min="19" max="19" width="13.1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4"/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17</v>
      </c>
      <c r="G2" s="5">
        <v>50</v>
      </c>
      <c r="H2" s="5">
        <v>23</v>
      </c>
      <c r="I2" s="39">
        <v>-0.33772774774302539</v>
      </c>
      <c r="J2" s="5">
        <v>3.7619414014275793E-2</v>
      </c>
      <c r="K2" s="5">
        <v>-0.39768022528514663</v>
      </c>
      <c r="L2" s="5">
        <v>6.0216356265286271E-2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 t="shared" ref="O2:O3" si="1">IF(ISBLANK(I2),"",IF(J2&lt;0.01,"**",IF(J2&lt;0.05,"*", "")))</f>
        <v>*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17</v>
      </c>
      <c r="G3" s="5">
        <v>50</v>
      </c>
      <c r="H3" s="5">
        <v>23</v>
      </c>
      <c r="I3" s="39">
        <v>-0.42754829069287381</v>
      </c>
      <c r="J3" s="5">
        <v>7.6410404822778357E-3</v>
      </c>
      <c r="K3" s="5">
        <v>-0.54528674124323695</v>
      </c>
      <c r="L3" s="5">
        <v>7.124393687845218E-3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**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17</v>
      </c>
      <c r="G4" s="5">
        <v>50</v>
      </c>
      <c r="H4" s="5">
        <v>23</v>
      </c>
      <c r="I4" s="39">
        <v>0.41117066001056379</v>
      </c>
      <c r="J4" s="5">
        <v>9.8210126151251805E-3</v>
      </c>
      <c r="K4" s="5">
        <v>0.53600031718611207</v>
      </c>
      <c r="L4" s="5">
        <v>8.3820912440796345E-3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>IF(ISBLANK(I4),"",IF(J4&lt;0.01,"**",IF(J4&lt;0.05,"*", "")))</f>
        <v>**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7</v>
      </c>
      <c r="G5" s="7">
        <v>14</v>
      </c>
      <c r="H5" s="7">
        <v>12</v>
      </c>
      <c r="I5" s="40">
        <v>-0.31333978072025609</v>
      </c>
      <c r="J5" s="7">
        <v>0.18846999090100591</v>
      </c>
      <c r="K5" s="7">
        <v>-0.31783041284413188</v>
      </c>
      <c r="L5" s="7">
        <v>0.31406107950112661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ref="O5:O21" si="2">IF(ISBLANK(I5),"",IF(J5&lt;0.01,"**",IF(J5&lt;0.05,"*", "")))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7</v>
      </c>
      <c r="G6" s="7">
        <v>14</v>
      </c>
      <c r="H6" s="7">
        <v>12</v>
      </c>
      <c r="I6" s="40">
        <v>-0.45260190548481433</v>
      </c>
      <c r="J6" s="7">
        <v>5.7483531731336357E-2</v>
      </c>
      <c r="K6" s="7">
        <v>-0.46935421431633428</v>
      </c>
      <c r="L6" s="7">
        <v>0.12370498159100569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2"/>
        <v/>
      </c>
      <c r="Q6" s="34" t="s">
        <v>44</v>
      </c>
      <c r="R6" s="34" t="s">
        <v>45</v>
      </c>
      <c r="S6" s="34" t="s">
        <v>43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7</v>
      </c>
      <c r="G7" s="7">
        <v>14</v>
      </c>
      <c r="H7" s="7">
        <v>12</v>
      </c>
      <c r="I7" s="40">
        <v>-0.38297084310253521</v>
      </c>
      <c r="J7" s="7">
        <v>0.1079738014574666</v>
      </c>
      <c r="K7" s="7">
        <v>-0.45826710689153899</v>
      </c>
      <c r="L7" s="7">
        <v>0.13405987835546679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2"/>
        <v/>
      </c>
      <c r="Q7" s="35">
        <v>0</v>
      </c>
      <c r="R7" s="35">
        <v>9.9000000000000005E-2</v>
      </c>
      <c r="S7" s="35" t="s">
        <v>37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7</v>
      </c>
      <c r="G8" s="7">
        <v>14</v>
      </c>
      <c r="H8" s="7">
        <v>12</v>
      </c>
      <c r="I8" s="40">
        <v>0.13926212476455829</v>
      </c>
      <c r="J8" s="7">
        <v>0.5588858290416201</v>
      </c>
      <c r="K8" s="7">
        <v>0.20326363612124709</v>
      </c>
      <c r="L8" s="7">
        <v>0.52633237245257225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2"/>
        <v/>
      </c>
      <c r="Q8" s="35">
        <v>0.1</v>
      </c>
      <c r="R8" s="35">
        <v>0.29899999999999999</v>
      </c>
      <c r="S8" s="35" t="s">
        <v>38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94</v>
      </c>
      <c r="G9" s="11">
        <v>1200</v>
      </c>
      <c r="H9" s="11">
        <v>100</v>
      </c>
      <c r="I9" s="41">
        <v>-0.16799308498171919</v>
      </c>
      <c r="J9" s="11">
        <v>1.571209940531982E-2</v>
      </c>
      <c r="K9" s="11">
        <v>-0.25815625942948522</v>
      </c>
      <c r="L9" s="11">
        <v>9.5081814155965165E-3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</v>
      </c>
      <c r="Q9" s="36">
        <v>0.3</v>
      </c>
      <c r="R9" s="36">
        <v>0.499</v>
      </c>
      <c r="S9" s="36" t="s">
        <v>39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48</v>
      </c>
      <c r="G10" s="14">
        <v>863</v>
      </c>
      <c r="H10" s="14">
        <v>50</v>
      </c>
      <c r="I10" s="42">
        <v>-1.7889603976091351E-2</v>
      </c>
      <c r="J10" s="14">
        <v>0.88317001415190322</v>
      </c>
      <c r="K10" s="14">
        <v>-1.605248793883186E-2</v>
      </c>
      <c r="L10" s="14">
        <v>0.91189838284295555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37">
        <v>0.5</v>
      </c>
      <c r="R10" s="37">
        <v>1</v>
      </c>
      <c r="S10" s="37" t="s">
        <v>40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48</v>
      </c>
      <c r="G11" s="14">
        <v>863</v>
      </c>
      <c r="H11" s="14">
        <v>50</v>
      </c>
      <c r="I11" s="42">
        <v>-3.1906673122880203E-2</v>
      </c>
      <c r="J11" s="14">
        <v>0.78376723002502158</v>
      </c>
      <c r="K11" s="14">
        <v>-3.0450757918651868E-2</v>
      </c>
      <c r="L11" s="14">
        <v>0.83372859902226093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48</v>
      </c>
      <c r="G12" s="14">
        <v>863</v>
      </c>
      <c r="H12" s="14">
        <v>50</v>
      </c>
      <c r="I12" s="42">
        <v>-0.2441570787714312</v>
      </c>
      <c r="J12" s="14">
        <v>3.4554165539190287E-2</v>
      </c>
      <c r="K12" s="14">
        <v>-0.3094340106343606</v>
      </c>
      <c r="L12" s="14">
        <v>2.8767011302358939E-2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10</v>
      </c>
      <c r="G13" s="17">
        <v>71</v>
      </c>
      <c r="H13" s="17">
        <v>10</v>
      </c>
      <c r="I13" s="43">
        <v>-0.45353942022497418</v>
      </c>
      <c r="J13" s="17">
        <v>8.0702142650775008E-2</v>
      </c>
      <c r="K13" s="17">
        <v>-0.60076029057829006</v>
      </c>
      <c r="L13" s="17">
        <v>6.6252950743798139E-2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10</v>
      </c>
      <c r="G14" s="17">
        <v>71</v>
      </c>
      <c r="H14" s="17">
        <v>10</v>
      </c>
      <c r="I14" s="43">
        <v>0.1193524790065721</v>
      </c>
      <c r="J14" s="17">
        <v>0.64577567683708237</v>
      </c>
      <c r="K14" s="17">
        <v>0.14864172138019549</v>
      </c>
      <c r="L14" s="17">
        <v>0.68193556386864729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10</v>
      </c>
      <c r="G15" s="17">
        <v>71</v>
      </c>
      <c r="H15" s="17">
        <v>10</v>
      </c>
      <c r="I15" s="43">
        <v>0.16709347060920099</v>
      </c>
      <c r="J15" s="17">
        <v>0.51990361734558355</v>
      </c>
      <c r="K15" s="17">
        <v>0.27250982253035838</v>
      </c>
      <c r="L15" s="17">
        <v>0.44621564369007899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10</v>
      </c>
      <c r="G16" s="17">
        <v>71</v>
      </c>
      <c r="H16" s="17">
        <v>10</v>
      </c>
      <c r="I16" s="43">
        <v>-0.35805743701971637</v>
      </c>
      <c r="J16" s="17">
        <v>0.16792075329459241</v>
      </c>
      <c r="K16" s="17">
        <v>-0.47069878437061913</v>
      </c>
      <c r="L16" s="17">
        <v>0.1697475039817557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2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15</v>
      </c>
      <c r="G17" s="19">
        <v>39</v>
      </c>
      <c r="H17" s="19">
        <v>16</v>
      </c>
      <c r="I17" s="44">
        <v>-0.18077538151554681</v>
      </c>
      <c r="J17" s="19">
        <v>0.35419549047641641</v>
      </c>
      <c r="K17" s="19">
        <v>-0.25760491865965418</v>
      </c>
      <c r="L17" s="19">
        <v>0.33543451842856847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15</v>
      </c>
      <c r="G18" s="19">
        <v>39</v>
      </c>
      <c r="H18" s="19">
        <v>16</v>
      </c>
      <c r="I18" s="44">
        <v>-0.18077538151554681</v>
      </c>
      <c r="J18" s="19">
        <v>0.35419549047641641</v>
      </c>
      <c r="K18" s="19">
        <v>-0.26664368773543162</v>
      </c>
      <c r="L18" s="19">
        <v>0.31814146487031808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15</v>
      </c>
      <c r="G19" s="19">
        <v>39</v>
      </c>
      <c r="H19" s="19">
        <v>16</v>
      </c>
      <c r="I19" s="44">
        <v>0.35399003814832852</v>
      </c>
      <c r="J19" s="19">
        <v>7.0561368518920295E-2</v>
      </c>
      <c r="K19" s="19">
        <v>0.43418028330340558</v>
      </c>
      <c r="L19" s="19">
        <v>9.2881780630843944E-2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2"/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15</v>
      </c>
      <c r="G20" s="19">
        <v>39</v>
      </c>
      <c r="H20" s="19">
        <v>16</v>
      </c>
      <c r="I20" s="44">
        <v>-0.1647705109143269</v>
      </c>
      <c r="J20" s="19">
        <v>0.40275465389762488</v>
      </c>
      <c r="K20" s="19">
        <v>-0.2493004677260264</v>
      </c>
      <c r="L20" s="19">
        <v>0.35178584403845531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15</v>
      </c>
      <c r="G21" s="19">
        <v>39</v>
      </c>
      <c r="H21" s="19">
        <v>16</v>
      </c>
      <c r="I21" s="44">
        <v>-0.1265427670608828</v>
      </c>
      <c r="J21" s="19">
        <v>0.51663737981598823</v>
      </c>
      <c r="K21" s="19">
        <v>-0.1491396897503261</v>
      </c>
      <c r="L21" s="19">
        <v>0.58145132599759985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">
      <c r="J23" t="s">
        <v>50</v>
      </c>
      <c r="M23" s="3">
        <f>M24-COUNTBLANK(M2:M21)</f>
        <v>20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15</v>
      </c>
    </row>
    <row r="26" spans="1:15" x14ac:dyDescent="0.2">
      <c r="J26" t="s">
        <v>47</v>
      </c>
      <c r="M26" s="38">
        <f>M25/M24</f>
        <v>0.75</v>
      </c>
    </row>
    <row r="27" spans="1:15" x14ac:dyDescent="0.2">
      <c r="J27" t="s">
        <v>48</v>
      </c>
      <c r="M27" s="3">
        <f>M25-COUNTIFS(M2:M21,"y",N2:N21,"None")</f>
        <v>13</v>
      </c>
    </row>
    <row r="28" spans="1:15" x14ac:dyDescent="0.2">
      <c r="J28" t="s">
        <v>49</v>
      </c>
      <c r="M28" s="38">
        <f>M27/M24</f>
        <v>0.65</v>
      </c>
    </row>
    <row r="29" spans="1:15" x14ac:dyDescent="0.2">
      <c r="J29" t="s">
        <v>52</v>
      </c>
      <c r="M29" s="3">
        <f>COUNTIF(N2:N21,"Medium")</f>
        <v>9</v>
      </c>
    </row>
    <row r="30" spans="1:15" x14ac:dyDescent="0.2">
      <c r="J30" t="s">
        <v>53</v>
      </c>
      <c r="M30" s="38">
        <f>M29/M24</f>
        <v>0.45</v>
      </c>
    </row>
  </sheetData>
  <autoFilter ref="A1:O21" xr:uid="{00000000-0001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B00-1BCE-E144-83FE-38E5D5F3CE22}">
  <dimension ref="A1:S30"/>
  <sheetViews>
    <sheetView tabSelected="1" zoomScale="145" zoomScaleNormal="145" workbookViewId="0">
      <selection activeCell="I2" sqref="I2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4.33203125" hidden="1" customWidth="1"/>
    <col min="9" max="9" width="15.83203125" bestFit="1" customWidth="1"/>
    <col min="10" max="10" width="22.6640625" bestFit="1" customWidth="1"/>
    <col min="11" max="11" width="20.6640625" hidden="1" customWidth="1"/>
    <col min="12" max="12" width="21.6640625" hidden="1" customWidth="1"/>
    <col min="13" max="13" width="17.6640625" bestFit="1" customWidth="1"/>
    <col min="14" max="14" width="15" bestFit="1" customWidth="1"/>
    <col min="15" max="15" width="13.5" bestFit="1" customWidth="1"/>
    <col min="16" max="19" width="8.83203125" style="3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2" t="s">
        <v>56</v>
      </c>
      <c r="Q1" s="2" t="s">
        <v>57</v>
      </c>
      <c r="R1" s="2" t="s">
        <v>55</v>
      </c>
      <c r="S1" s="2" t="s">
        <v>58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H2" s="5">
        <v>23</v>
      </c>
      <c r="I2" s="39">
        <v>-0.34743961448615102</v>
      </c>
      <c r="J2" s="5">
        <v>3.2806356472939502E-2</v>
      </c>
      <c r="K2" s="5">
        <v>-0.27197235029387162</v>
      </c>
      <c r="L2" s="5">
        <v>0.20932509565963231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 t="shared" ref="O2:O3" si="1">IF(ISBLANK(I2),"",IF(J2&lt;0.01,"**",IF(J2&lt;0.05,"*", "")))</f>
        <v>*</v>
      </c>
      <c r="P2" s="6" t="str">
        <f>IF(ABS(I2)&gt;ABS(all_tools!I2),"y","")</f>
        <v>y</v>
      </c>
      <c r="Q2" s="6" t="str">
        <f>IF(ABS(I2)&lt;ABS(all_tools!I2),"y","")</f>
        <v/>
      </c>
      <c r="R2" s="6" t="str">
        <f>IF(M2=all_tools!M2,"y","")</f>
        <v>y</v>
      </c>
      <c r="S2" s="49">
        <f>ABS(I2)-ABS(all_tools!I2)</f>
        <v>9.71186674312563E-3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H3" s="5">
        <v>23</v>
      </c>
      <c r="I3" s="39">
        <v>-0.45043061778919702</v>
      </c>
      <c r="J3" s="5">
        <v>5.0370573016936798E-3</v>
      </c>
      <c r="K3" s="5">
        <v>-0.32017787305285961</v>
      </c>
      <c r="L3" s="5">
        <v>0.13637641008504059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**</v>
      </c>
      <c r="P3" s="6" t="str">
        <f>IF(ABS(I3)&gt;ABS(all_tools!I3),"y","")</f>
        <v>y</v>
      </c>
      <c r="Q3" s="6" t="str">
        <f>IF(ABS(I3)&lt;ABS(all_tools!I3),"y","")</f>
        <v/>
      </c>
      <c r="R3" s="6" t="str">
        <f>IF(M3=all_tools!M3,"y","")</f>
        <v>y</v>
      </c>
      <c r="S3" s="49">
        <f>ABS(I3)-ABS(all_tools!I3)</f>
        <v>2.2882327096323207E-2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H4" s="5">
        <v>23</v>
      </c>
      <c r="I4" s="39">
        <v>0.433840500094132</v>
      </c>
      <c r="J4" s="5">
        <v>6.5485311386563796E-3</v>
      </c>
      <c r="K4" s="5">
        <v>0.28096954242303013</v>
      </c>
      <c r="L4" s="5">
        <v>0.19405167261558409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>IF(ISBLANK(I4),"",IF(J4&lt;0.01,"**",IF(J4&lt;0.05,"*", "")))</f>
        <v>**</v>
      </c>
      <c r="P4" s="6" t="str">
        <f>IF(ABS(I4)&gt;ABS(all_tools!I4),"y","")</f>
        <v>y</v>
      </c>
      <c r="Q4" s="6" t="str">
        <f>IF(ABS(I4)&lt;ABS(all_tools!I4),"y","")</f>
        <v/>
      </c>
      <c r="R4" s="6" t="str">
        <f>IF(M4=all_tools!M4,"y","")</f>
        <v>y</v>
      </c>
      <c r="S4" s="49">
        <f>ABS(I4)-ABS(all_tools!I4)</f>
        <v>2.2669840083568205E-2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H5" s="7">
        <v>12</v>
      </c>
      <c r="I5" s="40">
        <v>-0.31333978072025598</v>
      </c>
      <c r="J5" s="7">
        <v>0.188469990901005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ref="O5:O21" si="2">IF(ISBLANK(I5),"",IF(J5&lt;0.01,"**",IF(J5&lt;0.05,"*", "")))</f>
        <v/>
      </c>
      <c r="P5" s="8" t="str">
        <f>IF(ABS(I5)&gt;ABS(all_tools!I5),"y","")</f>
        <v/>
      </c>
      <c r="Q5" s="8"/>
      <c r="R5" s="8" t="str">
        <f>IF(M5=all_tools!M5,"y","")</f>
        <v>y</v>
      </c>
      <c r="S5" s="50">
        <f>ABS(I5)-ABS(all_tools!I5)</f>
        <v>0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H6" s="7">
        <v>12</v>
      </c>
      <c r="I6" s="40">
        <v>-0.45260190548481399</v>
      </c>
      <c r="J6" s="7">
        <v>5.7483531731336301E-2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2"/>
        <v/>
      </c>
      <c r="P6" s="8" t="str">
        <f>IF(ABS(I6)&gt;ABS(all_tools!I6),"y","")</f>
        <v/>
      </c>
      <c r="Q6" s="51"/>
      <c r="R6" s="51" t="str">
        <f>IF(M6=all_tools!M6,"y","")</f>
        <v>y</v>
      </c>
      <c r="S6" s="52">
        <f>ABS(I6)-ABS(all_tools!I6)</f>
        <v>0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H7" s="7">
        <v>12</v>
      </c>
      <c r="I7" s="40">
        <v>-0.38297084310253499</v>
      </c>
      <c r="J7" s="7">
        <v>0.107973801457466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2"/>
        <v/>
      </c>
      <c r="P7" s="8" t="str">
        <f>IF(ABS(I7)&gt;ABS(all_tools!I7),"y","")</f>
        <v/>
      </c>
      <c r="Q7" s="53"/>
      <c r="R7" s="53" t="str">
        <f>IF(M7=all_tools!M7,"y","")</f>
        <v>y</v>
      </c>
      <c r="S7" s="54">
        <f>ABS(I7)-ABS(all_tools!I7)</f>
        <v>0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H8" s="7">
        <v>12</v>
      </c>
      <c r="I8" s="40">
        <v>0.13926212476455799</v>
      </c>
      <c r="J8" s="7">
        <v>0.55888582904161999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2"/>
        <v/>
      </c>
      <c r="P8" s="8" t="str">
        <f>IF(ABS(I8)&gt;ABS(all_tools!I8),"y","")</f>
        <v/>
      </c>
      <c r="Q8" s="53"/>
      <c r="R8" s="53" t="str">
        <f>IF(M8=all_tools!M8,"y","")</f>
        <v>y</v>
      </c>
      <c r="S8" s="54">
        <f>ABS(I8)-ABS(all_tools!I8)</f>
        <v>-3.0531133177191805E-16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H9" s="11">
        <v>100</v>
      </c>
      <c r="I9" s="41">
        <v>-0.151284214661567</v>
      </c>
      <c r="J9" s="11">
        <v>2.9534236432747201E-2</v>
      </c>
      <c r="K9" s="11">
        <v>-0.28726717466178431</v>
      </c>
      <c r="L9" s="11">
        <v>3.7567205497513649E-3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</v>
      </c>
      <c r="P9" s="12" t="str">
        <f>IF(ABS(I9)&gt;ABS(all_tools!I9),"y","")</f>
        <v/>
      </c>
      <c r="Q9" s="55" t="str">
        <f>IF(ABS(I9)&lt;ABS(all_tools!I9),"y","")</f>
        <v>y</v>
      </c>
      <c r="R9" s="55" t="str">
        <f>IF(M9=all_tools!M9,"y","")</f>
        <v>y</v>
      </c>
      <c r="S9" s="56">
        <f>ABS(I9)-ABS(all_tools!I9)</f>
        <v>-1.6708870320152197E-2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H10" s="14">
        <v>50</v>
      </c>
      <c r="I10" s="42">
        <v>-1.7889603976091299E-2</v>
      </c>
      <c r="J10" s="14">
        <v>0.88317001415190299</v>
      </c>
      <c r="K10" s="14">
        <v>-2.1745521452022229E-2</v>
      </c>
      <c r="L10" s="14">
        <v>0.88084937555910936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P10" s="15" t="str">
        <f>IF(ABS(I10)&gt;ABS(all_tools!I10),"y","")</f>
        <v/>
      </c>
      <c r="Q10" s="57" t="str">
        <f>IF(ABS(I10)&lt;ABS(all_tools!I10),"y","")</f>
        <v>y</v>
      </c>
      <c r="R10" s="57" t="str">
        <f>IF(M10=all_tools!M10,"y","")</f>
        <v>y</v>
      </c>
      <c r="S10" s="58">
        <f>ABS(I10)-ABS(all_tools!I10)</f>
        <v>-5.2041704279304213E-17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H11" s="14">
        <v>50</v>
      </c>
      <c r="I11" s="42">
        <v>-3.1906673122880098E-2</v>
      </c>
      <c r="J11" s="14">
        <v>0.78376723002502102</v>
      </c>
      <c r="K11" s="14">
        <v>-2.8051607294758089E-2</v>
      </c>
      <c r="L11" s="14">
        <v>0.84666464123863983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  <c r="P11" s="15" t="str">
        <f>IF(ABS(I11)&gt;ABS(all_tools!I11),"y","")</f>
        <v/>
      </c>
      <c r="Q11" s="15" t="str">
        <f>IF(ABS(I11)&lt;ABS(all_tools!I11),"y","")</f>
        <v>y</v>
      </c>
      <c r="R11" s="15" t="str">
        <f>IF(M11=all_tools!M11,"y","")</f>
        <v>y</v>
      </c>
      <c r="S11" s="59">
        <f>ABS(I11)-ABS(all_tools!I11)</f>
        <v>-1.0408340855860843E-16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H12" s="14">
        <v>50</v>
      </c>
      <c r="I12" s="42">
        <v>-0.244157078771431</v>
      </c>
      <c r="J12" s="14">
        <v>3.4554165539190197E-2</v>
      </c>
      <c r="K12" s="14">
        <v>-0.31183200892839741</v>
      </c>
      <c r="L12" s="14">
        <v>2.7488825966879269E-2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  <c r="P12" s="15" t="str">
        <f>IF(ABS(I12)&gt;ABS(all_tools!I12),"y","")</f>
        <v/>
      </c>
      <c r="Q12" s="15" t="str">
        <f>IF(ABS(I12)&lt;ABS(all_tools!I12),"y","")</f>
        <v/>
      </c>
      <c r="R12" s="15" t="str">
        <f>IF(M12=all_tools!M12,"y","")</f>
        <v>y</v>
      </c>
      <c r="S12" s="59">
        <f>ABS(I12)-ABS(all_tools!I12)</f>
        <v>0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H13" s="17">
        <v>10</v>
      </c>
      <c r="I13" s="43">
        <v>-0.31859300290731601</v>
      </c>
      <c r="J13" s="17">
        <v>0.224066686312096</v>
      </c>
      <c r="K13" s="17">
        <v>-0.42640143271122077</v>
      </c>
      <c r="L13" s="17">
        <v>0.21913836052287261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  <c r="P13" s="18" t="str">
        <f>IF(ABS(I13)&gt;ABS(all_tools!I13),"y","")</f>
        <v/>
      </c>
      <c r="Q13" s="18" t="str">
        <f>IF(ABS(I13)&lt;ABS(all_tools!I13),"y","")</f>
        <v>y</v>
      </c>
      <c r="R13" s="18" t="str">
        <f>IF(M13=all_tools!M13,"y","")</f>
        <v>y</v>
      </c>
      <c r="S13" s="60">
        <f>ABS(I13)-ABS(all_tools!I13)</f>
        <v>-0.13494641731765816</v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H14" s="17">
        <v>10</v>
      </c>
      <c r="I14" s="43">
        <v>0.171550078488555</v>
      </c>
      <c r="J14" s="17">
        <v>0.51269076026192295</v>
      </c>
      <c r="K14" s="17">
        <v>0.35533452725935072</v>
      </c>
      <c r="L14" s="17">
        <v>0.31363736407545367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  <c r="P14" s="18" t="str">
        <f>IF(ABS(I14)&gt;ABS(all_tools!I14),"y","")</f>
        <v>y</v>
      </c>
      <c r="Q14" s="18" t="str">
        <f>IF(ABS(I14)&lt;ABS(all_tools!I14),"y","")</f>
        <v/>
      </c>
      <c r="R14" s="18" t="str">
        <f>IF(M14=all_tools!M14,"y","")</f>
        <v>y</v>
      </c>
      <c r="S14" s="60">
        <f>ABS(I14)-ABS(all_tools!I14)</f>
        <v>5.2197599481982895E-2</v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H15" s="17">
        <v>10</v>
      </c>
      <c r="I15" s="43">
        <v>0.171550078488555</v>
      </c>
      <c r="J15" s="17">
        <v>0.51269076026192295</v>
      </c>
      <c r="K15" s="17">
        <v>0.42640143271122077</v>
      </c>
      <c r="L15" s="17">
        <v>0.21913836052287261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  <c r="P15" s="18" t="str">
        <f>IF(ABS(I15)&gt;ABS(all_tools!I15),"y","")</f>
        <v>y</v>
      </c>
      <c r="Q15" s="18" t="str">
        <f>IF(ABS(I15)&lt;ABS(all_tools!I15),"y","")</f>
        <v/>
      </c>
      <c r="R15" s="18" t="str">
        <f>IF(M15=all_tools!M15,"y","")</f>
        <v>y</v>
      </c>
      <c r="S15" s="60">
        <f>ABS(I15)-ABS(all_tools!I15)</f>
        <v>4.4566078793540076E-3</v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H16" s="17">
        <v>10</v>
      </c>
      <c r="I16" s="43">
        <v>-0.269578694767729</v>
      </c>
      <c r="J16" s="17">
        <v>0.30360117123335201</v>
      </c>
      <c r="K16" s="17">
        <v>-0.497468338163091</v>
      </c>
      <c r="L16" s="17">
        <v>0.14346146559508571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2"/>
        <v/>
      </c>
      <c r="P16" s="18" t="str">
        <f>IF(ABS(I16)&gt;ABS(all_tools!I16),"y","")</f>
        <v/>
      </c>
      <c r="Q16" s="18" t="str">
        <f>IF(ABS(I16)&lt;ABS(all_tools!I16),"y","")</f>
        <v>y</v>
      </c>
      <c r="R16" s="18" t="str">
        <f>IF(M16=all_tools!M16,"y","")</f>
        <v>y</v>
      </c>
      <c r="S16" s="60">
        <f>ABS(I16)-ABS(all_tools!I16)</f>
        <v>-8.8478742251987375E-2</v>
      </c>
    </row>
    <row r="17" spans="1:19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H17" s="19">
        <v>16</v>
      </c>
      <c r="I17" s="44">
        <v>-0.109544511501033</v>
      </c>
      <c r="J17" s="19">
        <v>0.57719497655386198</v>
      </c>
      <c r="K17" s="19">
        <v>-0.12157835800107809</v>
      </c>
      <c r="L17" s="19">
        <v>0.65376710935384819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  <c r="P17" s="20" t="str">
        <f>IF(ABS(I17)&gt;ABS(all_tools!I17),"y","")</f>
        <v/>
      </c>
      <c r="Q17" s="20" t="str">
        <f>IF(ABS(I17)&lt;ABS(all_tools!I17),"y","")</f>
        <v>y</v>
      </c>
      <c r="R17" s="20" t="str">
        <f>IF(M17=all_tools!M17,"y","")</f>
        <v>y</v>
      </c>
      <c r="S17" s="61">
        <f>ABS(I17)-ABS(all_tools!I17)</f>
        <v>-7.1230870014513809E-2</v>
      </c>
    </row>
    <row r="18" spans="1:19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H18" s="19">
        <v>16</v>
      </c>
      <c r="I18" s="44">
        <v>-0.14605934866804399</v>
      </c>
      <c r="J18" s="19">
        <v>0.457290667956682</v>
      </c>
      <c r="K18" s="19">
        <v>-1.736833685729687E-2</v>
      </c>
      <c r="L18" s="19">
        <v>0.94909603273704102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  <c r="P18" s="20" t="str">
        <f>IF(ABS(I18)&gt;ABS(all_tools!I18),"y","")</f>
        <v/>
      </c>
      <c r="Q18" s="20" t="str">
        <f>IF(ABS(I18)&lt;ABS(all_tools!I18),"y","")</f>
        <v>y</v>
      </c>
      <c r="R18" s="20" t="str">
        <f>IF(M18=all_tools!M18,"y","")</f>
        <v>y</v>
      </c>
      <c r="S18" s="61">
        <f>ABS(I18)-ABS(all_tools!I18)</f>
        <v>-3.4716032847502826E-2</v>
      </c>
    </row>
    <row r="19" spans="1:19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H19" s="19">
        <v>16</v>
      </c>
      <c r="I19" s="44">
        <v>0.30251050401930901</v>
      </c>
      <c r="J19" s="19">
        <v>0.124914355449184</v>
      </c>
      <c r="K19" s="19">
        <v>0.3302413141237342</v>
      </c>
      <c r="L19" s="19">
        <v>0.21158246186830859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2"/>
        <v/>
      </c>
      <c r="P19" s="20" t="str">
        <f>IF(ABS(I19)&gt;ABS(all_tools!I19),"y","")</f>
        <v/>
      </c>
      <c r="Q19" s="20" t="str">
        <f>IF(ABS(I19)&lt;ABS(all_tools!I19),"y","")</f>
        <v>y</v>
      </c>
      <c r="R19" s="20" t="str">
        <f>IF(M19=all_tools!M19,"y","")</f>
        <v>y</v>
      </c>
      <c r="S19" s="61">
        <f>ABS(I19)-ABS(all_tools!I19)</f>
        <v>-5.1479534129019511E-2</v>
      </c>
    </row>
    <row r="20" spans="1:19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H20" s="19">
        <v>16</v>
      </c>
      <c r="I20" s="44">
        <v>-0.16641005886756799</v>
      </c>
      <c r="J20" s="19">
        <v>0.40142102402695501</v>
      </c>
      <c r="K20" s="19">
        <v>-0.19161611347062391</v>
      </c>
      <c r="L20" s="19">
        <v>0.4771333722542902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  <c r="P20" s="20" t="str">
        <f>IF(ABS(I20)&gt;ABS(all_tools!I20),"y","")</f>
        <v>y</v>
      </c>
      <c r="Q20" s="20" t="str">
        <f>IF(ABS(I20)&lt;ABS(all_tools!I20),"y","")</f>
        <v/>
      </c>
      <c r="R20" s="20" t="str">
        <f>IF(M20=all_tools!M20,"y","")</f>
        <v>y</v>
      </c>
      <c r="S20" s="61">
        <f>ABS(I20)-ABS(all_tools!I20)</f>
        <v>1.6395479532410884E-3</v>
      </c>
    </row>
    <row r="21" spans="1:19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H21" s="19">
        <v>16</v>
      </c>
      <c r="I21" s="44">
        <v>-9.1287092917527596E-2</v>
      </c>
      <c r="J21" s="19">
        <v>0.642237837292436</v>
      </c>
      <c r="K21" s="19">
        <v>-0.29526172657404681</v>
      </c>
      <c r="L21" s="19">
        <v>0.26690125229506823</v>
      </c>
      <c r="M21" s="32" t="str">
        <f t="shared" si="0"/>
        <v>n</v>
      </c>
      <c r="N21" s="33" t="str">
        <f>IF(ISBLANK(I21),"",LOOKUP(ABS(I21),all_tools!$Q$7:$Q$10,all_tools!$S$7:$S$10))</f>
        <v>None</v>
      </c>
      <c r="O21" s="33" t="str">
        <f t="shared" si="2"/>
        <v/>
      </c>
      <c r="P21" s="20" t="str">
        <f>IF(ABS(I21)&gt;ABS(all_tools!I21),"y","")</f>
        <v/>
      </c>
      <c r="Q21" s="20" t="str">
        <f>IF(ABS(I21)&lt;ABS(all_tools!I21),"y","")</f>
        <v>y</v>
      </c>
      <c r="R21" s="20" t="str">
        <f>IF(M21=all_tools!M21,"y","")</f>
        <v>y</v>
      </c>
      <c r="S21" s="61">
        <f>ABS(I21)-ABS(all_tools!I21)</f>
        <v>-3.5255674143355203E-2</v>
      </c>
    </row>
    <row r="23" spans="1:19" x14ac:dyDescent="0.2">
      <c r="J23" t="s">
        <v>50</v>
      </c>
      <c r="M23" s="3">
        <f>M24-COUNTBLANK(M2:M21)</f>
        <v>20</v>
      </c>
    </row>
    <row r="24" spans="1:19" x14ac:dyDescent="0.2">
      <c r="J24" t="s">
        <v>51</v>
      </c>
      <c r="M24" s="3">
        <f>COUNTA(M2:M21)</f>
        <v>20</v>
      </c>
    </row>
    <row r="25" spans="1:19" x14ac:dyDescent="0.2">
      <c r="J25" t="s">
        <v>46</v>
      </c>
      <c r="M25" s="3">
        <f>COUNTIF(M2:M21,"y")</f>
        <v>15</v>
      </c>
    </row>
    <row r="26" spans="1:19" x14ac:dyDescent="0.2">
      <c r="J26" t="s">
        <v>47</v>
      </c>
      <c r="M26" s="38">
        <f>M25/M24</f>
        <v>0.75</v>
      </c>
    </row>
    <row r="27" spans="1:19" x14ac:dyDescent="0.2">
      <c r="J27" t="s">
        <v>48</v>
      </c>
      <c r="M27" s="3">
        <f>M25-COUNTIFS(M2:M21,"y",N2:N21,"None")</f>
        <v>13</v>
      </c>
    </row>
    <row r="28" spans="1:19" x14ac:dyDescent="0.2">
      <c r="J28" t="s">
        <v>49</v>
      </c>
      <c r="M28" s="38">
        <f>M27/M24</f>
        <v>0.65</v>
      </c>
    </row>
    <row r="29" spans="1:19" x14ac:dyDescent="0.2">
      <c r="J29" t="s">
        <v>52</v>
      </c>
      <c r="M29" s="3">
        <f>COUNTIF(N2:N21,"Medium")</f>
        <v>8</v>
      </c>
    </row>
    <row r="30" spans="1:19" x14ac:dyDescent="0.2">
      <c r="J30" t="s">
        <v>53</v>
      </c>
      <c r="M30" s="38">
        <f>M29/M24</f>
        <v>0.4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zoomScale="145" zoomScaleNormal="145" workbookViewId="0">
      <selection activeCell="S20" activeCellId="8" sqref="S2 S3 S4 S9 S13 S17 S18 S19 S20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4.33203125" customWidth="1"/>
    <col min="9" max="9" width="21.6640625" customWidth="1"/>
    <col min="10" max="10" width="22.6640625" bestFit="1" customWidth="1"/>
    <col min="11" max="11" width="20.6640625" hidden="1" customWidth="1"/>
    <col min="12" max="12" width="21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2" t="s">
        <v>56</v>
      </c>
      <c r="Q1" s="2" t="s">
        <v>57</v>
      </c>
      <c r="R1" s="2" t="s">
        <v>55</v>
      </c>
      <c r="S1" s="2" t="s">
        <v>58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7</v>
      </c>
      <c r="H2" s="5">
        <v>23</v>
      </c>
      <c r="I2" s="39">
        <v>-0.2277100170213244</v>
      </c>
      <c r="J2" s="5">
        <v>0.20032802218695259</v>
      </c>
      <c r="K2" s="5">
        <v>-0.27197235029387162</v>
      </c>
      <c r="L2" s="5">
        <v>0.20932509565963231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3" si="1">IF(ISBLANK(I2),"",IF(J2&lt;0.01,"**",IF(J2&lt;0.05,"*", "")))</f>
        <v/>
      </c>
      <c r="P2" s="5" t="str">
        <f>IF(ABS(I2)&gt;ABS(all_tools!I2),"y","")</f>
        <v/>
      </c>
      <c r="Q2" s="5" t="str">
        <f>IF(ABS(I2)&lt;ABS(all_tools!I2),"y","")</f>
        <v>y</v>
      </c>
      <c r="R2" s="5" t="str">
        <f>IF(M2=all_tools!M2,"y","")</f>
        <v>y</v>
      </c>
      <c r="S2" s="39">
        <f>ABS(I2)-ABS(all_tools!I2)</f>
        <v>-0.11001773072170098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7</v>
      </c>
      <c r="H3" s="5">
        <v>23</v>
      </c>
      <c r="I3" s="39">
        <v>-0.26347777762091701</v>
      </c>
      <c r="J3" s="5">
        <v>0.1329850671160174</v>
      </c>
      <c r="K3" s="5">
        <v>-0.32017787305285961</v>
      </c>
      <c r="L3" s="5">
        <v>0.13637641008504059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/>
      </c>
      <c r="P3" s="5" t="str">
        <f>IF(ABS(I3)&gt;ABS(all_tools!I3),"y","")</f>
        <v/>
      </c>
      <c r="Q3" s="5" t="str">
        <f>IF(ABS(I3)&lt;ABS(all_tools!I3),"y","")</f>
        <v>y</v>
      </c>
      <c r="R3" s="5" t="str">
        <f>IF(M3=all_tools!M3,"y","")</f>
        <v>y</v>
      </c>
      <c r="S3" s="39">
        <f>ABS(I3)-ABS(all_tools!I3)</f>
        <v>-0.1640705130719568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7</v>
      </c>
      <c r="H4" s="5">
        <v>23</v>
      </c>
      <c r="I4" s="39">
        <v>0.2297034206521828</v>
      </c>
      <c r="J4" s="5">
        <v>0.18729084163390899</v>
      </c>
      <c r="K4" s="5">
        <v>0.28096954242303013</v>
      </c>
      <c r="L4" s="5">
        <v>0.19405167261558409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>IF(ISBLANK(I4),"",IF(J4&lt;0.01,"**",IF(J4&lt;0.05,"*", "")))</f>
        <v/>
      </c>
      <c r="P4" s="5" t="str">
        <f>IF(ABS(I4)&gt;ABS(all_tools!I4),"y","")</f>
        <v/>
      </c>
      <c r="Q4" s="5" t="str">
        <f>IF(ABS(I4)&lt;ABS(all_tools!I4),"y","")</f>
        <v>y</v>
      </c>
      <c r="R4" s="5" t="str">
        <f>IF(M4=all_tools!M4,"y","")</f>
        <v>y</v>
      </c>
      <c r="S4" s="39">
        <f>ABS(I4)-ABS(all_tools!I4)</f>
        <v>-0.18146723935838099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I5" s="40"/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ref="O5:O21" si="2">IF(ISBLANK(I5),"",IF(J5&lt;0.01,"**",IF(J5&lt;0.05,"*", "")))</f>
        <v/>
      </c>
      <c r="P5" s="7" t="str">
        <f>IF(ABS(I5)&gt;ABS(all_tools!I5),"y","")</f>
        <v/>
      </c>
      <c r="R5" s="7" t="str">
        <f>IF(M5=all_tools!M5,"y","")</f>
        <v/>
      </c>
      <c r="S5" s="40">
        <f>ABS(I5)-ABS(all_tools!I5)</f>
        <v>-0.31333978072025609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I6" s="40"/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2"/>
        <v/>
      </c>
      <c r="P6" s="7" t="str">
        <f>IF(ABS(I6)&gt;ABS(all_tools!I6),"y","")</f>
        <v/>
      </c>
      <c r="Q6" s="9"/>
      <c r="R6" s="9" t="str">
        <f>IF(M6=all_tools!M6,"y","")</f>
        <v/>
      </c>
      <c r="S6" s="45">
        <f>ABS(I6)-ABS(all_tools!I6)</f>
        <v>-0.45260190548481433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I7" s="40"/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2"/>
        <v/>
      </c>
      <c r="P7" s="7" t="str">
        <f>IF(ABS(I7)&gt;ABS(all_tools!I7),"y","")</f>
        <v/>
      </c>
      <c r="Q7" s="10"/>
      <c r="R7" s="10" t="str">
        <f>IF(M7=all_tools!M7,"y","")</f>
        <v/>
      </c>
      <c r="S7" s="46">
        <f>ABS(I7)-ABS(all_tools!I7)</f>
        <v>-0.38297084310253521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I8" s="40"/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2"/>
        <v/>
      </c>
      <c r="P8" s="7" t="str">
        <f>IF(ABS(I8)&gt;ABS(all_tools!I8),"y","")</f>
        <v/>
      </c>
      <c r="Q8" s="10"/>
      <c r="R8" s="10" t="str">
        <f>IF(M8=all_tools!M8,"y","")</f>
        <v/>
      </c>
      <c r="S8" s="46">
        <f>ABS(I8)-ABS(all_tools!I8)</f>
        <v>-0.13926212476455829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19</v>
      </c>
      <c r="G9" s="11">
        <v>52</v>
      </c>
      <c r="H9" s="11">
        <v>100</v>
      </c>
      <c r="I9" s="41">
        <v>-0.22890415976703279</v>
      </c>
      <c r="J9" s="11">
        <v>4.1540622048766972E-3</v>
      </c>
      <c r="K9" s="11">
        <v>-0.28726717466178431</v>
      </c>
      <c r="L9" s="11">
        <v>3.7567205497513649E-3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**</v>
      </c>
      <c r="P9" s="11" t="str">
        <f>IF(ABS(I9)&gt;ABS(all_tools!I9),"y","")</f>
        <v>y</v>
      </c>
      <c r="Q9" s="13" t="str">
        <f>IF(ABS(I9)&lt;ABS(all_tools!I9),"y","")</f>
        <v/>
      </c>
      <c r="R9" s="13" t="str">
        <f>IF(M9=all_tools!M9,"y","")</f>
        <v>y</v>
      </c>
      <c r="S9" s="47">
        <f>ABS(I9)-ABS(all_tools!I9)</f>
        <v>6.0911074785313601E-2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28</v>
      </c>
      <c r="G10" s="14">
        <v>83</v>
      </c>
      <c r="H10" s="14">
        <v>50</v>
      </c>
      <c r="I10" s="42">
        <v>-1.7889603976091351E-2</v>
      </c>
      <c r="J10" s="14">
        <v>0.88317001415190322</v>
      </c>
      <c r="K10" s="14">
        <v>-2.1745521452022229E-2</v>
      </c>
      <c r="L10" s="14">
        <v>0.88084937555910936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P10" s="14" t="str">
        <f>IF(ABS(I10)&gt;ABS(all_tools!I10),"y","")</f>
        <v/>
      </c>
      <c r="Q10" s="16" t="str">
        <f>IF(ABS(I10)&lt;ABS(all_tools!I10),"y","")</f>
        <v/>
      </c>
      <c r="R10" s="16" t="str">
        <f>IF(M10=all_tools!M10,"y","")</f>
        <v>y</v>
      </c>
      <c r="S10" s="48">
        <f>ABS(I10)-ABS(all_tools!I10)</f>
        <v>0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28</v>
      </c>
      <c r="G11" s="14">
        <v>83</v>
      </c>
      <c r="H11" s="14">
        <v>50</v>
      </c>
      <c r="I11" s="42">
        <v>-2.439922062337898E-2</v>
      </c>
      <c r="J11" s="14">
        <v>0.83378844789272755</v>
      </c>
      <c r="K11" s="14">
        <v>-2.8051607294758089E-2</v>
      </c>
      <c r="L11" s="14">
        <v>0.84666464123863983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  <c r="P11" s="14" t="str">
        <f>IF(ABS(I11)&gt;ABS(all_tools!I11),"y","")</f>
        <v/>
      </c>
      <c r="Q11" s="14" t="str">
        <f>IF(ABS(I11)&lt;ABS(all_tools!I11),"y","")</f>
        <v>y</v>
      </c>
      <c r="R11" s="14" t="str">
        <f>IF(M11=all_tools!M11,"y","")</f>
        <v>y</v>
      </c>
      <c r="S11" s="42">
        <f>ABS(I11)-ABS(all_tools!I11)</f>
        <v>-7.5074524995012229E-3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28</v>
      </c>
      <c r="G12" s="14">
        <v>83</v>
      </c>
      <c r="H12" s="14">
        <v>50</v>
      </c>
      <c r="I12" s="42">
        <v>-0.25161225674918491</v>
      </c>
      <c r="J12" s="14">
        <v>2.940004335865699E-2</v>
      </c>
      <c r="K12" s="14">
        <v>-0.31183200892839741</v>
      </c>
      <c r="L12" s="14">
        <v>2.7488825966879269E-2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  <c r="P12" s="14" t="str">
        <f>IF(ABS(I12)&gt;ABS(all_tools!I12),"y","")</f>
        <v>y</v>
      </c>
      <c r="Q12" s="14" t="str">
        <f>IF(ABS(I12)&lt;ABS(all_tools!I12),"y","")</f>
        <v/>
      </c>
      <c r="R12" s="14" t="str">
        <f>IF(M12=all_tools!M12,"y","")</f>
        <v>y</v>
      </c>
      <c r="S12" s="42">
        <f>ABS(I12)-ABS(all_tools!I12)</f>
        <v>7.4551779777537186E-3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4</v>
      </c>
      <c r="G13" s="17">
        <v>4</v>
      </c>
      <c r="H13" s="17">
        <v>10</v>
      </c>
      <c r="I13" s="43">
        <v>-0.36514837167011083</v>
      </c>
      <c r="J13" s="17">
        <v>0.20082512269514541</v>
      </c>
      <c r="K13" s="17">
        <v>-0.42640143271122077</v>
      </c>
      <c r="L13" s="17">
        <v>0.21913836052287261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  <c r="P13" s="17" t="str">
        <f>IF(ABS(I13)&gt;ABS(all_tools!I13),"y","")</f>
        <v/>
      </c>
      <c r="Q13" s="17" t="str">
        <f>IF(ABS(I13)&lt;ABS(all_tools!I13),"y","")</f>
        <v>y</v>
      </c>
      <c r="R13" s="17" t="str">
        <f>IF(M13=all_tools!M13,"y","")</f>
        <v>y</v>
      </c>
      <c r="S13" s="43">
        <f>ABS(I13)-ABS(all_tools!I13)</f>
        <v>-8.839104855486335E-2</v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4</v>
      </c>
      <c r="G14" s="17">
        <v>4</v>
      </c>
      <c r="H14" s="17">
        <v>10</v>
      </c>
      <c r="I14" s="43">
        <v>0.3042903097250923</v>
      </c>
      <c r="J14" s="17">
        <v>0.28642202277785878</v>
      </c>
      <c r="K14" s="17">
        <v>0.35533452725935072</v>
      </c>
      <c r="L14" s="17">
        <v>0.31363736407545367</v>
      </c>
      <c r="M14" s="30" t="str">
        <f t="shared" si="0"/>
        <v>n</v>
      </c>
      <c r="N14" s="31" t="str">
        <f>IF(ISBLANK(I14),"",LOOKUP(ABS(I14),all_tools!$Q$7:$Q$10,all_tools!$S$7:$S$10))</f>
        <v>Medium</v>
      </c>
      <c r="O14" s="31" t="str">
        <f t="shared" si="2"/>
        <v/>
      </c>
      <c r="P14" s="17" t="str">
        <f>IF(ABS(I14)&gt;ABS(all_tools!I14),"y","")</f>
        <v>y</v>
      </c>
      <c r="Q14" s="17" t="str">
        <f>IF(ABS(I14)&lt;ABS(all_tools!I14),"y","")</f>
        <v/>
      </c>
      <c r="R14" s="17" t="str">
        <f>IF(M14=all_tools!M14,"y","")</f>
        <v>y</v>
      </c>
      <c r="S14" s="43">
        <f>ABS(I14)-ABS(all_tools!I14)</f>
        <v>0.18493783071852021</v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4</v>
      </c>
      <c r="G15" s="17">
        <v>4</v>
      </c>
      <c r="H15" s="17">
        <v>10</v>
      </c>
      <c r="I15" s="43">
        <v>0.36514837167011083</v>
      </c>
      <c r="J15" s="17">
        <v>0.20082512269514541</v>
      </c>
      <c r="K15" s="17">
        <v>0.42640143271122077</v>
      </c>
      <c r="L15" s="17">
        <v>0.21913836052287261</v>
      </c>
      <c r="M15" s="30" t="str">
        <f t="shared" si="0"/>
        <v>n</v>
      </c>
      <c r="N15" s="31" t="str">
        <f>IF(ISBLANK(I15),"",LOOKUP(ABS(I15),all_tools!$Q$7:$Q$10,all_tools!$S$7:$S$10))</f>
        <v>Medium</v>
      </c>
      <c r="O15" s="31" t="str">
        <f t="shared" si="2"/>
        <v/>
      </c>
      <c r="P15" s="17" t="str">
        <f>IF(ABS(I15)&gt;ABS(all_tools!I15),"y","")</f>
        <v>y</v>
      </c>
      <c r="Q15" s="17" t="str">
        <f>IF(ABS(I15)&lt;ABS(all_tools!I15),"y","")</f>
        <v/>
      </c>
      <c r="R15" s="17" t="str">
        <f>IF(M15=all_tools!M15,"y","")</f>
        <v>y</v>
      </c>
      <c r="S15" s="43">
        <f>ABS(I15)-ABS(all_tools!I15)</f>
        <v>0.19805490106090984</v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4</v>
      </c>
      <c r="G16" s="17">
        <v>4</v>
      </c>
      <c r="H16" s="17">
        <v>10</v>
      </c>
      <c r="I16" s="43">
        <v>-0.42600643361512919</v>
      </c>
      <c r="J16" s="17">
        <v>0.13559300126630219</v>
      </c>
      <c r="K16" s="17">
        <v>-0.497468338163091</v>
      </c>
      <c r="L16" s="17">
        <v>0.14346146559508571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2"/>
        <v/>
      </c>
      <c r="P16" s="17" t="str">
        <f>IF(ABS(I16)&gt;ABS(all_tools!I16),"y","")</f>
        <v>y</v>
      </c>
      <c r="Q16" s="17" t="str">
        <f>IF(ABS(I16)&lt;ABS(all_tools!I16),"y","")</f>
        <v/>
      </c>
      <c r="R16" s="17" t="str">
        <f>IF(M16=all_tools!M16,"y","")</f>
        <v>y</v>
      </c>
      <c r="S16" s="43">
        <f>ABS(I16)-ABS(all_tools!I16)</f>
        <v>6.7948996595412814E-2</v>
      </c>
    </row>
    <row r="17" spans="1:19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3</v>
      </c>
      <c r="G17" s="19">
        <v>3</v>
      </c>
      <c r="H17" s="19">
        <v>16</v>
      </c>
      <c r="I17" s="44">
        <v>-0.10232343558582011</v>
      </c>
      <c r="J17" s="19">
        <v>0.63773289005018841</v>
      </c>
      <c r="K17" s="19">
        <v>-0.12157835800107809</v>
      </c>
      <c r="L17" s="19">
        <v>0.65376710935384819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  <c r="P17" s="19" t="str">
        <f>IF(ABS(I17)&gt;ABS(all_tools!I17),"y","")</f>
        <v/>
      </c>
      <c r="Q17" s="19" t="str">
        <f>IF(ABS(I17)&lt;ABS(all_tools!I17),"y","")</f>
        <v>y</v>
      </c>
      <c r="R17" s="19" t="str">
        <f>IF(M17=all_tools!M17,"y","")</f>
        <v>y</v>
      </c>
      <c r="S17" s="44">
        <f>ABS(I17)-ABS(all_tools!I17)</f>
        <v>-7.8451945929726707E-2</v>
      </c>
    </row>
    <row r="18" spans="1:19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3</v>
      </c>
      <c r="G18" s="19">
        <v>3</v>
      </c>
      <c r="H18" s="19">
        <v>16</v>
      </c>
      <c r="I18" s="44">
        <v>-1.4617633655117149E-2</v>
      </c>
      <c r="J18" s="19">
        <v>0.94636892512423998</v>
      </c>
      <c r="K18" s="19">
        <v>-1.736833685729687E-2</v>
      </c>
      <c r="L18" s="19">
        <v>0.94909603273704102</v>
      </c>
      <c r="M18" s="32" t="str">
        <f t="shared" si="0"/>
        <v>y</v>
      </c>
      <c r="N18" s="33" t="str">
        <f>IF(ISBLANK(I18),"",LOOKUP(ABS(I18),all_tools!$Q$7:$Q$10,all_tools!$S$7:$S$10))</f>
        <v>None</v>
      </c>
      <c r="O18" s="33" t="str">
        <f t="shared" si="2"/>
        <v/>
      </c>
      <c r="P18" s="19" t="str">
        <f>IF(ABS(I18)&gt;ABS(all_tools!I18),"y","")</f>
        <v/>
      </c>
      <c r="Q18" s="19" t="str">
        <f>IF(ABS(I18)&lt;ABS(all_tools!I18),"y","")</f>
        <v>y</v>
      </c>
      <c r="R18" s="19" t="str">
        <f>IF(M18=all_tools!M18,"y","")</f>
        <v>y</v>
      </c>
      <c r="S18" s="44">
        <f>ABS(I18)-ABS(all_tools!I18)</f>
        <v>-0.16615774786042967</v>
      </c>
    </row>
    <row r="19" spans="1:19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3</v>
      </c>
      <c r="G19" s="19">
        <v>3</v>
      </c>
      <c r="H19" s="19">
        <v>16</v>
      </c>
      <c r="I19" s="44">
        <v>0.27889955205754868</v>
      </c>
      <c r="J19" s="19">
        <v>0.20089032653971309</v>
      </c>
      <c r="K19" s="19">
        <v>0.3302413141237342</v>
      </c>
      <c r="L19" s="19">
        <v>0.21158246186830859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2"/>
        <v/>
      </c>
      <c r="P19" s="19" t="str">
        <f>IF(ABS(I19)&gt;ABS(all_tools!I19),"y","")</f>
        <v/>
      </c>
      <c r="Q19" s="19" t="str">
        <f>IF(ABS(I19)&lt;ABS(all_tools!I19),"y","")</f>
        <v>y</v>
      </c>
      <c r="R19" s="19" t="str">
        <f>IF(M19=all_tools!M19,"y","")</f>
        <v>y</v>
      </c>
      <c r="S19" s="44">
        <f>ABS(I19)-ABS(all_tools!I19)</f>
        <v>-7.509048609077984E-2</v>
      </c>
    </row>
    <row r="20" spans="1:19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3</v>
      </c>
      <c r="G20" s="19">
        <v>3</v>
      </c>
      <c r="H20" s="19">
        <v>16</v>
      </c>
      <c r="I20" s="44">
        <v>-0.16284238361758671</v>
      </c>
      <c r="J20" s="19">
        <v>0.45801098838521898</v>
      </c>
      <c r="K20" s="19">
        <v>-0.19161611347062391</v>
      </c>
      <c r="L20" s="19">
        <v>0.4771333722542902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  <c r="P20" s="19" t="str">
        <f>IF(ABS(I20)&gt;ABS(all_tools!I20),"y","")</f>
        <v/>
      </c>
      <c r="Q20" s="19" t="str">
        <f>IF(ABS(I20)&lt;ABS(all_tools!I20),"y","")</f>
        <v>y</v>
      </c>
      <c r="R20" s="19" t="str">
        <f>IF(M20=all_tools!M20,"y","")</f>
        <v>y</v>
      </c>
      <c r="S20" s="44">
        <f>ABS(I20)-ABS(all_tools!I20)</f>
        <v>-1.9281272967401897E-3</v>
      </c>
    </row>
    <row r="21" spans="1:19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3</v>
      </c>
      <c r="G21" s="19">
        <v>3</v>
      </c>
      <c r="H21" s="19">
        <v>16</v>
      </c>
      <c r="I21" s="44">
        <v>-0.24849977213699159</v>
      </c>
      <c r="J21" s="19">
        <v>0.25281290101640808</v>
      </c>
      <c r="K21" s="19">
        <v>-0.29526172657404681</v>
      </c>
      <c r="L21" s="19">
        <v>0.26690125229506823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2"/>
        <v/>
      </c>
      <c r="P21" s="19" t="str">
        <f>IF(ABS(I21)&gt;ABS(all_tools!I21),"y","")</f>
        <v>y</v>
      </c>
      <c r="Q21" s="19" t="str">
        <f>IF(ABS(I21)&lt;ABS(all_tools!I21),"y","")</f>
        <v/>
      </c>
      <c r="R21" s="19" t="str">
        <f>IF(M21=all_tools!M21,"y","")</f>
        <v>y</v>
      </c>
      <c r="S21" s="44">
        <f>ABS(I21)-ABS(all_tools!I21)</f>
        <v>0.12195700507610879</v>
      </c>
    </row>
    <row r="23" spans="1:19" x14ac:dyDescent="0.2">
      <c r="J23" t="s">
        <v>50</v>
      </c>
      <c r="M23" s="3">
        <f>M24-COUNTBLANK(M2:M21)</f>
        <v>16</v>
      </c>
    </row>
    <row r="24" spans="1:19" x14ac:dyDescent="0.2">
      <c r="J24" t="s">
        <v>51</v>
      </c>
      <c r="M24" s="3">
        <f>COUNTA(M2:M21)</f>
        <v>20</v>
      </c>
    </row>
    <row r="25" spans="1:19" x14ac:dyDescent="0.2">
      <c r="J25" t="s">
        <v>46</v>
      </c>
      <c r="M25" s="3">
        <f>COUNTIF(M2:M21,"y")</f>
        <v>11</v>
      </c>
    </row>
    <row r="26" spans="1:19" x14ac:dyDescent="0.2">
      <c r="J26" t="s">
        <v>47</v>
      </c>
      <c r="M26" s="38">
        <f>M25/M24</f>
        <v>0.55000000000000004</v>
      </c>
    </row>
    <row r="27" spans="1:19" x14ac:dyDescent="0.2">
      <c r="J27" t="s">
        <v>48</v>
      </c>
      <c r="M27" s="3">
        <f>M25-COUNTIFS(M2:M21,"y",N2:N21,"None")</f>
        <v>8</v>
      </c>
    </row>
    <row r="28" spans="1:19" x14ac:dyDescent="0.2">
      <c r="J28" t="s">
        <v>49</v>
      </c>
      <c r="M28" s="38">
        <f>M27/M24</f>
        <v>0.4</v>
      </c>
    </row>
    <row r="29" spans="1:19" x14ac:dyDescent="0.2">
      <c r="J29" t="s">
        <v>52</v>
      </c>
      <c r="M29" s="3">
        <f>COUNTIF(N2:N21,"Medium")</f>
        <v>4</v>
      </c>
    </row>
    <row r="30" spans="1:19" x14ac:dyDescent="0.2">
      <c r="J30" t="s">
        <v>53</v>
      </c>
      <c r="M30" s="38">
        <f>M29/M24</f>
        <v>0.2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30"/>
  <sheetViews>
    <sheetView zoomScale="145" zoomScaleNormal="145" workbookViewId="0">
      <selection activeCell="A15" sqref="A15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7" hidden="1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  <col min="19" max="19" width="6.6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2" t="s">
        <v>56</v>
      </c>
      <c r="Q1" s="2" t="s">
        <v>57</v>
      </c>
      <c r="R1" s="2" t="s">
        <v>55</v>
      </c>
      <c r="S1" s="2" t="s">
        <v>58</v>
      </c>
    </row>
    <row r="2" spans="1:19" s="5" customFormat="1" hidden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14</v>
      </c>
      <c r="H2" s="5">
        <v>23</v>
      </c>
      <c r="I2" s="5">
        <v>-0.17078251276599329</v>
      </c>
      <c r="J2" s="5">
        <v>0.3368221511559395</v>
      </c>
      <c r="K2" s="5">
        <v>-0.22063279587022341</v>
      </c>
      <c r="L2" s="5">
        <v>0.31170668319455619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  <c r="P2" s="5" t="str">
        <f>IF(ABS(I2)&gt;ABS(all_tools!I2),"y","")</f>
        <v/>
      </c>
      <c r="Q2" s="5" t="str">
        <f>IF(ABS(I2)&lt;ABS(all_tools!I2),"y","")</f>
        <v>y</v>
      </c>
      <c r="R2" s="5" t="str">
        <f>IF(M2=all_tools!M2,"y","")</f>
        <v>y</v>
      </c>
      <c r="S2" s="39">
        <f>ABS(I2)-ABS(all_tools!I2)</f>
        <v>-0.16694523497703209</v>
      </c>
    </row>
    <row r="3" spans="1:19" s="5" customFormat="1" hidden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14</v>
      </c>
      <c r="H3" s="5">
        <v>23</v>
      </c>
      <c r="I3" s="5">
        <v>-0.21557272714438661</v>
      </c>
      <c r="J3" s="5">
        <v>0.2189727791934982</v>
      </c>
      <c r="K3" s="5">
        <v>-0.28300682710477038</v>
      </c>
      <c r="L3" s="5">
        <v>0.19070138371258061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  <c r="P3" s="5" t="str">
        <f>IF(ABS(I3)&gt;ABS(all_tools!I3),"y","")</f>
        <v/>
      </c>
      <c r="Q3" s="5" t="str">
        <f>IF(ABS(I3)&lt;ABS(all_tools!I3),"y","")</f>
        <v>y</v>
      </c>
      <c r="R3" s="5" t="str">
        <f>IF(M3=all_tools!M3,"y","")</f>
        <v>y</v>
      </c>
      <c r="S3" s="39">
        <f>ABS(I3)-ABS(all_tools!I3)</f>
        <v>-0.21197556354848721</v>
      </c>
    </row>
    <row r="4" spans="1:19" s="5" customFormat="1" hidden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14</v>
      </c>
      <c r="H4" s="5">
        <v>23</v>
      </c>
      <c r="I4" s="5">
        <v>0.182178575000007</v>
      </c>
      <c r="J4" s="5">
        <v>0.29564657602090749</v>
      </c>
      <c r="K4" s="5">
        <v>0.24046942819989059</v>
      </c>
      <c r="L4" s="5">
        <v>0.26904897632032188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  <c r="P4" s="5" t="str">
        <f>IF(ABS(I4)&gt;ABS(all_tools!I4),"y","")</f>
        <v/>
      </c>
      <c r="Q4" s="5" t="str">
        <f>IF(ABS(I4)&lt;ABS(all_tools!I4),"y","")</f>
        <v>y</v>
      </c>
      <c r="R4" s="5" t="str">
        <f>IF(M4=all_tools!M4,"y","")</f>
        <v>y</v>
      </c>
      <c r="S4" s="39">
        <f>ABS(I4)-ABS(all_tools!I4)</f>
        <v>-0.22899208501055679</v>
      </c>
    </row>
    <row r="5" spans="1:19" s="7" customFormat="1" hidden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1</v>
      </c>
      <c r="G5" s="7">
        <v>3</v>
      </c>
      <c r="H5" s="7">
        <v>12</v>
      </c>
      <c r="I5" s="7">
        <v>-0.11134044285378079</v>
      </c>
      <c r="J5" s="7">
        <v>0.66390790187764881</v>
      </c>
      <c r="K5" s="7">
        <v>-0.13101394402234401</v>
      </c>
      <c r="L5" s="7">
        <v>0.68484871442737572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  <c r="P5" s="7" t="str">
        <f>IF(ABS(I5)&gt;ABS(all_tools!I5),"y","")</f>
        <v/>
      </c>
      <c r="R5" s="7" t="str">
        <f>IF(M5=all_tools!M5,"y","")</f>
        <v>y</v>
      </c>
      <c r="S5" s="40">
        <f>ABS(I5)-ABS(all_tools!I5)</f>
        <v>-0.20199933786647528</v>
      </c>
    </row>
    <row r="6" spans="1:19" s="7" customFormat="1" hidden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1</v>
      </c>
      <c r="G6" s="7">
        <v>3</v>
      </c>
      <c r="H6" s="7">
        <v>12</v>
      </c>
      <c r="I6" s="7">
        <v>-0.25979436665882188</v>
      </c>
      <c r="J6" s="7">
        <v>0.31063545633740081</v>
      </c>
      <c r="K6" s="7">
        <v>-0.30569920271880269</v>
      </c>
      <c r="L6" s="7">
        <v>0.33389313645066021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P6" s="7" t="str">
        <f>IF(ABS(I6)&gt;ABS(all_tools!I6),"y","")</f>
        <v/>
      </c>
      <c r="Q6" s="9"/>
      <c r="R6" s="9" t="str">
        <f>IF(M6=all_tools!M6,"y","")</f>
        <v>y</v>
      </c>
      <c r="S6" s="45">
        <f>ABS(I6)-ABS(all_tools!I6)</f>
        <v>-0.19280753882599244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1</v>
      </c>
      <c r="G7" s="7">
        <v>3</v>
      </c>
      <c r="H7" s="7">
        <v>12</v>
      </c>
      <c r="I7" s="7">
        <v>0.11134044285378079</v>
      </c>
      <c r="J7" s="7">
        <v>0.66390790187764881</v>
      </c>
      <c r="K7" s="7">
        <v>0.13101394402234401</v>
      </c>
      <c r="L7" s="7">
        <v>0.68484871442737572</v>
      </c>
      <c r="M7" s="24" t="str">
        <f t="shared" si="0"/>
        <v>n</v>
      </c>
      <c r="N7" s="25" t="str">
        <f>IF(ISBLANK(I7),"",LOOKUP(ABS(I7),all_tools!$Q$7:$Q$10,all_tools!$S$7:$S$10))</f>
        <v>Small</v>
      </c>
      <c r="O7" s="25" t="str">
        <f t="shared" si="1"/>
        <v>n</v>
      </c>
      <c r="P7" s="7" t="str">
        <f>IF(ABS(I7)&gt;ABS(all_tools!I7),"y","")</f>
        <v/>
      </c>
      <c r="Q7" s="10"/>
      <c r="R7" s="10" t="str">
        <f>IF(M7=all_tools!M7,"y","")</f>
        <v/>
      </c>
      <c r="S7" s="46">
        <f>ABS(I7)-ABS(all_tools!I7)</f>
        <v>-0.2716304002487544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1</v>
      </c>
      <c r="G8" s="7">
        <v>3</v>
      </c>
      <c r="H8" s="7">
        <v>12</v>
      </c>
      <c r="I8" s="7">
        <v>-0.25979436665882188</v>
      </c>
      <c r="J8" s="7">
        <v>0.31063545633740081</v>
      </c>
      <c r="K8" s="7">
        <v>-0.30569920271880269</v>
      </c>
      <c r="L8" s="7">
        <v>0.33389313645066021</v>
      </c>
      <c r="M8" s="24" t="str">
        <f t="shared" si="0"/>
        <v>n</v>
      </c>
      <c r="N8" s="25" t="str">
        <f>IF(ISBLANK(I8),"",LOOKUP(ABS(I8),all_tools!$Q$7:$Q$10,all_tools!$S$7:$S$10))</f>
        <v>Small</v>
      </c>
      <c r="O8" s="25" t="str">
        <f t="shared" si="1"/>
        <v>n</v>
      </c>
      <c r="P8" s="7" t="str">
        <f>IF(ABS(I8)&gt;ABS(all_tools!I8),"y","")</f>
        <v>y</v>
      </c>
      <c r="Q8" s="10"/>
      <c r="R8" s="10" t="str">
        <f>IF(M8=all_tools!M8,"y","")</f>
        <v/>
      </c>
      <c r="S8" s="46">
        <f>ABS(I8)-ABS(all_tools!I8)</f>
        <v>0.12053224189426359</v>
      </c>
    </row>
    <row r="9" spans="1:19" s="11" customFormat="1" hidden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88</v>
      </c>
      <c r="G9" s="11">
        <v>327</v>
      </c>
      <c r="H9" s="11">
        <v>100</v>
      </c>
      <c r="I9" s="11">
        <v>-0.15625137459340999</v>
      </c>
      <c r="J9" s="11">
        <v>3.0128615488005099E-2</v>
      </c>
      <c r="K9" s="11">
        <v>-0.2203331090972887</v>
      </c>
      <c r="L9" s="11">
        <v>2.7610565923995401E-2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P9" s="11" t="str">
        <f>IF(ABS(I9)&gt;ABS(all_tools!I9),"y","")</f>
        <v/>
      </c>
      <c r="Q9" s="13" t="str">
        <f>IF(ABS(I9)&lt;ABS(all_tools!I9),"y","")</f>
        <v>y</v>
      </c>
      <c r="R9" s="13" t="str">
        <f>IF(M9=all_tools!M9,"y","")</f>
        <v>y</v>
      </c>
      <c r="S9" s="47">
        <f>ABS(I9)-ABS(all_tools!I9)</f>
        <v>-1.1741710388309207E-2</v>
      </c>
    </row>
    <row r="10" spans="1:19" s="14" customFormat="1" hidden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40</v>
      </c>
      <c r="G10" s="14">
        <v>537</v>
      </c>
      <c r="H10" s="14">
        <v>50</v>
      </c>
      <c r="I10" s="14">
        <v>-1.3914136425848831E-2</v>
      </c>
      <c r="J10" s="14">
        <v>0.90900323668647842</v>
      </c>
      <c r="K10" s="14">
        <v>-1.0266126007392471E-2</v>
      </c>
      <c r="L10" s="14">
        <v>0.94359018578297449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P10" s="14" t="str">
        <f>IF(ABS(I10)&gt;ABS(all_tools!I10),"y","")</f>
        <v/>
      </c>
      <c r="Q10" s="16" t="str">
        <f>IF(ABS(I10)&lt;ABS(all_tools!I10),"y","")</f>
        <v>y</v>
      </c>
      <c r="R10" s="16" t="str">
        <f>IF(M10=all_tools!M10,"y","")</f>
        <v>y</v>
      </c>
      <c r="S10" s="48">
        <f>ABS(I10)-ABS(all_tools!I10)</f>
        <v>-3.9754675502425198E-3</v>
      </c>
    </row>
    <row r="11" spans="1:19" s="14" customFormat="1" hidden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40</v>
      </c>
      <c r="G11" s="14">
        <v>537</v>
      </c>
      <c r="H11" s="14">
        <v>50</v>
      </c>
      <c r="I11" s="14">
        <v>-2.8152946873129591E-2</v>
      </c>
      <c r="J11" s="14">
        <v>0.80868009561069343</v>
      </c>
      <c r="K11" s="14">
        <v>-2.99893827986723E-2</v>
      </c>
      <c r="L11" s="14">
        <v>0.83621302723678093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  <c r="P11" s="14" t="str">
        <f>IF(ABS(I11)&gt;ABS(all_tools!I11),"y","")</f>
        <v/>
      </c>
      <c r="Q11" s="14" t="str">
        <f>IF(ABS(I11)&lt;ABS(all_tools!I11),"y","")</f>
        <v>y</v>
      </c>
      <c r="R11" s="14" t="str">
        <f>IF(M11=all_tools!M11,"y","")</f>
        <v>y</v>
      </c>
      <c r="S11" s="42">
        <f>ABS(I11)-ABS(all_tools!I11)</f>
        <v>-3.7537262497506114E-3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40</v>
      </c>
      <c r="G12" s="14">
        <v>537</v>
      </c>
      <c r="H12" s="14">
        <v>50</v>
      </c>
      <c r="I12" s="14">
        <v>-0.24788466776030799</v>
      </c>
      <c r="J12" s="14">
        <v>3.1887928946905821E-2</v>
      </c>
      <c r="K12" s="14">
        <v>-0.30961847204159432</v>
      </c>
      <c r="L12" s="14">
        <v>2.8666961474283319E-2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  <c r="P12" s="14" t="str">
        <f>IF(ABS(I12)&gt;ABS(all_tools!I12),"y","")</f>
        <v>y</v>
      </c>
      <c r="Q12" s="14" t="str">
        <f>IF(ABS(I12)&lt;ABS(all_tools!I12),"y","")</f>
        <v/>
      </c>
      <c r="R12" s="14" t="str">
        <f>IF(M12=all_tools!M12,"y","")</f>
        <v>y</v>
      </c>
      <c r="S12" s="42">
        <f>ABS(I12)-ABS(all_tools!I12)</f>
        <v>3.7275889888767899E-3</v>
      </c>
    </row>
    <row r="13" spans="1:19" s="17" customFormat="1" hidden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10</v>
      </c>
      <c r="G13" s="17">
        <v>37</v>
      </c>
      <c r="H13" s="17">
        <v>10</v>
      </c>
      <c r="I13" s="17">
        <v>-0.27717394687343327</v>
      </c>
      <c r="J13" s="17">
        <v>0.29789759799234089</v>
      </c>
      <c r="K13" s="17">
        <v>-0.37502861843659963</v>
      </c>
      <c r="L13" s="17">
        <v>0.28559690296883122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  <c r="P13" s="17" t="str">
        <f>IF(ABS(I13)&gt;ABS(all_tools!I13),"y","")</f>
        <v/>
      </c>
      <c r="Q13" s="17" t="str">
        <f>IF(ABS(I13)&lt;ABS(all_tools!I13),"y","")</f>
        <v>y</v>
      </c>
      <c r="R13" s="17" t="str">
        <f>IF(M13=all_tools!M13,"y","")</f>
        <v>y</v>
      </c>
      <c r="S13" s="43">
        <f>ABS(I13)-ABS(all_tools!I13)</f>
        <v>-0.1763654733515409</v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10</v>
      </c>
      <c r="G14" s="17">
        <v>37</v>
      </c>
      <c r="H14" s="17">
        <v>10</v>
      </c>
      <c r="I14" s="17">
        <v>0.12598815766974239</v>
      </c>
      <c r="J14" s="17">
        <v>0.63609887359862261</v>
      </c>
      <c r="K14" s="17">
        <v>0.1461975970176575</v>
      </c>
      <c r="L14" s="17">
        <v>0.68694101885385273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n</v>
      </c>
      <c r="P14" s="17" t="str">
        <f>IF(ABS(I14)&gt;ABS(all_tools!I14),"y","")</f>
        <v>y</v>
      </c>
      <c r="Q14" s="17" t="str">
        <f>IF(ABS(I14)&lt;ABS(all_tools!I14),"y","")</f>
        <v/>
      </c>
      <c r="R14" s="17" t="str">
        <f>IF(M14=all_tools!M14,"y","")</f>
        <v>y</v>
      </c>
      <c r="S14" s="43">
        <f>ABS(I14)-ABS(all_tools!I14)</f>
        <v>6.6356786631702885E-3</v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10</v>
      </c>
      <c r="G15" s="17">
        <v>37</v>
      </c>
      <c r="H15" s="17">
        <v>10</v>
      </c>
      <c r="I15" s="17">
        <v>0.12598815766974239</v>
      </c>
      <c r="J15" s="17">
        <v>0.63609887359862261</v>
      </c>
      <c r="K15" s="17">
        <v>0.21611818689566761</v>
      </c>
      <c r="L15" s="17">
        <v>0.54871070607331407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n</v>
      </c>
      <c r="P15" s="17" t="str">
        <f>IF(ABS(I15)&gt;ABS(all_tools!I15),"y","")</f>
        <v/>
      </c>
      <c r="Q15" s="17" t="str">
        <f>IF(ABS(I15)&lt;ABS(all_tools!I15),"y","")</f>
        <v>y</v>
      </c>
      <c r="R15" s="17" t="str">
        <f>IF(M15=all_tools!M15,"y","")</f>
        <v>y</v>
      </c>
      <c r="S15" s="43">
        <f>ABS(I15)-ABS(all_tools!I15)</f>
        <v>-4.1105312939458599E-2</v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10</v>
      </c>
      <c r="G16" s="17">
        <v>37</v>
      </c>
      <c r="H16" s="17">
        <v>10</v>
      </c>
      <c r="I16" s="17">
        <v>-0.22677868380553631</v>
      </c>
      <c r="J16" s="17">
        <v>0.39438705940345542</v>
      </c>
      <c r="K16" s="17">
        <v>-0.31146444582022681</v>
      </c>
      <c r="L16" s="17">
        <v>0.38100895670505941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  <c r="P16" s="17" t="str">
        <f>IF(ABS(I16)&gt;ABS(all_tools!I16),"y","")</f>
        <v/>
      </c>
      <c r="Q16" s="17" t="str">
        <f>IF(ABS(I16)&lt;ABS(all_tools!I16),"y","")</f>
        <v>y</v>
      </c>
      <c r="R16" s="17" t="str">
        <f>IF(M16=all_tools!M16,"y","")</f>
        <v>y</v>
      </c>
      <c r="S16" s="43">
        <f>ABS(I16)-ABS(all_tools!I16)</f>
        <v>-0.13127875321418006</v>
      </c>
    </row>
    <row r="17" spans="1:19" s="19" customFormat="1" hidden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2</v>
      </c>
      <c r="G17" s="19">
        <v>6</v>
      </c>
      <c r="H17" s="19">
        <v>16</v>
      </c>
      <c r="I17" s="19">
        <v>8.4757937952601309E-2</v>
      </c>
      <c r="J17" s="19">
        <v>0.69232849002812125</v>
      </c>
      <c r="K17" s="19">
        <v>0.1099316484014564</v>
      </c>
      <c r="L17" s="19">
        <v>0.68526500553668901</v>
      </c>
      <c r="M17" s="32" t="str">
        <f t="shared" si="0"/>
        <v>n</v>
      </c>
      <c r="N17" s="33" t="str">
        <f>IF(ISBLANK(I17),"",LOOKUP(ABS(I17),all_tools!$Q$7:$Q$10,all_tools!$S$7:$S$10))</f>
        <v>None</v>
      </c>
      <c r="O17" s="33" t="str">
        <f t="shared" si="1"/>
        <v>n</v>
      </c>
      <c r="P17" s="19" t="str">
        <f>IF(ABS(I17)&gt;ABS(all_tools!I17),"y","")</f>
        <v/>
      </c>
      <c r="Q17" s="19" t="str">
        <f>IF(ABS(I17)&lt;ABS(all_tools!I17),"y","")</f>
        <v>y</v>
      </c>
      <c r="R17" s="19" t="str">
        <f>IF(M17=all_tools!M17,"y","")</f>
        <v/>
      </c>
      <c r="S17" s="44">
        <f>ABS(I17)-ABS(all_tools!I17)</f>
        <v>-9.6017443562945504E-2</v>
      </c>
    </row>
    <row r="18" spans="1:19" s="19" customFormat="1" hidden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2</v>
      </c>
      <c r="G18" s="19">
        <v>6</v>
      </c>
      <c r="H18" s="19">
        <v>16</v>
      </c>
      <c r="I18" s="19">
        <v>8.4757937952601309E-2</v>
      </c>
      <c r="J18" s="19">
        <v>0.69232849002812125</v>
      </c>
      <c r="K18" s="19">
        <v>0.1099316484014564</v>
      </c>
      <c r="L18" s="19">
        <v>0.68526500553668901</v>
      </c>
      <c r="M18" s="32" t="str">
        <f t="shared" si="0"/>
        <v>n</v>
      </c>
      <c r="N18" s="33" t="str">
        <f>IF(ISBLANK(I18),"",LOOKUP(ABS(I18),all_tools!$Q$7:$Q$10,all_tools!$S$7:$S$10))</f>
        <v>None</v>
      </c>
      <c r="O18" s="33" t="str">
        <f t="shared" si="1"/>
        <v>n</v>
      </c>
      <c r="P18" s="19" t="str">
        <f>IF(ABS(I18)&gt;ABS(all_tools!I18),"y","")</f>
        <v/>
      </c>
      <c r="Q18" s="19" t="str">
        <f>IF(ABS(I18)&lt;ABS(all_tools!I18),"y","")</f>
        <v>y</v>
      </c>
      <c r="R18" s="19" t="str">
        <f>IF(M18=all_tools!M18,"y","")</f>
        <v/>
      </c>
      <c r="S18" s="44">
        <f>ABS(I18)-ABS(all_tools!I18)</f>
        <v>-9.6017443562945504E-2</v>
      </c>
    </row>
    <row r="19" spans="1:19" s="19" customFormat="1" hidden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2</v>
      </c>
      <c r="G19" s="19">
        <v>6</v>
      </c>
      <c r="H19" s="19">
        <v>16</v>
      </c>
      <c r="I19" s="19">
        <v>0.34045327482409782</v>
      </c>
      <c r="J19" s="19">
        <v>0.1131965364706231</v>
      </c>
      <c r="K19" s="19">
        <v>0.40295301713800152</v>
      </c>
      <c r="L19" s="19">
        <v>0.1217337691688223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  <c r="P19" s="19" t="str">
        <f>IF(ABS(I19)&gt;ABS(all_tools!I19),"y","")</f>
        <v/>
      </c>
      <c r="Q19" s="19" t="str">
        <f>IF(ABS(I19)&lt;ABS(all_tools!I19),"y","")</f>
        <v>y</v>
      </c>
      <c r="R19" s="19" t="str">
        <f>IF(M19=all_tools!M19,"y","")</f>
        <v>y</v>
      </c>
      <c r="S19" s="44">
        <f>ABS(I19)-ABS(all_tools!I19)</f>
        <v>-1.3536763324230705E-2</v>
      </c>
    </row>
    <row r="20" spans="1:19" s="19" customFormat="1" hidden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2</v>
      </c>
      <c r="G20" s="19">
        <v>6</v>
      </c>
      <c r="H20" s="19">
        <v>16</v>
      </c>
      <c r="I20" s="19">
        <v>-0.49785866253711791</v>
      </c>
      <c r="J20" s="19">
        <v>2.1337320545634531E-2</v>
      </c>
      <c r="K20" s="19">
        <v>-0.57692307692307687</v>
      </c>
      <c r="L20" s="19">
        <v>1.929785020805572E-2</v>
      </c>
      <c r="M20" s="32" t="str">
        <f t="shared" si="0"/>
        <v>y</v>
      </c>
      <c r="N20" s="33" t="str">
        <f>IF(ISBLANK(I20),"",LOOKUP(ABS(I20),all_tools!$Q$7:$Q$10,all_tools!$S$7:$S$10))</f>
        <v>Medium</v>
      </c>
      <c r="O20" s="33" t="str">
        <f t="shared" si="1"/>
        <v>y</v>
      </c>
      <c r="P20" s="19" t="str">
        <f>IF(ABS(I20)&gt;ABS(all_tools!I20),"y","")</f>
        <v>y</v>
      </c>
      <c r="Q20" s="19" t="str">
        <f>IF(ABS(I20)&lt;ABS(all_tools!I20),"y","")</f>
        <v/>
      </c>
      <c r="R20" s="19" t="str">
        <f>IF(M20=all_tools!M20,"y","")</f>
        <v>y</v>
      </c>
      <c r="S20" s="44">
        <f>ABS(I20)-ABS(all_tools!I20)</f>
        <v>0.33308815162279104</v>
      </c>
    </row>
    <row r="21" spans="1:19" s="19" customFormat="1" hidden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2</v>
      </c>
      <c r="G21" s="19">
        <v>6</v>
      </c>
      <c r="H21" s="19">
        <v>16</v>
      </c>
      <c r="I21" s="19">
        <v>-1.6951587590520258E-2</v>
      </c>
      <c r="J21" s="19">
        <v>0.93692172809769891</v>
      </c>
      <c r="K21" s="19">
        <v>-3.8348249442368518E-2</v>
      </c>
      <c r="L21" s="19">
        <v>0.88786930283188992</v>
      </c>
      <c r="M21" s="32" t="str">
        <f t="shared" si="0"/>
        <v>n</v>
      </c>
      <c r="N21" s="33" t="str">
        <f>IF(ISBLANK(I21),"",LOOKUP(ABS(I21),all_tools!$Q$7:$Q$10,all_tools!$S$7:$S$10))</f>
        <v>None</v>
      </c>
      <c r="O21" s="33" t="str">
        <f t="shared" si="1"/>
        <v>n</v>
      </c>
      <c r="P21" s="19" t="str">
        <f>IF(ABS(I21)&gt;ABS(all_tools!I21),"y","")</f>
        <v/>
      </c>
      <c r="Q21" s="19" t="str">
        <f>IF(ABS(I21)&lt;ABS(all_tools!I21),"y","")</f>
        <v>y</v>
      </c>
      <c r="R21" s="19" t="str">
        <f>IF(M21=all_tools!M21,"y","")</f>
        <v>y</v>
      </c>
      <c r="S21" s="44">
        <f>ABS(I21)-ABS(all_tools!I21)</f>
        <v>-0.10959117947036254</v>
      </c>
    </row>
    <row r="23" spans="1:19" x14ac:dyDescent="0.2">
      <c r="J23" t="s">
        <v>50</v>
      </c>
      <c r="M23" s="3">
        <f>M24-COUNTBLANK(M2:M21)</f>
        <v>20</v>
      </c>
    </row>
    <row r="24" spans="1:19" x14ac:dyDescent="0.2">
      <c r="J24" t="s">
        <v>51</v>
      </c>
      <c r="M24" s="3">
        <f>COUNTA(M2:M21)</f>
        <v>20</v>
      </c>
    </row>
    <row r="25" spans="1:19" x14ac:dyDescent="0.2">
      <c r="J25" t="s">
        <v>46</v>
      </c>
      <c r="M25" s="3">
        <f>COUNTIF(M2:M21,"y")</f>
        <v>11</v>
      </c>
    </row>
    <row r="26" spans="1:19" x14ac:dyDescent="0.2">
      <c r="J26" t="s">
        <v>47</v>
      </c>
      <c r="M26" s="38">
        <f>M25/M24</f>
        <v>0.55000000000000004</v>
      </c>
    </row>
    <row r="27" spans="1:19" x14ac:dyDescent="0.2">
      <c r="J27" t="s">
        <v>48</v>
      </c>
      <c r="M27" s="3">
        <f>M25-COUNTIFS(M2:M21,"y",N2:N21,"None")</f>
        <v>9</v>
      </c>
    </row>
    <row r="28" spans="1:19" x14ac:dyDescent="0.2">
      <c r="J28" t="s">
        <v>49</v>
      </c>
      <c r="M28" s="38">
        <f>M27/M24</f>
        <v>0.45</v>
      </c>
    </row>
    <row r="29" spans="1:19" x14ac:dyDescent="0.2">
      <c r="J29" t="s">
        <v>52</v>
      </c>
      <c r="M29" s="3">
        <f>COUNTIF(N2:N21,"Medium")</f>
        <v>2</v>
      </c>
    </row>
    <row r="30" spans="1:19" x14ac:dyDescent="0.2">
      <c r="J30" t="s">
        <v>53</v>
      </c>
      <c r="M30" s="38">
        <f>M29/M24</f>
        <v>0.1</v>
      </c>
    </row>
  </sheetData>
  <autoFilter ref="A1:O21" xr:uid="{00000000-0001-0000-0200-000000000000}">
    <filterColumn colId="12">
      <filters>
        <filter val="n"/>
      </filters>
    </filterColumn>
    <filterColumn colId="13">
      <filters>
        <filter val="Small"/>
      </filters>
    </filterColumn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zoomScale="145" zoomScaleNormal="145" workbookViewId="0">
      <selection activeCell="M19" activeCellId="1" sqref="M10:M11 M19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6640625" hidden="1" customWidth="1"/>
    <col min="9" max="9" width="21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0</v>
      </c>
      <c r="G2" s="5">
        <v>0</v>
      </c>
      <c r="H2" s="5">
        <v>23</v>
      </c>
      <c r="M2" s="22" t="str">
        <f t="shared" ref="M2:M21" si="0">IF(ISBLANK(I2),"",IF(AND(D2="negative",I2&lt;0),"y",IF(AND(D2="positive",I2&gt;0), "y","n")))</f>
        <v/>
      </c>
      <c r="N2" s="23" t="str">
        <f>IF(ISBLANK(I2),"",LOOKUP(ABS(I2),all_tools!$Q$7:$Q$10,all_tools!$S$7:$S$10))</f>
        <v/>
      </c>
      <c r="O2" s="23" t="str">
        <f t="shared" ref="O2:O3" si="1">IF(ISBLANK(I2),"",IF(J2&lt;0.01,"**",IF(J2&lt;0.05,"*", "")))</f>
        <v/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0</v>
      </c>
      <c r="G3" s="5">
        <v>0</v>
      </c>
      <c r="H3" s="5">
        <v>23</v>
      </c>
      <c r="M3" s="22" t="str">
        <f t="shared" si="0"/>
        <v/>
      </c>
      <c r="N3" s="23" t="str">
        <f>IF(ISBLANK(I3),"",LOOKUP(ABS(I3),all_tools!$Q$7:$Q$10,all_tools!$S$7:$S$10))</f>
        <v/>
      </c>
      <c r="O3" s="23" t="str">
        <f t="shared" si="1"/>
        <v/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0</v>
      </c>
      <c r="G4" s="5">
        <v>0</v>
      </c>
      <c r="H4" s="5">
        <v>23</v>
      </c>
      <c r="M4" s="22" t="str">
        <f t="shared" si="0"/>
        <v/>
      </c>
      <c r="N4" s="23" t="str">
        <f>IF(ISBLANK(I4),"",LOOKUP(ABS(I4),all_tools!$Q$7:$Q$10,all_tools!$S$7:$S$10))</f>
        <v/>
      </c>
      <c r="O4" s="23" t="str">
        <f>IF(ISBLANK(I4),"",IF(J4&lt;0.01,"**",IF(J4&lt;0.05,"*", "")))</f>
        <v/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ref="O5:O21" si="2">IF(ISBLANK(I5),"",IF(J5&lt;0.01,"**",IF(J5&lt;0.05,"*", "")))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2"/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2"/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2"/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13</v>
      </c>
      <c r="G9" s="11">
        <v>13</v>
      </c>
      <c r="H9" s="11">
        <v>100</v>
      </c>
      <c r="I9" s="11">
        <v>-0.1325530043077417</v>
      </c>
      <c r="J9" s="11">
        <v>0.10868264420740591</v>
      </c>
      <c r="K9" s="11">
        <v>-0.16122238802734751</v>
      </c>
      <c r="L9" s="11">
        <v>0.1090548020620709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23</v>
      </c>
      <c r="G10" s="14">
        <v>24</v>
      </c>
      <c r="H10" s="14">
        <v>50</v>
      </c>
      <c r="I10" s="14">
        <v>-4.0010884441053322E-3</v>
      </c>
      <c r="J10" s="14">
        <v>0.97393749824887355</v>
      </c>
      <c r="K10" s="14">
        <v>-4.0145445731910407E-3</v>
      </c>
      <c r="L10" s="14">
        <v>0.97792597559776806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23</v>
      </c>
      <c r="G11" s="14">
        <v>24</v>
      </c>
      <c r="H11" s="14">
        <v>50</v>
      </c>
      <c r="I11" s="14">
        <v>-1.8889590382011531E-2</v>
      </c>
      <c r="J11" s="14">
        <v>0.8717029852220165</v>
      </c>
      <c r="K11" s="14">
        <v>-2.2061548434927108E-2</v>
      </c>
      <c r="L11" s="14">
        <v>0.87913055885863645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23</v>
      </c>
      <c r="G12" s="14">
        <v>24</v>
      </c>
      <c r="H12" s="14">
        <v>50</v>
      </c>
      <c r="I12" s="14">
        <v>-0.24760641624976251</v>
      </c>
      <c r="J12" s="14">
        <v>3.3114212859699399E-2</v>
      </c>
      <c r="K12" s="14">
        <v>-0.30991275370518351</v>
      </c>
      <c r="L12" s="14">
        <v>2.850794708171081E-2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6</v>
      </c>
      <c r="G13" s="17">
        <v>6</v>
      </c>
      <c r="H13" s="17">
        <v>10</v>
      </c>
      <c r="I13" s="17">
        <v>-0.24343224778007391</v>
      </c>
      <c r="J13" s="17">
        <v>0.39376863464299272</v>
      </c>
      <c r="K13" s="17">
        <v>-0.28426762180748061</v>
      </c>
      <c r="L13" s="17">
        <v>0.42602444842854259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2"/>
        <v/>
      </c>
    </row>
    <row r="14" spans="1:19" s="17" customFormat="1" x14ac:dyDescent="0.2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6</v>
      </c>
      <c r="G14" s="17">
        <v>6</v>
      </c>
      <c r="H14" s="17">
        <v>10</v>
      </c>
      <c r="I14" s="17">
        <v>0.1217161238900369</v>
      </c>
      <c r="J14" s="17">
        <v>0.66981535759941657</v>
      </c>
      <c r="K14" s="17">
        <v>0.1421338109037403</v>
      </c>
      <c r="L14" s="17">
        <v>0.69528768540126551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x14ac:dyDescent="0.2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6</v>
      </c>
      <c r="G15" s="17">
        <v>6</v>
      </c>
      <c r="H15" s="17">
        <v>10</v>
      </c>
      <c r="I15" s="17">
        <v>0.24343224778007391</v>
      </c>
      <c r="J15" s="17">
        <v>0.39376863464299272</v>
      </c>
      <c r="K15" s="17">
        <v>0.28426762180748061</v>
      </c>
      <c r="L15" s="17">
        <v>0.42602444842854259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x14ac:dyDescent="0.2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6</v>
      </c>
      <c r="G16" s="17">
        <v>6</v>
      </c>
      <c r="H16" s="17">
        <v>10</v>
      </c>
      <c r="I16" s="17">
        <v>-0.24343224778007391</v>
      </c>
      <c r="J16" s="17">
        <v>0.39376863464299272</v>
      </c>
      <c r="K16" s="17">
        <v>-0.28426762180748061</v>
      </c>
      <c r="L16" s="17">
        <v>0.42602444842854259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2"/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</v>
      </c>
      <c r="G17" s="19">
        <v>1</v>
      </c>
      <c r="H17" s="19">
        <v>16</v>
      </c>
      <c r="I17" s="19">
        <v>-0.35355339059327368</v>
      </c>
      <c r="J17" s="19">
        <v>0.1037416782365415</v>
      </c>
      <c r="K17" s="19">
        <v>-0.42008402520840288</v>
      </c>
      <c r="L17" s="19">
        <v>0.105228057983522</v>
      </c>
      <c r="M17" s="32" t="str">
        <f t="shared" si="0"/>
        <v>y</v>
      </c>
      <c r="N17" s="33" t="str">
        <f>IF(ISBLANK(I17),"",LOOKUP(ABS(I17),all_tools!$Q$7:$Q$10,all_tools!$S$7:$S$10))</f>
        <v>Medium</v>
      </c>
      <c r="O17" s="33" t="str">
        <f t="shared" si="2"/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</v>
      </c>
      <c r="G18" s="19">
        <v>1</v>
      </c>
      <c r="H18" s="19">
        <v>16</v>
      </c>
      <c r="I18" s="19">
        <v>-0.16499158227686109</v>
      </c>
      <c r="J18" s="19">
        <v>0.4476990724652935</v>
      </c>
      <c r="K18" s="19">
        <v>-0.19603921176392139</v>
      </c>
      <c r="L18" s="19">
        <v>0.4668248490265503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</v>
      </c>
      <c r="G19" s="19">
        <v>1</v>
      </c>
      <c r="H19" s="19">
        <v>16</v>
      </c>
      <c r="I19" s="19">
        <v>2.3669053416557541E-2</v>
      </c>
      <c r="J19" s="19">
        <v>0.91356333033778614</v>
      </c>
      <c r="K19" s="19">
        <v>2.802621677476181E-2</v>
      </c>
      <c r="L19" s="19">
        <v>0.91793879859999294</v>
      </c>
      <c r="M19" s="32" t="str">
        <f t="shared" si="0"/>
        <v>y</v>
      </c>
      <c r="N19" s="33" t="str">
        <f>IF(ISBLANK(I19),"",LOOKUP(ABS(I19),all_tools!$Q$7:$Q$10,all_tools!$S$7:$S$10))</f>
        <v>None</v>
      </c>
      <c r="O19" s="33" t="str">
        <f t="shared" si="2"/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</v>
      </c>
      <c r="G20" s="19">
        <v>1</v>
      </c>
      <c r="H20" s="19">
        <v>16</v>
      </c>
      <c r="I20" s="19">
        <v>-0.26257545381445868</v>
      </c>
      <c r="J20" s="19">
        <v>0.23144602710389381</v>
      </c>
      <c r="K20" s="19">
        <v>-0.30897169910547828</v>
      </c>
      <c r="L20" s="19">
        <v>0.24426062662249609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</v>
      </c>
      <c r="G21" s="19">
        <v>1</v>
      </c>
      <c r="H21" s="19">
        <v>16</v>
      </c>
      <c r="I21" s="19">
        <v>0.25927248643506751</v>
      </c>
      <c r="J21" s="19">
        <v>0.2328233516916538</v>
      </c>
      <c r="K21" s="19">
        <v>0.30806161848616209</v>
      </c>
      <c r="L21" s="19">
        <v>0.2457251662216493</v>
      </c>
      <c r="M21" s="32" t="str">
        <f t="shared" si="0"/>
        <v>y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">
      <c r="J23" t="s">
        <v>50</v>
      </c>
      <c r="M23" s="3">
        <f>M24-COUNTBLANK(M2:M21)</f>
        <v>13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9</v>
      </c>
    </row>
    <row r="26" spans="1:15" x14ac:dyDescent="0.2">
      <c r="J26" t="s">
        <v>47</v>
      </c>
      <c r="M26" s="38">
        <f>M25/M24</f>
        <v>0.45</v>
      </c>
    </row>
    <row r="27" spans="1:15" x14ac:dyDescent="0.2">
      <c r="J27" t="s">
        <v>48</v>
      </c>
      <c r="M27" s="3">
        <f>M25-COUNTIFS(M2:M21,"y",N2:N21,"None")</f>
        <v>6</v>
      </c>
    </row>
    <row r="28" spans="1:15" x14ac:dyDescent="0.2">
      <c r="J28" t="s">
        <v>49</v>
      </c>
      <c r="M28" s="38">
        <f>M27/M24</f>
        <v>0.3</v>
      </c>
    </row>
    <row r="29" spans="1:15" x14ac:dyDescent="0.2">
      <c r="J29" t="s">
        <v>52</v>
      </c>
      <c r="M29" s="3">
        <f>COUNTIF(N2:N21,"Medium")</f>
        <v>1</v>
      </c>
    </row>
    <row r="30" spans="1:15" x14ac:dyDescent="0.2">
      <c r="J30" t="s">
        <v>53</v>
      </c>
      <c r="M30" s="38">
        <f>M29/M24</f>
        <v>0.05</v>
      </c>
    </row>
  </sheetData>
  <autoFilter ref="A1:O21" xr:uid="{00000000-0001-0000-03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zoomScale="145" zoomScaleNormal="145" workbookViewId="0">
      <selection activeCell="H17" sqref="H17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33203125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14</v>
      </c>
      <c r="G2" s="5">
        <v>29</v>
      </c>
      <c r="H2" s="5">
        <v>23</v>
      </c>
      <c r="I2" s="5">
        <v>-0.25886009157177359</v>
      </c>
      <c r="J2" s="5">
        <v>0.1185826134820492</v>
      </c>
      <c r="K2" s="5">
        <v>-0.3049516074443383</v>
      </c>
      <c r="L2" s="5">
        <v>0.157096814687567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14</v>
      </c>
      <c r="G3" s="5">
        <v>29</v>
      </c>
      <c r="H3" s="5">
        <v>23</v>
      </c>
      <c r="I3" s="5">
        <v>-0.3630554894720564</v>
      </c>
      <c r="J3" s="5">
        <v>2.6497820867305542E-2</v>
      </c>
      <c r="K3" s="5">
        <v>-0.44712286324931549</v>
      </c>
      <c r="L3" s="5">
        <v>3.2426785472927828E-2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y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14</v>
      </c>
      <c r="G4" s="5">
        <v>29</v>
      </c>
      <c r="H4" s="5">
        <v>23</v>
      </c>
      <c r="I4" s="5">
        <v>0.38268492933927678</v>
      </c>
      <c r="J4" s="5">
        <v>1.856470797931634E-2</v>
      </c>
      <c r="K4" s="5">
        <v>0.45327395586631719</v>
      </c>
      <c r="L4" s="5">
        <v>2.9842113749669798E-2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6</v>
      </c>
      <c r="G5" s="7">
        <v>11</v>
      </c>
      <c r="H5" s="7">
        <v>12</v>
      </c>
      <c r="I5" s="7">
        <v>-0.2018433569398328</v>
      </c>
      <c r="J5" s="7">
        <v>0.40657129403387082</v>
      </c>
      <c r="K5" s="7">
        <v>-0.2056848110006326</v>
      </c>
      <c r="L5" s="7">
        <v>0.52130971968204398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6</v>
      </c>
      <c r="G6" s="7">
        <v>11</v>
      </c>
      <c r="H6" s="7">
        <v>12</v>
      </c>
      <c r="I6" s="7">
        <v>-0.23854214911071139</v>
      </c>
      <c r="J6" s="7">
        <v>0.32667108863875699</v>
      </c>
      <c r="K6" s="7">
        <v>-0.2437745908155646</v>
      </c>
      <c r="L6" s="7">
        <v>0.4451488240391529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6</v>
      </c>
      <c r="G7" s="7">
        <v>11</v>
      </c>
      <c r="H7" s="7">
        <v>12</v>
      </c>
      <c r="I7" s="7">
        <v>-0.49543369430686218</v>
      </c>
      <c r="J7" s="7">
        <v>4.1636856782773603E-2</v>
      </c>
      <c r="K7" s="7">
        <v>-0.55611078529800673</v>
      </c>
      <c r="L7" s="7">
        <v>6.0434956200926593E-2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y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6</v>
      </c>
      <c r="G8" s="7">
        <v>11</v>
      </c>
      <c r="H8" s="7">
        <v>12</v>
      </c>
      <c r="I8" s="21">
        <v>0.348638526</v>
      </c>
      <c r="J8" s="7">
        <v>0.15170441973059709</v>
      </c>
      <c r="K8" s="7">
        <v>0.40375166603827878</v>
      </c>
      <c r="L8" s="7">
        <v>0.19305349764481941</v>
      </c>
      <c r="M8" s="24" t="str">
        <f t="shared" si="0"/>
        <v>y</v>
      </c>
      <c r="N8" s="25" t="str">
        <f>IF(ISBLANK(I8),"",LOOKUP(ABS(I8),all_tools!$Q$7:$Q$10,all_tools!$S$7:$S$10))</f>
        <v>Medium</v>
      </c>
      <c r="O8" s="25" t="str">
        <f t="shared" si="1"/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0</v>
      </c>
      <c r="G9" s="11">
        <v>0</v>
      </c>
      <c r="H9" s="11">
        <v>100</v>
      </c>
      <c r="M9" s="26" t="str">
        <f t="shared" si="0"/>
        <v/>
      </c>
      <c r="N9" s="27" t="str">
        <f>IF(ISBLANK(I9),"",LOOKUP(ABS(I9),all_tools!$Q$7:$Q$10,all_tools!$S$7:$S$10))</f>
        <v/>
      </c>
      <c r="O9" s="27" t="str">
        <f t="shared" si="1"/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0</v>
      </c>
      <c r="G10" s="14">
        <v>0</v>
      </c>
      <c r="H10" s="14">
        <v>50</v>
      </c>
      <c r="M10" s="28" t="str">
        <f t="shared" si="0"/>
        <v/>
      </c>
      <c r="N10" s="29" t="str">
        <f>IF(ISBLANK(I10),"",LOOKUP(ABS(I10),all_tools!$Q$7:$Q$10,all_tools!$S$7:$S$10))</f>
        <v/>
      </c>
      <c r="O10" s="29" t="str">
        <f t="shared" si="1"/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0</v>
      </c>
      <c r="G11" s="14">
        <v>0</v>
      </c>
      <c r="H11" s="14">
        <v>50</v>
      </c>
      <c r="M11" s="28" t="str">
        <f t="shared" si="0"/>
        <v/>
      </c>
      <c r="N11" s="29" t="str">
        <f>IF(ISBLANK(I11),"",LOOKUP(ABS(I11),all_tools!$Q$7:$Q$10,all_tools!$S$7:$S$10))</f>
        <v/>
      </c>
      <c r="O11" s="29" t="str">
        <f t="shared" si="1"/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0</v>
      </c>
      <c r="G12" s="14">
        <v>0</v>
      </c>
      <c r="H12" s="14">
        <v>50</v>
      </c>
      <c r="M12" s="28" t="str">
        <f t="shared" si="0"/>
        <v/>
      </c>
      <c r="N12" s="29" t="str">
        <f>IF(ISBLANK(I12),"",LOOKUP(ABS(I12),all_tools!$Q$7:$Q$10,all_tools!$S$7:$S$10))</f>
        <v/>
      </c>
      <c r="O12" s="29" t="str">
        <f t="shared" si="1"/>
        <v/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78</v>
      </c>
      <c r="H13" s="17">
        <v>30</v>
      </c>
      <c r="I13" s="17">
        <v>-0.1306708482007147</v>
      </c>
      <c r="J13" s="17">
        <v>0.35812584392246449</v>
      </c>
      <c r="K13" s="17">
        <v>-0.2011840434130176</v>
      </c>
      <c r="L13" s="17">
        <v>0.28639856302781258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78</v>
      </c>
      <c r="H14" s="17">
        <v>30</v>
      </c>
      <c r="I14" s="17">
        <v>8.5533373213277891E-2</v>
      </c>
      <c r="J14" s="17">
        <v>0.54831781774626309</v>
      </c>
      <c r="K14" s="17">
        <v>0.1166847704091495</v>
      </c>
      <c r="L14" s="17">
        <v>0.53917866371861423</v>
      </c>
      <c r="M14" s="30" t="str">
        <f t="shared" si="0"/>
        <v>n</v>
      </c>
      <c r="N14" s="31" t="str">
        <f>IF(ISBLANK(I14),"",LOOKUP(ABS(I14),all_tools!$Q$7:$Q$10,all_tools!$S$7:$S$10))</f>
        <v>None</v>
      </c>
      <c r="O14" s="31" t="str">
        <f t="shared" si="1"/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78</v>
      </c>
      <c r="H15" s="17">
        <v>30</v>
      </c>
      <c r="I15" s="17">
        <v>4.0280687043569317E-2</v>
      </c>
      <c r="J15" s="17">
        <v>0.77825658347100057</v>
      </c>
      <c r="K15" s="17">
        <v>6.0828512542612352E-2</v>
      </c>
      <c r="L15" s="17">
        <v>0.74949119401148678</v>
      </c>
      <c r="M15" s="30" t="str">
        <f t="shared" si="0"/>
        <v>n</v>
      </c>
      <c r="N15" s="31" t="str">
        <f>IF(ISBLANK(I15),"",LOOKUP(ABS(I15),all_tools!$Q$7:$Q$10,all_tools!$S$7:$S$10))</f>
        <v>None</v>
      </c>
      <c r="O15" s="31" t="str">
        <f t="shared" si="1"/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78</v>
      </c>
      <c r="H16" s="17">
        <v>30</v>
      </c>
      <c r="I16" s="17">
        <v>-0.20776743064366651</v>
      </c>
      <c r="J16" s="17">
        <v>0.14357295597765371</v>
      </c>
      <c r="K16" s="17">
        <v>-0.29755162729069867</v>
      </c>
      <c r="L16" s="17">
        <v>0.1102840897457505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14</v>
      </c>
      <c r="G17" s="19">
        <v>30</v>
      </c>
      <c r="H17" s="19">
        <v>16</v>
      </c>
      <c r="I17" s="19">
        <v>-0.26087459737497548</v>
      </c>
      <c r="J17" s="19">
        <v>0.189459515366179</v>
      </c>
      <c r="K17" s="19">
        <v>-0.39414719943401438</v>
      </c>
      <c r="L17" s="19">
        <v>0.13088138129450241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14</v>
      </c>
      <c r="G18" s="19">
        <v>30</v>
      </c>
      <c r="H18" s="19">
        <v>16</v>
      </c>
      <c r="I18" s="19">
        <v>-0.3540440964374667</v>
      </c>
      <c r="J18" s="19">
        <v>7.4942631774551863E-2</v>
      </c>
      <c r="K18" s="19">
        <v>-0.45349754992793928</v>
      </c>
      <c r="L18" s="19">
        <v>7.7688076382243773E-2</v>
      </c>
      <c r="M18" s="32" t="str">
        <f t="shared" si="0"/>
        <v>y</v>
      </c>
      <c r="N18" s="33" t="str">
        <f>IF(ISBLANK(I18),"",LOOKUP(ABS(I18),all_tools!$Q$7:$Q$10,all_tools!$S$7:$S$10))</f>
        <v>Medium</v>
      </c>
      <c r="O18" s="33" t="str">
        <f t="shared" si="1"/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14</v>
      </c>
      <c r="G19" s="19">
        <v>30</v>
      </c>
      <c r="H19" s="19">
        <v>16</v>
      </c>
      <c r="I19" s="19">
        <v>0.14034022285596001</v>
      </c>
      <c r="J19" s="19">
        <v>0.481699512487204</v>
      </c>
      <c r="K19" s="19">
        <v>0.1568611789958072</v>
      </c>
      <c r="L19" s="19">
        <v>0.56180767007723631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14</v>
      </c>
      <c r="G20" s="19">
        <v>30</v>
      </c>
      <c r="H20" s="19">
        <v>16</v>
      </c>
      <c r="I20" s="19">
        <v>3.7742567804819861E-2</v>
      </c>
      <c r="J20" s="19">
        <v>0.85081119521777981</v>
      </c>
      <c r="K20" s="19">
        <v>6.7157182241984581E-2</v>
      </c>
      <c r="L20" s="19">
        <v>0.80481821639923856</v>
      </c>
      <c r="M20" s="32" t="str">
        <f t="shared" si="0"/>
        <v>n</v>
      </c>
      <c r="N20" s="33" t="str">
        <f>IF(ISBLANK(I20),"",LOOKUP(ABS(I20),all_tools!$Q$7:$Q$10,all_tools!$S$7:$S$10))</f>
        <v>None</v>
      </c>
      <c r="O20" s="33" t="str">
        <f t="shared" si="1"/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14</v>
      </c>
      <c r="G21" s="19">
        <v>30</v>
      </c>
      <c r="H21" s="19">
        <v>16</v>
      </c>
      <c r="I21" s="19">
        <v>7.4535599249992993E-2</v>
      </c>
      <c r="J21" s="19">
        <v>0.70772853159901983</v>
      </c>
      <c r="K21" s="19">
        <v>7.9133800658566594E-2</v>
      </c>
      <c r="L21" s="19">
        <v>0.77081022427378798</v>
      </c>
      <c r="M21" s="32" t="str">
        <f t="shared" si="0"/>
        <v>y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12</v>
      </c>
    </row>
    <row r="26" spans="1:15" x14ac:dyDescent="0.2">
      <c r="J26" t="s">
        <v>47</v>
      </c>
      <c r="M26" s="38">
        <f>M25/M24</f>
        <v>0.6</v>
      </c>
    </row>
    <row r="27" spans="1:15" x14ac:dyDescent="0.2">
      <c r="J27" t="s">
        <v>48</v>
      </c>
      <c r="M27" s="3">
        <f>M25-COUNTIFS(M2:M21,"y",N2:N21,"None")</f>
        <v>11</v>
      </c>
    </row>
    <row r="28" spans="1:15" x14ac:dyDescent="0.2">
      <c r="J28" t="s">
        <v>49</v>
      </c>
      <c r="M28" s="38">
        <f>M27/M24</f>
        <v>0.55000000000000004</v>
      </c>
    </row>
    <row r="29" spans="1:15" x14ac:dyDescent="0.2">
      <c r="J29" t="s">
        <v>52</v>
      </c>
      <c r="M29" s="3">
        <f>COUNTIF(N2:N21,"Medium")</f>
        <v>5</v>
      </c>
    </row>
    <row r="30" spans="1:15" x14ac:dyDescent="0.2">
      <c r="J30" t="s">
        <v>53</v>
      </c>
      <c r="M30" s="38">
        <f>M29/M24</f>
        <v>0.25</v>
      </c>
    </row>
  </sheetData>
  <autoFilter ref="A1:O21" xr:uid="{00000000-0001-0000-04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all_tools</vt:lpstr>
      <vt:lpstr>all_but_chck_frm</vt:lpstr>
      <vt:lpstr>checker_framework</vt:lpstr>
      <vt:lpstr>typestate_checker</vt:lpstr>
      <vt:lpstr>infer</vt:lpstr>
      <vt:lpstr>openjml</vt:lpstr>
    </vt:vector>
  </TitlesOfParts>
  <Company/>
  <LinksUpToDate>false</LinksUpToDate>
  <SharedDoc>false</SharedDoc>
  <HyperlinksChanged>false</HyperlinksChanged>
  <AppVersion>16.0300</AppVersion>
</Properties>
</file>