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66925"/>
  <mc:AlternateContent xmlns:mc="http://schemas.openxmlformats.org/markup-compatibility/2006">
    <mc:Choice Requires="x15">
      <x15ac:absPath xmlns:x15ac="http://schemas.microsoft.com/office/spreadsheetml/2010/11/ac" url="https://uflorida.sharepoint.com/teams/UFLHurricanes/Shared Documents/General/1. Urban - 4. Lit Review (Allyson)/Wind_methods/"/>
    </mc:Choice>
  </mc:AlternateContent>
  <xr:revisionPtr revIDLastSave="3744" documentId="11_0F63854AF6DA311193948BDCDB77B7FC2C73F5DA" xr6:coauthVersionLast="47" xr6:coauthVersionMax="47" xr10:uidLastSave="{5BF02C75-096B-4C90-9E6B-76EFB22B73CC}"/>
  <bookViews>
    <workbookView xWindow="19080" yWindow="-120" windowWidth="20730" windowHeight="11160" xr2:uid="{00000000-000D-0000-FFFF-FFFF00000000}"/>
  </bookViews>
  <sheets>
    <sheet name="Data" sheetId="1" r:id="rId1"/>
    <sheet name="Metadata" sheetId="2" r:id="rId2"/>
    <sheet name="Leftovers" sheetId="4" r:id="rId3"/>
    <sheet name="Sheet1" sheetId="3"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94" i="1" l="1"/>
  <c r="V94" i="1"/>
  <c r="U94" i="1"/>
  <c r="T94" i="1"/>
  <c r="S94" i="1"/>
  <c r="R94" i="1"/>
  <c r="P64" i="1"/>
  <c r="N64" i="1"/>
  <c r="P61" i="1"/>
  <c r="P14" i="1"/>
  <c r="S104" i="1"/>
  <c r="R104" i="1"/>
  <c r="S69" i="1"/>
  <c r="R69" i="1"/>
  <c r="S60" i="1"/>
  <c r="R60" i="1"/>
  <c r="S38" i="1"/>
  <c r="R38" i="1"/>
  <c r="N101" i="1"/>
  <c r="O101" i="1"/>
  <c r="P97" i="1"/>
  <c r="P93" i="1"/>
  <c r="P92" i="1"/>
  <c r="P91" i="1"/>
  <c r="N91" i="1"/>
  <c r="P90" i="1"/>
  <c r="P71" i="1"/>
  <c r="P60" i="1"/>
  <c r="P55" i="1"/>
  <c r="P48" i="1"/>
  <c r="P38" i="1"/>
  <c r="P30" i="1"/>
  <c r="P3" i="1"/>
  <c r="P79" i="1"/>
  <c r="P85" i="1"/>
  <c r="N85" i="1"/>
  <c r="P84" i="1"/>
  <c r="N84" i="1"/>
  <c r="P80" i="1"/>
  <c r="P72" i="1"/>
  <c r="P69" i="1"/>
  <c r="P68" i="1"/>
  <c r="P62" i="1"/>
  <c r="P54" i="1"/>
  <c r="P53" i="1"/>
  <c r="P47" i="1"/>
  <c r="N47" i="1"/>
  <c r="P44" i="1"/>
  <c r="P39" i="1"/>
  <c r="P36" i="1"/>
  <c r="P35" i="1"/>
  <c r="P32" i="1"/>
  <c r="P29" i="1"/>
  <c r="N24" i="1"/>
  <c r="O22" i="1"/>
  <c r="P12" i="1"/>
  <c r="P8" i="1"/>
  <c r="P7" i="1"/>
  <c r="N7" i="1"/>
  <c r="S95" i="1"/>
  <c r="R95" i="1"/>
  <c r="S90" i="1"/>
  <c r="R90" i="1"/>
  <c r="W66" i="1"/>
  <c r="V66" i="1"/>
  <c r="U66" i="1"/>
  <c r="S66" i="1" s="1"/>
  <c r="T66" i="1"/>
  <c r="R66" i="1" s="1"/>
  <c r="S55" i="1"/>
  <c r="R55" i="1"/>
  <c r="W15" i="1"/>
  <c r="U15" i="1"/>
  <c r="S15" i="1" s="1"/>
  <c r="V15" i="1"/>
  <c r="T15" i="1"/>
  <c r="R15" i="1" s="1"/>
</calcChain>
</file>

<file path=xl/sharedStrings.xml><?xml version="1.0" encoding="utf-8"?>
<sst xmlns="http://schemas.openxmlformats.org/spreadsheetml/2006/main" count="1725" uniqueCount="615">
  <si>
    <t>1 = random sampling design or complete inventory</t>
  </si>
  <si>
    <t>1 = reassessment of inventoried population or reported relative failure rate (e.g. % survival)</t>
  </si>
  <si>
    <t>1 = study differentiates type or levels of storm damage</t>
  </si>
  <si>
    <t>1 = assessment included risk or condition appraisal</t>
  </si>
  <si>
    <t>1 = study includes tree size data</t>
  </si>
  <si>
    <t>Wind_Author_Year</t>
  </si>
  <si>
    <t>Title</t>
  </si>
  <si>
    <t>Language</t>
  </si>
  <si>
    <t>Country</t>
  </si>
  <si>
    <t>State_Territory_Prefecture</t>
  </si>
  <si>
    <t>Tropical_Cyclone_Basin</t>
  </si>
  <si>
    <t>Min_DBH_cm</t>
  </si>
  <si>
    <t>Time_Since_Hurricane_month</t>
  </si>
  <si>
    <t>ShortMethods</t>
  </si>
  <si>
    <t>LongMethods</t>
  </si>
  <si>
    <t>Urban_Rural</t>
  </si>
  <si>
    <t>Urban_Rural2</t>
  </si>
  <si>
    <t>Long-Term_Study</t>
  </si>
  <si>
    <t>Plot_Amount_Total</t>
  </si>
  <si>
    <t>Site_Amount</t>
  </si>
  <si>
    <t>Total_Area_Plots_ha</t>
  </si>
  <si>
    <t>Secondary_Damage_excluded_or_separated</t>
  </si>
  <si>
    <t>Lat</t>
  </si>
  <si>
    <t>Long</t>
  </si>
  <si>
    <t>Lat_NW</t>
  </si>
  <si>
    <t>Long_NW</t>
  </si>
  <si>
    <t>Lat_SE</t>
  </si>
  <si>
    <t>Long_SE</t>
  </si>
  <si>
    <t>Sampling_score</t>
  </si>
  <si>
    <t>PreInventory_score</t>
  </si>
  <si>
    <t>Damage_Categorization_Score</t>
  </si>
  <si>
    <t>Risk_Condition_Assessment_score</t>
  </si>
  <si>
    <t>Biometric_score</t>
  </si>
  <si>
    <t>Quality_notes</t>
  </si>
  <si>
    <t>Guo et al 2020</t>
  </si>
  <si>
    <t>Study on Tree Damage Causes in Xiamen City Based on Typhoon Hazards</t>
  </si>
  <si>
    <t>Chinese</t>
  </si>
  <si>
    <t>China</t>
  </si>
  <si>
    <t>Fujian</t>
  </si>
  <si>
    <t>Northwest Pacific</t>
  </si>
  <si>
    <t>NA</t>
  </si>
  <si>
    <t>Direct observations post storm</t>
  </si>
  <si>
    <t>Collected data from landscape rescue team cleanup activities after the typhoon</t>
  </si>
  <si>
    <t>Urban</t>
  </si>
  <si>
    <t>Urban Managed</t>
  </si>
  <si>
    <t>no</t>
  </si>
  <si>
    <t>not reported</t>
  </si>
  <si>
    <t>Lat/long based on estimated center of city</t>
  </si>
  <si>
    <t>Huanglong 2002</t>
  </si>
  <si>
    <t>Investigation on the damage of street trees in Jiedong County by typhoon "Ute" and countermeasures</t>
  </si>
  <si>
    <t>Guangdong</t>
  </si>
  <si>
    <t>Reviewed damage records</t>
  </si>
  <si>
    <t>Lin et al 2017</t>
  </si>
  <si>
    <t>The Influence of Typhoon Meranti on the Greening Tree Species for Urban Road in Xiamen</t>
  </si>
  <si>
    <t>investigating the damage degree of greening tree species in the main urban areas of Xiamen after the super typhoon Meranti</t>
  </si>
  <si>
    <t>Tian et al 2020</t>
  </si>
  <si>
    <t>The influence of Typhoon Mangkhut on urban green space and biomass in Shenzhen，China</t>
  </si>
  <si>
    <t>This study explored the impact of this typhoon on trees in the urban green space (parks residential neighborhoods and street trees) in Shenzhen based on field investigation right after the disaster using statistical methods and biomass assessment.</t>
  </si>
  <si>
    <t>Xu et al 2008</t>
  </si>
  <si>
    <t>Influence of Typhoon Damrey on the tropical montane rain forest community in Jianfengling, Hainan Island, China</t>
  </si>
  <si>
    <t>Hainan</t>
  </si>
  <si>
    <t>A 2 600 m2 permanent plot in Jianfengling, Hainan Island was surveyed in June 2005 before Typhoon Damrey and in October 2005 after the typhoon. All individuals with diameter at breast height &gt;1.0 cm were recorded and classified into four injury types. I analyzed changes in species composition, basal area, number of individuals, influence of wind-blown trees, biological diversity, biomass change and carbon return.</t>
  </si>
  <si>
    <t>Rural</t>
  </si>
  <si>
    <t>Rural Unmanaged</t>
  </si>
  <si>
    <t>yes</t>
  </si>
  <si>
    <t>Xu et al 2014</t>
  </si>
  <si>
    <t>Wood properties and anti-typhoon performance in selected trees</t>
  </si>
  <si>
    <t xml:space="preserve">To analyze the relationship between anti-typhoon performance and wood properties, eight wood prop- erty factors (oven-dried density, fiber width, fiber length, ratio of fiber length to width, modulus of elasticity, shearing strength, modulus of rupture, and impact toughness) of six tree species (Calophyllum inophyllum, Ca- suarina equisetifolia, Melia azedarach, Acacia mangium, Eucalyptus grandis × Eucalyptus urophylla, and Aca- cia crassicarpa)and their anti-typhoon performance were tested. </t>
  </si>
  <si>
    <t>Rural Managed</t>
  </si>
  <si>
    <t>Zhang et al 2009</t>
  </si>
  <si>
    <t>An Investigation on Typhoon’s Destruction to Landscape Trees in Shantou University</t>
  </si>
  <si>
    <t>summary of damages from several hurricanes at the University of Shantou.</t>
  </si>
  <si>
    <t>Zhou et al 2018</t>
  </si>
  <si>
    <t>A Survey on the Loss and Recovery of Xiamen Garden Trees after Super Typhoon —A Case Study of Xiamen Campus of Huaqiao University</t>
  </si>
  <si>
    <t>Damage assessed the day after the hurriance on Xiamen University campus (campus area 133.33hm2, with 280,000 m2 of green space in 2016). The campus was  surveyed after 4 and 9 months to reassess recovery.</t>
  </si>
  <si>
    <t>Allen et al 1997</t>
  </si>
  <si>
    <t>Hurricane impacts on liana populations in an old-growth southeastern bottomland forest</t>
  </si>
  <si>
    <t>English</t>
  </si>
  <si>
    <t>United States</t>
  </si>
  <si>
    <t>South Carolina</t>
  </si>
  <si>
    <t>North Atlantic</t>
  </si>
  <si>
    <t xml:space="preserve">Surveyed a set of ten 1-ha plots in bottomland forests and sloughs to assess the distribution of lianas (woody vines) before and after the hurricane along with their roles in tree damage. Recorded tree and liana DBH, level of vine infestation, tree damage (tip up, snap-off height, degree of branch loss). They assume damage and vine distribution observed after hurricane reasonably reflects pre-hurricane conditions. </t>
  </si>
  <si>
    <t>Asner and Goldstein 1997</t>
  </si>
  <si>
    <t>Correlating stem biomechanical properties of Hawaiian canopy trees with hurricane wind damage</t>
  </si>
  <si>
    <t>Hawaii</t>
  </si>
  <si>
    <t>Northeast Pacific</t>
  </si>
  <si>
    <t>Direct observations post storm; laboratory measurements</t>
  </si>
  <si>
    <t>Surveyed canopy species less than 4 months after Hurricane Iniki in Kokee State Park, Hawaii within a single 2 ha stand. 
Recorded which trees were uprooted, snapped or standing (dead and alive).  Assess tree biomechanical properties in lab.</t>
  </si>
  <si>
    <t>Basnet et al 1992</t>
  </si>
  <si>
    <t>Hurricane Hugo: Damage to a tropical rain forest in Puerto Rico</t>
  </si>
  <si>
    <t>Puerto Rico</t>
  </si>
  <si>
    <t xml:space="preserve">Resampled permanent transects in the Luquillo experimental forest long term research site. Recorded species, height, and DBH. Damage categories: standing defoliated, broken branches (major branches), stem broken (lost crown and broken bole), uprooted or broken (on the ground). </t>
  </si>
  <si>
    <t>Batista and Platt 2003</t>
  </si>
  <si>
    <t>Tree Population Responses to Hurricane Disturbance : Syndromes in a South-Eastern USA</t>
  </si>
  <si>
    <t>Florida</t>
  </si>
  <si>
    <t>Re-sampled a permanent 4.5 ha study plot in a forest (censused every two years since 1978) following Hurricane Kate within 2 months of storm. Classified trees as without major damage if they were not leaniing and only had broken branches less than 5 cm in diameter. With major damage included trees with lean, large broken branches, snapped-off, topped, tipped.</t>
  </si>
  <si>
    <t>Bellingham et al 1995</t>
  </si>
  <si>
    <t>Damage and responsiveness of Jamaican montane tree species after disturbance by a hurricane</t>
  </si>
  <si>
    <t>Jamaica</t>
  </si>
  <si>
    <t>Study in a tropical montane forest in Jamaica for three different study areas (with sub-plots) sampled after Hurricane Gilbert. Assessed hurricane caused mortality, broken stems with complete crown loss, crowns with partial breakage, uprooted stems, and stems that were completely defoliated. Also measured wood density. Some sites had pre-hurricane inventories.</t>
  </si>
  <si>
    <t>Bellingham et al 1996</t>
  </si>
  <si>
    <t>The effects of a typhoon on Japanese warm temperate rainforests</t>
  </si>
  <si>
    <t>Japan</t>
  </si>
  <si>
    <t>Kagoshima</t>
  </si>
  <si>
    <t xml:space="preserve">Recorded mortality and damage to trees in warm temperate rainforest in Japan following a typhoon (within 5 months). Classified: 1) dead trees caused by hurricane, 2) broken stems with full crown loss or only partial breakage of crown, 3) uprooted stems, 4) severely defoliated stems with more than 50% of leaves lost.  </t>
  </si>
  <si>
    <t>Bonilla-Moheno 2010</t>
  </si>
  <si>
    <t>Damage and recovery of forest structure and composition after two subsequent Hurricanes in the Yucatan Peninsula</t>
  </si>
  <si>
    <t>Mexico</t>
  </si>
  <si>
    <t>Quintana Roo</t>
  </si>
  <si>
    <t xml:space="preserve">Surveyed damage to tropical forest plots following two hurricanes. Recorded DBH and classified four damage categories: no visual damage, defoliated with more than 50% canopy loss, snapped trunk, or uprooted. For analysis stems were grouped into three size classes. </t>
  </si>
  <si>
    <t>Boucher et al 1994</t>
  </si>
  <si>
    <t>Resistance and resilience in a directly regenerating rainforest: Nicaraguan trees of the Vochysiaceae after Hurricane Joan</t>
  </si>
  <si>
    <t>Nicaragua</t>
  </si>
  <si>
    <t>South Caribbean Coast Autonomous Region, Nicaragua</t>
  </si>
  <si>
    <t xml:space="preserve">Surveyed transect plots in a Nicaraguan rain-forest following a hurricane. Record mortality, DBH, height, and condition (standing, trunk snapped, completely felled). </t>
  </si>
  <si>
    <t>Boucher et al 2005</t>
  </si>
  <si>
    <t>Hurricane Isabel and the Forests of the Mid-Atlantic Piedmont and Blue Ridge: Short-Term Impacts and Long-Term Implications</t>
  </si>
  <si>
    <t>Maryland</t>
  </si>
  <si>
    <t xml:space="preserve">Conducted a re-inventory of forest plots in Maryland following Hurricane Isabel. Measured DBH and classified trees as: standing, learning by 1-15 deg, leaning 16-30 deg, leaning 31-45 deg, leaning more than 45 deg, snapped trunk, uprooted. Compared their long term plot to six other new study plots that were either severly affected by the hurricane or showed little damage. </t>
  </si>
  <si>
    <t>Bowman and Panton 1994</t>
  </si>
  <si>
    <t>Fire and cyclone damage to woody vegetation on the north coast of the Northern Territory, Australia</t>
  </si>
  <si>
    <t>Australia</t>
  </si>
  <si>
    <t>Northern Territory</t>
  </si>
  <si>
    <t>South Indian</t>
  </si>
  <si>
    <t xml:space="preserve">Re-inventoried monsoon-rainforest plots in Australia following a tropical cyclone. Recorded DBH, species, and damage. Trees were classed as damaged (uprooted, broken stem, smashed crowns) or undamaged. </t>
  </si>
  <si>
    <t>Burslem et al 2000</t>
  </si>
  <si>
    <t>Short-term effects of cyclone impact and long-term recovery of tropical rain forest on Kolombangara, Solomon Islands</t>
  </si>
  <si>
    <t>Solomon Islands</t>
  </si>
  <si>
    <t>Western Province</t>
  </si>
  <si>
    <t>South Pacific</t>
  </si>
  <si>
    <t xml:space="preserve">Evaluated the effects of multiple cyclones on a tropical lowland evergreen rain forest in the Solomon Islands as part of a long term monitoring study. </t>
  </si>
  <si>
    <t>Busing et al 2009</t>
  </si>
  <si>
    <t>Hurricane disturbance in a temperate deciduous forest: Patch dynamics, tree mortality, and coarse woody detritus</t>
  </si>
  <si>
    <t>North Carolina</t>
  </si>
  <si>
    <t xml:space="preserve">Re-inventory of temperate forest in North Carolina following a hurricane. Measured DBH and classified damage into four categoreis: uprooted, breakage (canopy damaged by wind), leaning, and leaner support (tree supporting another tree). Within each category, the severity of damage was assigned on a scale of 1 to 4 where higher number is worse). </t>
  </si>
  <si>
    <t>Catterall et al 2008</t>
  </si>
  <si>
    <t>Do cyclones and forest fragmentation have synergistic effects? A before-after study of rainforest vegetation structure at multiple sites</t>
  </si>
  <si>
    <t>Queensland</t>
  </si>
  <si>
    <t xml:space="preserve">Sampled 50 m long transects before and after Cyclone Larry, four transects per site after the hurricane and six transects per site before. Measured multiple attributes of forest structure. Damage classes included defoliation and smaller branches broken, larger branches broken, trunk snapped, tree pushed over more than 45 degrees or uprooted. Compares continuous and fragmented forest. </t>
  </si>
  <si>
    <t>Chapman et al 2008</t>
  </si>
  <si>
    <t>Hurricane Katrina impacts on forest trees of Louisiana's Pearl River basin</t>
  </si>
  <si>
    <t>Louisiana</t>
  </si>
  <si>
    <t xml:space="preserve">Re-inventory of bottomland hardwood forest plots in Louisiana after Hurricane Katrina including both temporary and permanently inundated plots. Measured tree DBH and categorized trees as intact, snapped, or uprooted (bole was horizontal or leaning more than 80 deg from vertical). Also classified canopy daamge as 0-25 percent missing (category 1), 25-50 % missing (category 2), 50-75% missing (category 3), and 75-100% missing (category 4). Though these categories don't seem to be explicitly reported in the results. </t>
  </si>
  <si>
    <t>no reported</t>
  </si>
  <si>
    <t>Curran et al 2008 (functional traits)</t>
  </si>
  <si>
    <t>Plant functional traits explain interspecific differences in immediate cyclone damage to trees of an endangered rainforest community in north Queensland</t>
  </si>
  <si>
    <t xml:space="preserve">Surveyed rainforest fragments in Australia following a severe tropical cyclone. Recorded DBH and level of damage: uprooted, snapped stem, upright, limb damage (scale of 0 to 3 - worst), and foliage retention (scale of 0 to 3 - most foliage retained). Measured wood density from tree cores and leaf traits from collected leaves. Also recorded presence of buttress roots. </t>
  </si>
  <si>
    <t>Dittus 1985</t>
  </si>
  <si>
    <t>The Influence of Cyclones on the Dry Evergreen Forest of Sri Lanka</t>
  </si>
  <si>
    <t>Sri Lanka</t>
  </si>
  <si>
    <t>North Central</t>
  </si>
  <si>
    <t>North Indian</t>
  </si>
  <si>
    <t xml:space="preserve">Re-inventoried trees in a dry evergreen forest in Sri Lanka impacted by a tropical cyclone. Estimated crown loss on a scale of 0 to 10. Tree falls = toppled or uprooted. Post-cyclone mortality = quantity of trees dying within 42 months of cyclone. Total tree loss = fallen trees plus all other dead trees. Also measured DBH and height. </t>
  </si>
  <si>
    <t>Doyle et al 1995</t>
  </si>
  <si>
    <t>Structural Impact of Hurricane Andrew on the Forested Wetlands of the Atchafalaya Basin in South Louisiana</t>
  </si>
  <si>
    <t xml:space="preserve">Surveyed bottomland hardwoods and swamp forests in floodplain following Hurricane Andrew. Record species, dbh, crown class (position in canopy), status (dead pre-hurricane, dead after hurricane, alive), damage type, direction of fall or lean, and sprouting. Damage tyupes: degrees of branch loss, height of snapped bole, tip-up angle, direct wind damage, mechanical damage (fallen because of debris), pre-existing damge and disease. </t>
  </si>
  <si>
    <t>Duryea et al 2007a</t>
  </si>
  <si>
    <t>Hurricanes and the Urban Forest: I. Effects on SoutheasternUnited States Coastal Plain Tree Species</t>
  </si>
  <si>
    <t>Direct observations post storm; traits from literature; survey of professionals</t>
  </si>
  <si>
    <t>Researchers surveyed trees through transects of randomly selected neighborhoods immediately following several hurricanes. They recorded tree DBH or palm height, tree status (standing, leaning, broken, or uprooted), leaf and branch loss, property damage, and presence of tree cluster (five or more trees within 3 m of each other). They collected wood and crown characteristics for each species from the literature. And they surveyed arborists, urban foresters, and forest scientists to rank species wind resistance as high, medium, or low.</t>
  </si>
  <si>
    <t>Study area included multiple sites across Florida</t>
  </si>
  <si>
    <t>Duryea et al 2007a; Duryea et al 2007b</t>
  </si>
  <si>
    <t>Hurricanes and the Urban Forest: I. Effects on SoutheasternUnited States Coastal Plain Tree Species; Hurricanes and the Urban Forest: II. Effects on Tropical and Subtropical Tree Species</t>
  </si>
  <si>
    <t xml:space="preserve">See Duryea et al 2007a and 2007b for study specific details. Studies overlap in analysis methodology and are treated as a single study in the predictors paper. </t>
  </si>
  <si>
    <t>Duryea et al 2007b</t>
  </si>
  <si>
    <t>Hurricanes and the Urban Forest: II. Effects on Tropical and Subtropical Tree Species</t>
  </si>
  <si>
    <t>Direct observations post storm; traits from literature; survey of professionals; survey of homeowners</t>
  </si>
  <si>
    <t xml:space="preserve">Researchers surveyed trees through transects of randomly selected neighborhoods immediately following several hurricanes. They recorded tree DBH or palm height, tree status (standing, leaning, broken, or uprooted), leaf and branch loss, property damage, and presence of tree cluster (five or more trees within 3 m of each other). They collected wood and crown characteristics for each species from the literature. They surveyed arborists, urban foresters, and forest scientists to rank species wind resistance as high, medium, or low. They also surveyed homeowners who measured and reported on trees in their yards.  </t>
  </si>
  <si>
    <t>Elmqvist et al 1994</t>
  </si>
  <si>
    <t>Effects of Tropical Cyclones Ofa and Val on the Structure of a Samoan Lowland Rain Forest</t>
  </si>
  <si>
    <t>Samoa</t>
  </si>
  <si>
    <t>Palauli</t>
  </si>
  <si>
    <t xml:space="preserve">Assessed impacts of two cyclones on a rain forest. Recorded the number of standing and uprooted trees, standing height, living and dead trees, DBH, buttresses or stilt roots, basal area, canopy cover (as percent ground area covered). Calculated mortality within plots because of difficulty in resurveying plots. </t>
  </si>
  <si>
    <t>Eppinga and Pucko 2018</t>
  </si>
  <si>
    <t>The impact of hurricanes Irma and Maria on the forest ecosystems of Saba and St. Eustatius, northern Caribbean</t>
  </si>
  <si>
    <t xml:space="preserve"> Caribbean Netherlands</t>
  </si>
  <si>
    <t>Saba; Sint Eustatius</t>
  </si>
  <si>
    <t xml:space="preserve">Two months after two hurricanes, surveyd tropical forests at multiple elevations on Carribean islands. Recorded DBH (basal area) and status: 1) recent defoliation (&gt; 75% crown loss), 2) recent loss of secondary and/or primary branches, 3) uprooted or snapped stem, 4) mortality. </t>
  </si>
  <si>
    <t>Foster 1988 (Species and stand)</t>
  </si>
  <si>
    <t>Species and Stand Response to Catastrophic Wind in Central New England , U.S.A.</t>
  </si>
  <si>
    <t>Massachusetts</t>
  </si>
  <si>
    <t>Analyzed data collected in 1938-39 on a 1938 hurricane that went through New England (see Rowlands 1941). Previous data included stand characterstics (not really elaborated)</t>
  </si>
  <si>
    <t>Used lowest plot size (0.04 ha) to calculate full study area</t>
  </si>
  <si>
    <t>Francis 2000</t>
  </si>
  <si>
    <t>Comparison of hurricane damage to several species of urban trees in San Juan, Puerto Rico</t>
  </si>
  <si>
    <t>Surveyed 24 pre-selected tree species in an area around the University of Puerto Rico Botanic garden with a 5 km radius. It sounds like they went through the area until they found 30 to 50 individuals of each species for evaluation. EXCLUDES: trees that were small or sheltered and had gross defects. Measured DBH, heights, damage type (snapped trunk + tipped/thrown, percent defoliation, percent crown loss).</t>
  </si>
  <si>
    <t>study lumps root and stem failure together, also has one person making subjective estiamtes of crown condition</t>
  </si>
  <si>
    <t>Francis and Gillespie 1993</t>
  </si>
  <si>
    <t>Relating Gust Speed to Tree Damage in Hurricane Hugo, 1989</t>
  </si>
  <si>
    <t>Multiple</t>
  </si>
  <si>
    <t xml:space="preserve">Researchers surveyed damage to ornamental, shade, and trees in unmanaged margins (e.g. near fences) following a hurricane, though they avoided sampling trees with restricted root systems. </t>
  </si>
  <si>
    <t>Urban Both</t>
  </si>
  <si>
    <t>Excluded trees with cut roots or one-sided root systems. Countries/territories include Puerto Rico, US Virgin Islands, and Guadaloupe (France)</t>
  </si>
  <si>
    <t>Frangi and Lugo 1991</t>
  </si>
  <si>
    <t>Hurricane Damage to a Flood Plain Forest in the Luquillo Mountains of Puerto Rico</t>
  </si>
  <si>
    <t xml:space="preserve">Reinventoried forest stands in Puerto Rico following a hurricane. Recorded height, DBH and damage type: 1) uprooting or treefall, 2) snapping of bole, 3) defoliation or debranching, 4) no visible damage. </t>
  </si>
  <si>
    <t>Franklin et al 2004</t>
  </si>
  <si>
    <t>The effects of Cyclone Waka on the structure of lowland tropical rain forest in Vava'u, Tonga</t>
  </si>
  <si>
    <t>Tonga</t>
  </si>
  <si>
    <t>Vava'u</t>
  </si>
  <si>
    <t>Reinventory of study plots in a tropical forest following a tropical cyclone, though plots could not be perfectly realigned. Post-hurricane data collection: DBH, mortality, uprooting, snapping, leaning, branch loss, resprouting, fruiting and flowering, canopy cover. Lethal = mortality due to cyclone, major = uprooted/snapped/&gt;60% branch loss/leaning, minor = all other stems or minor damage.</t>
  </si>
  <si>
    <t>Gao and Yu 2021</t>
  </si>
  <si>
    <t>Canopy Density and Roughness Differentiate Resistance of a Tropical Dry Forest to Major Hurricane Damage</t>
  </si>
  <si>
    <t>Direct observations post storm; aerial LIDAR measurements</t>
  </si>
  <si>
    <t xml:space="preserve">Extracted data from NEON Guánica site for a set of 15 plots (20 x 20 m) that had been measured before and after two sequential hurricanes. Trees were classified as live, lost (standing dead, removed, lost-fate unknown, dead-broken bole, lost-presumed dead), and damaged (live-broken bole, live-physically damaged, live-other damage). Also includes DBH and height data. </t>
  </si>
  <si>
    <t>Greenberg and McNab 1998</t>
  </si>
  <si>
    <t>Forest disturbance in hurricane-related downbursts in the Appalachian mountains of North Carolina</t>
  </si>
  <si>
    <t xml:space="preserve">Sampled downburst-created gaps in a deciduous forest in North Carolina that had more than 10 treefalls. Record slope and aspect for all tree location, direction of fallen trees, damage category (uninjured, completely uprooted, partially uprooted, major limb breakage (more than 25% broken), bole broken less than 1.8 m above ground, bole broken more than 1.8 m high), root plate characterisitcs. Did not differentiate between direct or indirect (caused by another tree) falls. </t>
  </si>
  <si>
    <t>Gresham et al 1991</t>
  </si>
  <si>
    <t>Hurricane Hugo Wind Damage to Southeastern U.S. Coastal Forest Tree Species</t>
  </si>
  <si>
    <t>Inventoried and evaluated damage on trees within previously established plots in Hobcaw Forest. Recorded species, DBH, and damage class.  Undamaged (bole unbent and vertical with little crown damage); Bent (roots intact, lower bole vertical, upper bole not vertical); Limbs broken (many limbs broken, terminal leader intact); Defoliated (sparse foliage, with brown or dying foliage); Top broken (many limbs broken, terminal leader broken); Broken (bole broken between ground and crown base); Uprooted (tree partially uprooted with bole leaning); and, Downed (tree partially uprooted with bole lying on ground)</t>
  </si>
  <si>
    <t>Haq et al 2012</t>
  </si>
  <si>
    <t>Damage and management of cyclone Sidr-affected homestead tree plantations: A case study from Patuakhali, Bangladesh</t>
  </si>
  <si>
    <t>Bangladesh</t>
  </si>
  <si>
    <t>Barisal</t>
  </si>
  <si>
    <t>Direct observations post storm; interviews with landowners</t>
  </si>
  <si>
    <t xml:space="preserve">Interviewed residents with woody and fruit tree plantations to assess damage following a super cyclone. Questions included classification of tree damage (uprooted, broken bole, shoot damage - fully damaged, shoot damage - partial). </t>
  </si>
  <si>
    <t>Harcombe et al 2009</t>
  </si>
  <si>
    <t>Effects of Hurricane Rita on three long-term forest study plots in East Texas, USA</t>
  </si>
  <si>
    <t>Texas</t>
  </si>
  <si>
    <t xml:space="preserve">Compared dry, mesic, and river floodplain forest sites that had been part of long-term permanent study plots. Recorded tree dbh and damage in study plots: severely damaged = more than half of crown lost, dead. </t>
  </si>
  <si>
    <t>Harrington et al 1997</t>
  </si>
  <si>
    <t>Impact of Hurricane Iniki on native Hawaiian Acacia koa forests: Damage and two-year recovery</t>
  </si>
  <si>
    <t xml:space="preserve">Evaluated hurricane damage in a Hawaiian forest. Pre storm data included DBH. Continued tracking DBH in the two years that followed the hurricane. Assigned trees to damage classes: 1) &lt;25% canopy removed, 2) 25-50% canopy removed, 3) 50-75% canopy removed, 4) &gt;75% canopy removed. </t>
  </si>
  <si>
    <t>Henkel et al 2016</t>
  </si>
  <si>
    <t>Delayed tree mortality and Chinese tallow (Triadica sebifera) population explosion in a Louisiana bottomland hardwood forest following Hurricane Katrina</t>
  </si>
  <si>
    <t xml:space="preserve">Resurveyed two previously established forestry plots after Hurricane Katrina, and added a third plot after the hurricane. Recorded DBH, mortality, damage type, and snap height, and crown damage. </t>
  </si>
  <si>
    <t>Horvitz et al 1995</t>
  </si>
  <si>
    <t>Exotics and Hurricane Damage in Three Hardwood Hammocks in Dade County Parks , Florida</t>
  </si>
  <si>
    <t>Direct observations post storm; hemi-spherical photographs</t>
  </si>
  <si>
    <t xml:space="preserve">Compared huricane damage among three coastal hardwood hammocks using a set of plots. Used hemispherical photographs to track regeneration of an invasive species (papaya) as well as plant/tree inventory procedures. Within each study plot, measured height and dbh of all trees and recorded type of damage: none, bent over, loss of minor limbs, loss of major limbs, snapped off, or tipped up (uprooted). </t>
  </si>
  <si>
    <t>Urban Unmanaged</t>
  </si>
  <si>
    <t>Howard 2012</t>
  </si>
  <si>
    <t>Hurricane Katrina Impact on a Leveed Bottomland Hardwood Forest in Louisiana</t>
  </si>
  <si>
    <t>Re-surveyed bottomland hardwood forest plots following hurricane Katrina. Plots were spread over an elevation gradient from a nearby river. Classified trees as living, uprooted, snapped off, or standing dead. Also measured DBH</t>
  </si>
  <si>
    <t>Ida and Nakagoshi 1997</t>
  </si>
  <si>
    <t>A Large Gap Formation in a Beech Forest on Mt. Garyu in Southwestern Japan by Typhoon 9119</t>
  </si>
  <si>
    <t>Hiroshima</t>
  </si>
  <si>
    <t xml:space="preserve">Measured trees in a forest plot in Japan following a severe typhoon. The plot was set up to include a large windthrow gap. Recorded DBH and damage class: uprooting (included partial uprooting), shap-off, banch-fall (loss of more than 25% of crown), and standing dead. </t>
  </si>
  <si>
    <t>Study only sampled in a "large gap" formed after a typhoon</t>
  </si>
  <si>
    <t>Imbert et al 1996</t>
  </si>
  <si>
    <t>Hurricane Damage and Forest Structure in Guadeloupe, French West Indies</t>
  </si>
  <si>
    <t>French West Indies</t>
  </si>
  <si>
    <t>Guadeloupe</t>
  </si>
  <si>
    <t>Studied hurricane damage in three forest types following Hurricane Hugo. Damage classes included defoliation, twich and small branch loss, main branch loss, broken trunks, and uprooted or leaning. Total damage = lethal, major, and minor damage. Also recorded DBH</t>
  </si>
  <si>
    <t>No lat/long. Studied multiple sites across island</t>
  </si>
  <si>
    <t>Jimenez-Rodriguez et al 2017</t>
  </si>
  <si>
    <t>Structural and functional traits predict short term response of tropical dry forests to a high intensity hurricane</t>
  </si>
  <si>
    <t>Jalisco</t>
  </si>
  <si>
    <t xml:space="preserve">Resampled permanent tropical forest plots in a Mexican biosphere reserve. Sampled all trees with DBH greater than 2.5 cm. Recorded species, DBH, height, number of branches at 1.3 m (breast height), plant area index, and classified damage. Damage categories included: 1) dead tree, 2) uproot tree, 3) broken trunk, 4) bent trunk, 5) inclined trunk, 6) tree without branhces, 7) secondary broken branches, 8) undamaged. </t>
  </si>
  <si>
    <t>Johnsen et al 2009</t>
  </si>
  <si>
    <t>Hurricane katrina winds damaged longleaf pine less than loblolly pine</t>
  </si>
  <si>
    <t>Mississippi</t>
  </si>
  <si>
    <t xml:space="preserve">Originally a study to test different silivcultural and fertilizer treatments in forest plots. After Hurricane Katrina, recorded DBH and damage: undamaged, downed, snapped boles. </t>
  </si>
  <si>
    <t>Johnson et al 2019</t>
  </si>
  <si>
    <t>Boulevard Tree Failures During Wind Loading Events</t>
  </si>
  <si>
    <t>Minnesota</t>
  </si>
  <si>
    <t>Post-wind storm inventory of windthrown trees</t>
  </si>
  <si>
    <t xml:space="preserve">Recorded frequency of windthrown trees (tipped trees) growing in boulevards (area between sidewalk and street curb) after a high wind event in Minneapolis. Tipped = &gt; 50% root plate protruding from soil. Partial tipped = &lt; 50% root plate exposed. Also record characteristics of sidewalks, planting area, and soil. </t>
  </si>
  <si>
    <t>Kane 2008</t>
  </si>
  <si>
    <t>Tree failure following a windstorm in Brewster, Massachusetts, USA</t>
  </si>
  <si>
    <t xml:space="preserve">Evaluated trees at campgrounds in a state park that were maintained to remove dead branches and hazard trees. Recorded species, failure type, pruning within past year, and nearby removals, presence of structural defects. Surveyed trees within 2 m from perimeter of campsite. </t>
  </si>
  <si>
    <t>AS - I do not like their stats approach for DBH and damage cateogry relationship</t>
  </si>
  <si>
    <t>Kim et al 2019</t>
  </si>
  <si>
    <t>Biotic and spatial factors potentially explain the susceptibility of forests to direct hurricane damage</t>
  </si>
  <si>
    <t>Compared types of hurricane damage among five forest plots. Recorded tree species, lcoation with plot, DBH, height, direct vs. indirect wind damage, and damage category (undamaged, bent, leaning, snapped, uprooted)</t>
  </si>
  <si>
    <t>Klein et al 2020</t>
  </si>
  <si>
    <t>Evaluating the Likelihood of Tree Failure in Naples, Florida (United States) Following Hurricane Irma</t>
  </si>
  <si>
    <t xml:space="preserve">USFS strike team assessment of publicly owned street trees that had been previous inventoried. Used a level one visual assessment to group trees into damage categories: none, minor (minimal corrective pruning), significant (major corrective pruning needed), and whole tree (severely damaged crown or whole tree failure). Also recorded species, DBH, height, and presence of overhead utility lines. </t>
  </si>
  <si>
    <t>Koeser et al 2020</t>
  </si>
  <si>
    <t>Can professionals gauge likelihood of failure? – Insights from tropical storm Matthew</t>
  </si>
  <si>
    <t>Georgia, South Carolina</t>
  </si>
  <si>
    <t>Risk assessment pre-hurricane, direct observations post hurricane</t>
  </si>
  <si>
    <t>Compared TRAQ level 2 visual inspection data for trees growing on campuses and private estates with branch and whole tree failure following Hurricane Matthew. Whole tree failure included removals. Recent pruning wounds were classified as branch failure. DBH data was collected pre-hurricane</t>
  </si>
  <si>
    <t>Kotamrazu 2014</t>
  </si>
  <si>
    <t>Wind Damage To Trees in the Gitam University Campus At Visakhapatnam By Cyclone Hudhud</t>
  </si>
  <si>
    <t>India</t>
  </si>
  <si>
    <t>Andhra Pradesh</t>
  </si>
  <si>
    <t>Recorded observation of types of tree damage around a university campus following a sever tropical cyclone. Observations are qualitative, an inventory of damage was NOT collected</t>
  </si>
  <si>
    <t>qualitative study</t>
  </si>
  <si>
    <t>Kribel and Ware 2014</t>
  </si>
  <si>
    <t>Hurricane-caused tree loss on permanent plots in a temperate hardwood forest</t>
  </si>
  <si>
    <t>Virginia</t>
  </si>
  <si>
    <t xml:space="preserve">Resampled a set of previously established plots in a maturing coastal plain hardwood forest in Virginia after Hurricane Isabel. Recorded tree loss, uproted trees, and trees broken below the crown. Grouped trees by DBH class. Mostly upland plots with one bottomland plot. </t>
  </si>
  <si>
    <t>Landry et al 2021</t>
  </si>
  <si>
    <t>Urban forest response to Hurricane Irma: The role of landscape characteristics and sociodemographic context _x000D_</t>
  </si>
  <si>
    <t>Re-surveyed a random sample of permanent inventory plots in three urban/managed locations in Florida. Recorded presence of damaage as well other other site factors. Also included demographic data at the census block level</t>
  </si>
  <si>
    <t>Study data from multiple cities</t>
  </si>
  <si>
    <t>Lewis and Bannar-Martin 2012</t>
  </si>
  <si>
    <t>The Impact of Cyclone Fanele on a Tropical Dry Forest in Madagascar</t>
  </si>
  <si>
    <t>Madagascar</t>
  </si>
  <si>
    <t>Menabe</t>
  </si>
  <si>
    <t>Sampled trees in a set of 9 0.06-ha plots. Measured dbh, height, and damage category: no damge, minor delimbing, major delimbing, trunk leaning more than 45 deg, trunk snapped, trunk uprooted, and dead</t>
  </si>
  <si>
    <t>Li et al 2021</t>
  </si>
  <si>
    <t>Effects of Typhoon Mangkhut on a Monsoon Evergreen Broad-Leaved Forest Community in Dinghushan Nature Reserve, Lower Subtropical China</t>
  </si>
  <si>
    <t xml:space="preserve">Studied typhoon damage in a broadleaved evergreen forest that had been the subject of multi-decade monitoring. Typhoon impacts can be evaluated by comparing data from 2018 to 2015 (typhoon hit in 2018). Grouped trees by DBH class. Does not specify what qualifies as damaged, though text in results section sepearates damaged and fallen trees. . </t>
  </si>
  <si>
    <t>Martin 2007</t>
  </si>
  <si>
    <t>Hurricane Season Wind Damage in an Urban Landscape: A Case Study of Jacksonville University Campus</t>
  </si>
  <si>
    <t>Inventoried tree blow overs and broken limbs at University campus following two hurricanes.  While damage type was assessed, results were not consistently reported</t>
  </si>
  <si>
    <t>Mayer et al 2007</t>
  </si>
  <si>
    <t>Tree Damage and Restoration following Hurricanes Katrina and Wilma at Miami Metrozoo</t>
  </si>
  <si>
    <t>Assessed damage to trees and palms on zoo property following two hurricanes. Classified trees as "leave" (standing, &gt; 50% crown), "damage" (blown over but could be restored), "removal" (less than 50% crown, blown over, breakage of stems/branches/roots).</t>
  </si>
  <si>
    <t>Debatably "complete" inventory: "Immediately after these two hurricanes, personnel at the Miami Metrozoo conducted a complete assessment of hurricane-affected trees and palms."</t>
  </si>
  <si>
    <t>McGroddy et al 2013</t>
  </si>
  <si>
    <t>Damage patterns after Hurricane Dean in the southern Yucatán: Has human activity resulted in more resilient forests?</t>
  </si>
  <si>
    <t>Direct observations post storm; remote sensing data</t>
  </si>
  <si>
    <t xml:space="preserve">Used change in NDVI before and after hurricane to help stratify study sites by potential damage (four levels). Set up 91 sample locations with one 5 x 100 m plot at each location. Within each plot recorded dbh, species, height, and damage type: none, small brnach damage, major branch damage, bent stem, snapped stem, tree uprooted, and dead (no signs of sprouting). Analyzed data based on the maximum type of damage per stem at the plot level. </t>
  </si>
  <si>
    <t>Rural Both</t>
  </si>
  <si>
    <t>skipped mortality models since stems that resprouted were not considered dead</t>
  </si>
  <si>
    <t>Metcalfe et al 2008</t>
  </si>
  <si>
    <t>Cyclone damage to tropical rain forests: Species- and community-level impacts</t>
  </si>
  <si>
    <t>Assessed hurricane damage in long-term rainforest research plots. Damage assessment on 9 point scale: 1) severe and extense disturbance (greater than 90% canopy loss, more than 33% boles snappedor windthrown), 1.5) severe and common disturbance (most trees severely damaged but a few trees with moderate damage); 2) severe and localized disturbance (greater than 50% canopy loss overall, between 10 and 33% trees damaged); 2.5) Moderate disturbance) (severe damage as described in #2 but a few trees have only minor damage); 3) moderate to slight disturbance, 3.5) slight to moderate disturbance, 4) slight disturbance, 4.5) minor disturbance</t>
  </si>
  <si>
    <t>Middleton 2009</t>
  </si>
  <si>
    <t>Effects of Hurricane Katrina on the forest structure of baldcypress swamps of the Gulf Coast.</t>
  </si>
  <si>
    <t xml:space="preserve">Compared three swamp forest sites impacted by hurricane Katrina in Mississippi. Collected data one year after the storm. Estimated volume of live and dead woody mateiral based on DBH and height. </t>
  </si>
  <si>
    <t>Negron-Juarez et al 2010</t>
  </si>
  <si>
    <t>Assessing hurricane-induced tree mortality in U.S. Gulf Coast forest ecosystems</t>
  </si>
  <si>
    <t>Texas, Louisiana, Mississippi</t>
  </si>
  <si>
    <t xml:space="preserve">Studied forest damage in coastal hardwood forests after three different hurricanes. Compared remote sensing data to on the ground observations of tree height, diameter, snapped tree height, quantity of dead, snapped and standing trees. Dead trees excludes trees that snapped but resprouted. </t>
  </si>
  <si>
    <t>data from mulitple hurricanes</t>
  </si>
  <si>
    <t>Ni et al 2021</t>
  </si>
  <si>
    <t>An old-growth subtropical evergreen broadleaved forest suffered more damage from Typhoon Mangkhut than an adjacent secondary forest</t>
  </si>
  <si>
    <t xml:space="preserve">Resampled long-term old growth and secondary growth forest study plots - a set of 500 20x20 m quadrats. Classified all trees in the plot according to damage type: crown damage (defoliation and branch loss), snap, or uprooting. Estimated the damage ratio for each plot by dividing the basal area of damaged trees by the total basal area of the plot. Also assessed topography and soil properties. Only used windward plots for analysis. </t>
  </si>
  <si>
    <t>Ogle et al 2006</t>
  </si>
  <si>
    <t>Implications of vulnerability to hurricane damage for long-term survival of tropical tree species: a Bayesian hierarchical analysis</t>
  </si>
  <si>
    <t>Used observations from subtropical forest on Puerto Rico to create a Bayesian model to predict tree survival during the post-hurricane recovery period. Recorded damage (no damage, partial damage with branch and crown breakage, heavily damaged with snapped stem or uprooting). See also Thompsopn et al 2002 "LAND USE HISTORY, ENVIRONMENT, AND TREE COMPOSITION IN A TROPICAL FOREST" (though no species specific data. Excluded model data since it focused on the few years after the hurricane (recovery period) rather than immediate damage</t>
  </si>
  <si>
    <t>Ostertag et al 2005</t>
  </si>
  <si>
    <t>Factors affecting mortality and resistance to damage following hurricanes in a rehabilitated subtropical moist forest</t>
  </si>
  <si>
    <t>Study of a section of the Luquillo experimental forest in Puerto Rico after Hurricane Georges. Samples plots twice, 6 and 21 months after the hurricane. Classified trees as live, recently dead (from hurricane), or old dead (pre-hurricane). Damage type: snap, uproot, defoliaton adn branch damage. Also recorded DBH. Also classified degree of branch damage (low = less than 25% of crown, moderate = 25-50% of crown, and heavy = more than 50% of crown.</t>
  </si>
  <si>
    <t>Oswalt and Oswalt 2008</t>
  </si>
  <si>
    <t>Relationships between common forest metrics and realized impacts of Hurricane Katrina on forest resources in Mississippi</t>
  </si>
  <si>
    <t xml:space="preserve">Collected hurricane damage on forested FIA plots in Mississippi in Nov 2005 after Hurricane Katrina. Plots were assigned into damage zones with 1 being the area with the most damage where the hurricane made landfall.  Within hurricane affected plots, tree damaged was assessed as presence/absence. Then trees with present damage were further classified by the type of damage. 
</t>
  </si>
  <si>
    <t>Sampled across entire state</t>
  </si>
  <si>
    <t>Pascarella 1997</t>
  </si>
  <si>
    <t>Hurricane disturbance and the regeneration of Lysiloma latisiliquum (Fabaceae): A tropical tree in south Florida</t>
  </si>
  <si>
    <t xml:space="preserve">Studied the response of a tropical tree species growing in south Florida hardwood forests after a hurricane. Sampled in two mainland forests (impacted by hurricane) and a forest in the Florida Keys not impacted by the hurricane. Classified trees as tipped over, top snapped, tree upright but loss of major limbs, tree upright but minor limb loss, tree bent over, and no damage, plus mortality. </t>
  </si>
  <si>
    <t>Paz et al 2018</t>
  </si>
  <si>
    <t>Understanding hurricane resistance and resilience in tropical dry forest trees: A functional traits approach</t>
  </si>
  <si>
    <t xml:space="preserve">Set up a set of 12 sites consisting of ten 10x10 m plots in a tropical forest with heavy damage after a hurricane. Within each plot, measured DBH, height, and type of damage: no damage, defoliation and loss of small branches, loss of main branches, leaning, snapped, and uprooted. Each tree was only assigned to the most severe category. Collected wood and leaf samples to measure wood density and specific leaf area. </t>
  </si>
  <si>
    <t>Platt et al 2000</t>
  </si>
  <si>
    <t>Effects of Hurricane Andrew on stands of slash pine (Pinus elliottii var. densa) in the everglades region of south Florida (USA)</t>
  </si>
  <si>
    <t xml:space="preserve">Examined the impacts of hurricanes on pine stands (including old growth forests) in south Florida. Recorded DBH. Classified damage as: tip-up (roots snapped), snap-off (trunk snapped below crown and above roots, severe lean (trunk more than 45 degrees from vertical), severe branch loss (more than 50% of branches in crown lost), trunk scar (trunk hit and damaged by falling tree, no major injury. Severe injury includes severe lean and severe branch loss categories while moderate injury included leaning, branch loss, and trunk scar. </t>
  </si>
  <si>
    <t>Plowes 2002</t>
  </si>
  <si>
    <t>Tree damage by Cyclone Eline in the Bunga Forest, Zimbabwe</t>
  </si>
  <si>
    <t>Zimbabwe</t>
  </si>
  <si>
    <t xml:space="preserve">Conducted a field survey along transects to identify fallen trees. Recorded species, height, girth (diameter above buttress zone), direction of fall, location, and associated canopy gap size. </t>
  </si>
  <si>
    <t>Prengaman et al 2008</t>
  </si>
  <si>
    <t>Effects of Hurricane Isabel on a Maturing Hardwood Forest in the Virginia Coastal Plain</t>
  </si>
  <si>
    <t>Resampled permanent plots in a maturing hardwood forest after Hurricane Isabel. Surveyed trees greater than 2.5 cm DBH. Categorized trees as: no damage, uprooted, leaning but otherwise intact, major branch breakage or crown loss, and secondary damage (caused by another tree). Percent basal area lost was based only on stems that were uprooted. Also had DBH data for each tree.</t>
  </si>
  <si>
    <t>Putz and Sharitz 1991</t>
  </si>
  <si>
    <t>Hurricane damage to old-growth forest in Congaree Swamp National Monument, South Carolina, USA</t>
  </si>
  <si>
    <t xml:space="preserve">Observed trees with DBH greater than 20 cm in old-growth bottomland forests and forested sloughs within 10 days of Hurricane Hugo. Recorded species, DBH, and damage categories: no serious damage, uprooted, partially uprooted, trunk snapped below lowest live branch, or lost major portions of its crown. Recorded signs of previous damage or decay on tree as well. </t>
  </si>
  <si>
    <t>Reilly 2009</t>
  </si>
  <si>
    <t>The Effects of Hurricane Hugo in Three Tropical Forests in the U. S. Virgin Islands</t>
  </si>
  <si>
    <t>U.S. Virgin Islands</t>
  </si>
  <si>
    <t>Assessed hurricane damage in three permanent secondary forest plots representing three different types of forests found on St. Johns (0.5 to 1 ha in size). Measured dbh and height, recorded location of each tree and damage class: minor injury (small branch loss), moderate damage (major limb loss), and sever damage (tip-ups and snapped stems)</t>
  </si>
  <si>
    <t>Rutledge et al 2021</t>
  </si>
  <si>
    <t>Tree, stand, and landscape factors contributing to hurricane damage in a coastal plain forest: Post-hurricane assessment in a longleaf pine landscape</t>
  </si>
  <si>
    <t>Georgia</t>
  </si>
  <si>
    <t>Re-inventoried long-term forest plots after a hurricane. Documend tree damage categories: no damage, uprooted, severe lean (more than 45 degrees), leaning (less than 45 degrees), visual estimate of crown damage, snapped (at base, stem, or crown), and unknown. Also recorded DBH.</t>
  </si>
  <si>
    <t>Saito 2002</t>
  </si>
  <si>
    <t>Effects of a severe typhoon on forest dynamics in a warm-temperate evergreen broad-leaved forest in Southwestern Japan</t>
  </si>
  <si>
    <t>Ehime</t>
  </si>
  <si>
    <t xml:space="preserve">Re-inventoried trees in long term study plots in Japan following a tropical cyclone. Recorded DBH, ratio of broekn to full crown. Also recorded snapped, uprooted, leaning or bent, defoliated, and standing dead trees. </t>
  </si>
  <si>
    <t>Sanchez Sanchez and Islebe 1999</t>
  </si>
  <si>
    <t>Hurricane Gilbert and structural changes in a tropical forest in south-eastern Mexico</t>
  </si>
  <si>
    <t xml:space="preserve">Evaluated hurricane damage in permanent plots. Recorded height and dbh. Stratified trees into layers. Also documented number of uprooted, snapping at lower part of trunk, and snapping in middle part of trunk. </t>
  </si>
  <si>
    <t>Slater et al 1995</t>
  </si>
  <si>
    <t>Effects of Hurricane Andrew on damage and mortality of trees in subtropical hardwood hammocks of Long Pine Key, Everglades National Park, Florida, USA</t>
  </si>
  <si>
    <t xml:space="preserve">Observed hurricane damage in isolated subtropical forests called hammocks in South Florida. Measured DBH and categorized trees as: downed, leaning (25 to 70 degrees), snapped (broken below all major branche), branched (retained several major branches, each possibly snapped? I think this means some crown damage), or standing (with most secondary branches maintained). </t>
  </si>
  <si>
    <t>coordinates estiamted from map of Long Pine Key in Platt et al 2000 using web plot digitizer</t>
  </si>
  <si>
    <t>Sundarapandian et al 2014</t>
  </si>
  <si>
    <t>Impact of Thane Cyclone on Tree Damage in Pondicherry University Campus, Puducherry, India</t>
  </si>
  <si>
    <t>Puducherry</t>
  </si>
  <si>
    <t xml:space="preserve">Surveyed tropical cyclone damage on a university campus. Recorded uprooted, largest broken branch, standing stage. Also measured DBH. Also measured wood density/wood specific gravity. </t>
  </si>
  <si>
    <t>Ugarte et al 2006</t>
  </si>
  <si>
    <t>Hurricane Impacts to Tree Islands in Arthur R. Marshall Loxahatchee National Wildlife Refuge, Florida</t>
  </si>
  <si>
    <t xml:space="preserve">Studied damage to 74 tree islands (0.03 to 1.4 ha) in a large freshwater marsh. Used both tree island and individual tree as a unit of measurement. Classified individual trees a uprooted/leaning, main trunk snapped, and side branches off. Island damage was classified as either damage (sever, heavy, and moderate) or no damage (none or light). Assigned islands a size class. </t>
  </si>
  <si>
    <t>Used a random point sampling method to identify tree islands for survey</t>
  </si>
  <si>
    <t>Uriarte et al 2019</t>
  </si>
  <si>
    <t>Hurricane María tripled stem breaks and doubled tree mortality relative to other major storms</t>
  </si>
  <si>
    <t xml:space="preserve">Combines data collected at the Luquillo Forest Dynamics Plot after three hurricanes. Collected data included DBH, damage type, and mortality. Also measured wood density and specific leaf area. </t>
  </si>
  <si>
    <t>Combines data collected after three different hurricanes at same site</t>
  </si>
  <si>
    <t>Van Bloem et al 2005</t>
  </si>
  <si>
    <t>The influence of Hurricane winds on Caribbean dry forest structure and nutrient pools</t>
  </si>
  <si>
    <t>Collected post-hurricane data from long-term study plots in a tropical dry forest after Hurricane Georges. Multiple plots ranging in sampled area and topography (Table 1). Measured DBH and classified damage: severe structural damage (uprooted, snapped, large branches broken, leaning), defoliated only, and no visible effect. Also estimated per tree defoliation using a set of percentage classes for some trees. Mortality was evaluated at 9 months post-hurricane</t>
  </si>
  <si>
    <t>Vandecar et al 2011</t>
  </si>
  <si>
    <t>High Mortality for Rare Species Following Hurricane Disturbance in the Southern Yucatán</t>
  </si>
  <si>
    <t>Quintana Roo; Campeche</t>
  </si>
  <si>
    <t xml:space="preserve">Used change in NDVI before and after hurricane to help stratify study sites by potential damage (four levels). Set up 91 sample locations with one 5 x 100 m plot at each location. Within each plot recorded dbh, species, height, and damage type: none, small brnach damage, major branch damage, bent stem, snapped stem, tree uprooted, and dead (no signs of sprouting). Analyzed data based on the maximum type of damage per stem at the plot level. Wood density data from other sources. </t>
  </si>
  <si>
    <t>Vandecar et al 2011; McGroddy et al 2013</t>
  </si>
  <si>
    <t>High Mortality for Rare Species Following Hurricane Disturbance in the Southern Yucatán; Damage patterns after Hurricane Dean in the southern Yucatán: Has human activity resulted in more resilient forests?</t>
  </si>
  <si>
    <t>Combined two papers together that use the same site but have different analyses for the predictors dataset</t>
  </si>
  <si>
    <t>Vozmishcheva et al 2019</t>
  </si>
  <si>
    <t>Strong disturbance impact of Tropical Cyclone Lionrock (2016) on Korean Pine-Broadleaved forest in the Middle Sikhote-Alin Mountain Range, Russian Far East</t>
  </si>
  <si>
    <t>Russia</t>
  </si>
  <si>
    <t xml:space="preserve">Evaluated typhoon damage in a 100x100 m forest plot in an old growth forest in far east Russia. A second nearby plot exhibiting no damage that had long-term records was used for comparison of mortality rates. Recorded height and DBH for every tree as well as mortality status and cause of mortality (uprooted or snapped). </t>
  </si>
  <si>
    <t>Webb et al 2014</t>
  </si>
  <si>
    <t>Factors Affecting Tropical Tree Damage and Survival after Catastrophic Wind Disturbance</t>
  </si>
  <si>
    <t>American Samoa</t>
  </si>
  <si>
    <t xml:space="preserve">Surveyed cyclone damage on a set of permanent plots established in forests with different usage histories (50x200 m). Measured dbh, height, recorded location and damage type: severe damage (uprooted on ground or leaning more htan 45 degrees, or snapped), minor damage (leaning or crown loss). Returned to plots multiple times to assess long-term survival. Measured wood density and growth rates. </t>
  </si>
  <si>
    <t>Wiersma et al 2012</t>
  </si>
  <si>
    <t>Hurricane igor impacts at northern latitudes: Factors influencing tree fall in an urban setting</t>
  </si>
  <si>
    <t>Canada</t>
  </si>
  <si>
    <t>Newfoundland</t>
  </si>
  <si>
    <t xml:space="preserve">Recorded randomly selected fallen, uprooted or snapped trees as well as the nearest standing tree. Measured species, height, DBH, slenderness, age, root depth/diameter (uprooted trees), native/non-native, coniferous/deciduous </t>
  </si>
  <si>
    <t>only 70 trees in study; stats method would have benefitted from more rigorous model selection approach</t>
  </si>
  <si>
    <t>Xi 2005</t>
  </si>
  <si>
    <t>FOREST RESPONSE TO NATURAL DISTURBANCE: CHANGES IN STRUCTURE AND DIVERSITY ON A NORTH CAROLINA PIEDMONT FOREST IN RESPONSE TO CATASTROPHIC WIND EVENTS</t>
  </si>
  <si>
    <t xml:space="preserve">Studied short and long-term hurricanes impacts on a Piedmont forest in North Carolina with long-term study plots. Recorded vitality, diameter, height, survival. Damage classification included: uprooting (none, partial, complete), breakage (none and several percent categories of canopy loss), leaning (none, over 10%, supported by another tree, on the ground), and leaned on (none, upright, supporting a tree, bent, pinned). Simplified damage observations into score from 0 to 3 with 3 = severe damage (i.e. uprooted, most canopy lost, on the ground). </t>
  </si>
  <si>
    <t>Xi et al 2008</t>
  </si>
  <si>
    <t>Tree damage risk factors associated with large, infrequent wind disturbances of Carolina forests</t>
  </si>
  <si>
    <t>Report on a set of studies on hurricane and tornado damage conducted at multiple locations in North and South Carolina to assess important factors for predicting damage at the stand, landscape, and regional level. Each study had slightly different data collection procedures. More details in bibiography. All data collected at tree level. Info in this spreadsheet based on Duke Forest</t>
  </si>
  <si>
    <t>Presents analyses from three separate sets of data</t>
  </si>
  <si>
    <t>Zampieri et al 2020</t>
  </si>
  <si>
    <t>The impact of Hurricane Michael on longleaf pine habitats in Florida</t>
  </si>
  <si>
    <t xml:space="preserve">Assessed storm damage in two longleaf pine habitat types that were part of a long-term study. Used modified variable area transects. Split population into four size classes. Within transects, recorded tree location, dbh, and distance to further tree from baseline transect. After hurricane recorded damage type: no damage, minor damage, partial uprooted, uprooted, snapped, moderate to marjor crown damage (plus percent canopy loss). </t>
  </si>
  <si>
    <t>variable transect sizes</t>
  </si>
  <si>
    <t>Zimmerman et al 1994</t>
  </si>
  <si>
    <t>Responses of Tree Species to Hurricane Winds in Subtropical Wet Forest in Puerto Rico: Implications for Tropical Tree Life Histories</t>
  </si>
  <si>
    <t>Divided a 400 ha study area into quadrats and recorded DBH, tree posture (standing, leaning, fallen), and damage (uprooted, broken stem, stem broken at ground level, bent, undamaged), branch damage</t>
  </si>
  <si>
    <t>Rivas-Cooper 1999</t>
  </si>
  <si>
    <t>Impacto del Huracán Mitch en rodales intervenidos y no intervenidos, en tres sitios de la Zona Norte de Honduras</t>
  </si>
  <si>
    <t>Spanish</t>
  </si>
  <si>
    <t>Honduras</t>
  </si>
  <si>
    <t>Atlantida</t>
  </si>
  <si>
    <t xml:space="preserve">Compared forest structure and damage between managed forests (with regular harvests) and natural forests. Three managed forests were selected and two sites were included for each one;  an intervention area and no intervention area (natural forest). Working along transects, they recorded DBH, height class, the number of trees without damage, defoliated tree, with broken branches, with broken trunks, uprooted, partial leanings, logging trees, canopy area, and exposed root mass. </t>
  </si>
  <si>
    <t>Vandermeer et al 1990</t>
  </si>
  <si>
    <t>Regeneración inicial en una selva tropical en la costa caribeña de Nicaragua después del huracán Juana</t>
  </si>
  <si>
    <t>South Caribbean Coast Autonomous Region</t>
  </si>
  <si>
    <r>
      <t xml:space="preserve">Recorded tree condition and size in a set of monitoring plots near the coast of Nicaragua after a hurricane. Six different sites in the region, though only two of which were used for long-term monitoring and were quantitatively assessed (Las Delicias and La Bodega). Sites are pretty far apart, do not recommend speparating them.  Recorded species, location, trunk diameter, height, if the tree was fallen, broken, or standing, </t>
    </r>
    <r>
      <rPr>
        <sz val="11"/>
        <color rgb="FFFF0000"/>
        <rFont val="Calibri"/>
        <family val="2"/>
      </rPr>
      <t>tree resprouting or not</t>
    </r>
    <r>
      <rPr>
        <sz val="11"/>
        <color theme="1"/>
        <rFont val="Calibri"/>
        <family val="2"/>
        <scheme val="minor"/>
      </rPr>
      <t xml:space="preserve">.  </t>
    </r>
    <r>
      <rPr>
        <sz val="11"/>
        <color rgb="FFFF0000"/>
        <rFont val="Calibri"/>
        <family val="2"/>
      </rPr>
      <t>Palms species, its location, height, number of trunks, if the palm was dead or alive were also recorded.</t>
    </r>
  </si>
  <si>
    <t xml:space="preserve">Four plot names are given Cuadro 2, but only two correspond to the sites listed in the methods section. Unclear if their data can be combined. </t>
  </si>
  <si>
    <t>Ruiz and Fandino 2010</t>
  </si>
  <si>
    <t>The impact of Hurricane Beta on the forests of Providencia Island, Colombia, Southwest Caribbean</t>
  </si>
  <si>
    <t>Spanish; English</t>
  </si>
  <si>
    <t>Colombia</t>
  </si>
  <si>
    <t>San Andrés, Providencia, and Santa Catalina</t>
  </si>
  <si>
    <t>Remeasured 11 long-term study plots following a hurricane. Recorded DBH and height.</t>
  </si>
  <si>
    <t>File Name:</t>
  </si>
  <si>
    <t>Wind_resistance_methods.xlsx</t>
  </si>
  <si>
    <t>Date Created:</t>
  </si>
  <si>
    <t>Project:</t>
  </si>
  <si>
    <t>UFL Hurricanes Wind Resistance Study</t>
  </si>
  <si>
    <t>Description:</t>
  </si>
  <si>
    <t>Contains summary of methodology used by papers included in the wind resistance predictors and species literature review studies</t>
  </si>
  <si>
    <t>Contact:</t>
  </si>
  <si>
    <t>Andrew Koeser (akoeser@ufl.edu), Richard Hauer (rhauer@uwsp.edu ), Allyson Salisbury (allyson.salisbury@gmail.com)</t>
  </si>
  <si>
    <t>Permission:</t>
  </si>
  <si>
    <t>Data may not be reused without permission from authors</t>
  </si>
  <si>
    <t>Data</t>
  </si>
  <si>
    <t>Sheet contains information about each study collected for the literature view</t>
  </si>
  <si>
    <t>Leftovers</t>
  </si>
  <si>
    <t>Sheet contains information about studies that were initially included but later removed from the analysis datasets</t>
  </si>
  <si>
    <t>Column Name</t>
  </si>
  <si>
    <t>Description</t>
  </si>
  <si>
    <t>Key Field - Author and year of the study about wind effects on trees</t>
  </si>
  <si>
    <t>Title of paper</t>
  </si>
  <si>
    <t>Country or countries where studies were located</t>
  </si>
  <si>
    <t>The state, territory, prefecture, etc. where studies were located</t>
  </si>
  <si>
    <t>The ocean region where studies were located (based on https://www.r-bloggers.com/2019/08/noaastorms-r-package-now-supports-noaa-ibtracs-v4/)</t>
  </si>
  <si>
    <t>The minimum diameter at breast height (DBH) that was measured in the study (most generally used in rural forest studies)</t>
  </si>
  <si>
    <t>Time elapsed between the occurence of the tropical cyclone and the time when data was collected</t>
  </si>
  <si>
    <t>Short description of methodology</t>
  </si>
  <si>
    <t>Longer description of methodology</t>
  </si>
  <si>
    <t>Classification as urban (located in a city or town) or rural (not located in a city or town)</t>
  </si>
  <si>
    <t>Classification as urband or rural and managed (e.g., a plantation, active harvesting or burning regime) or unmanaged (no or minimal forest management)</t>
  </si>
  <si>
    <t xml:space="preserve">Study plots were set up for data collection prior to the tropical cyclone of interest to the study's occurrence </t>
  </si>
  <si>
    <t>The total number of plots used in the study added across study sites</t>
  </si>
  <si>
    <t>The number of sites or locations used in the study</t>
  </si>
  <si>
    <t>The total area of plots used in the study (only applies to studies using area based sampling methods)</t>
  </si>
  <si>
    <t xml:space="preserve">The difference between primary (caused by the hurricane directly) and secondary (caused by another tree) damage. Yes = differentiates between primary and secondary damage. No = does not differentiate between primary and secondary damage. Not reported = study does not discuss primary and secondary damage. </t>
  </si>
  <si>
    <t>Latitude of study location (single site or a location in the middle of a large study area)</t>
  </si>
  <si>
    <t>Longitude of study location</t>
  </si>
  <si>
    <t>Latitude of northwest corner of study area bounding box</t>
  </si>
  <si>
    <t>Longtitude of northwest corner of study area bounding box</t>
  </si>
  <si>
    <t>Latitude of southwest corner of study area bounding box</t>
  </si>
  <si>
    <t>Longitude of southwest corner of study area bounding box</t>
  </si>
  <si>
    <t>Other notes about study</t>
  </si>
  <si>
    <t>Articles about sites that were also used in other papers</t>
  </si>
  <si>
    <t>State</t>
  </si>
  <si>
    <t>Percent_denominator</t>
  </si>
  <si>
    <t>Time_Since_Hurricane</t>
  </si>
  <si>
    <t>Bellingham et al 1994</t>
  </si>
  <si>
    <t>Sprouting of Trees in Jamaican Montane Forests, after a Hurricane</t>
  </si>
  <si>
    <t>All trees</t>
  </si>
  <si>
    <t>5-41 months</t>
  </si>
  <si>
    <t xml:space="preserve">Observed damaged and undamaged stems in a tropical montane forest following a hurricane. Living damaged stems classified as 1) broken stems with complete crown loss, 2) partial breakage of crown, 3) uprooted, 4) completely defoliated. Analyzed species with more than 10 damaged stems and more than 20 defoliated stems. </t>
  </si>
  <si>
    <t>methods mentions different types of damage, but results are only presented as one category</t>
  </si>
  <si>
    <t>Duryea 1998</t>
  </si>
  <si>
    <t>Wind and Trees: Surveys of Tree Damage in the Florida Panhandle after Hurricanes Erin and Opal</t>
  </si>
  <si>
    <t>3 days</t>
  </si>
  <si>
    <t xml:space="preserve">Researchers surveyed trees through transects of neighborhoods immediately following several hurricanes. They recorded tree status (standing, leaning, broken, or uprooted), property damage, and crown damage. </t>
  </si>
  <si>
    <t>Does not explicitly state if neighborhood transects were randomly selected</t>
  </si>
  <si>
    <t>Ferriter et al 2011</t>
  </si>
  <si>
    <t>Trying to Reason with Hurricane Season a look at post-storm tree damage on Sanibel Island, Florida</t>
  </si>
  <si>
    <t xml:space="preserve">Surveyed tree damage on a densely populated barrier island in Florida. Used aerial surveys to assess damage to Australian pine (3 categories). Then did a ground survey along major roads to record species, damage type, broken branch size, DBH, height of snapped trunk, habitat type, natural or landscaped, estiamted damage to canopy. </t>
  </si>
  <si>
    <t>Urban and Rural</t>
  </si>
  <si>
    <t>Article says the study collected a bunch of data, but that isn't reported</t>
  </si>
  <si>
    <t>Keeland and Gorham 2009</t>
  </si>
  <si>
    <t>Delayed tree mortality in the Atchafalaya Basin of Southern Louisiana following Hurricane Andrew</t>
  </si>
  <si>
    <t>10 months</t>
  </si>
  <si>
    <t xml:space="preserve">Surveyed forested wetland plots following Hurricane Andrew in Louisiana. Measured DBH, crown class, viablity status, damage type, and sprouting response. Damage classes: minor(bent, leaning, branch loss, defoliation, or no damage), snapped stems, adn up-rooted stems. </t>
  </si>
  <si>
    <t>Basnet 1993</t>
  </si>
  <si>
    <t>Recovery of a Tropical Rain Forest after Hurricane Damage</t>
  </si>
  <si>
    <t>2 months</t>
  </si>
  <si>
    <t>Surveyed permanent forest transects after Hurricane Hugo in the Luquillo Experimental Forest in Puerto Rico.  Categorized trees as 1) standing defoliated, 2) broken branches, 3) broken stem, 4) uprooted and broken .</t>
  </si>
  <si>
    <t>Canham et al 2010</t>
  </si>
  <si>
    <t>Variation in susceptibility to hurricane damage as a function of storm intensity in Puerto Rican tree species</t>
  </si>
  <si>
    <t>5 months</t>
  </si>
  <si>
    <t>Direct observations post storm; model development tree susceptibility to damage</t>
  </si>
  <si>
    <t xml:space="preserve">Inventory of trees in a long term forest research plot after Hurricanes Hugo and Georges. Recorded damage as 1) none or light (&lt;25% crown lost), 2) partial crown damage (between 25 an 100% lost0, 3) complete crown los from broken stem, root failure, or tip up. Also measured DBH. Treated data from two storms as independent. </t>
  </si>
  <si>
    <t>Batke et al 2014</t>
  </si>
  <si>
    <t>Modelling hurricane exposure and wind speed on a mesoclimate scale: A case study from Cusuco NP, Honduras</t>
  </si>
  <si>
    <t>not applicable</t>
  </si>
  <si>
    <t>Modeled hurricane wind fields</t>
  </si>
  <si>
    <t xml:space="preserve">Using modelled wind fields from hurricanes, created a hurricane exposure vulnerability site score (EVSS) to assess hurricane risk in a forest based on meteorological and landscape factors. Tested EVSS system against observations of branch damage. </t>
  </si>
  <si>
    <t>Combines observations from multiple hurricanes, ground based data collection was not tied to a single hurricane event</t>
  </si>
  <si>
    <t>Van Bloem et al 2006</t>
  </si>
  <si>
    <t>Structural response of Caribbean dry forests to hurricane winds: A case study from Guánica Forest, Puerto Rico</t>
  </si>
  <si>
    <t>1 week</t>
  </si>
  <si>
    <t xml:space="preserve">Collected post-hurricane data from long-term study plots in a tropical dry forest after Hurricane Georges. Multiple plots ranging from 0.01 to 1 ha. Measured DBH and classified trees as having major structural damage (snapping, uprooting, leaning, large branch loss), defoliated, or not visibility affected. </t>
  </si>
  <si>
    <t>Gilman et al 2008</t>
  </si>
  <si>
    <t>Pruning affects tree movement in hurricane force wind</t>
  </si>
  <si>
    <t>Experiment testing wind effects</t>
  </si>
  <si>
    <t>Tested the effects of four pruning treatments on the response of Quercus virginiana trees to wind in an experimental set up. Pruning treatments: crown raised, reduced, thinned, and nonpruned (based on ANSI Tree Care Operations). Max wind speed: 110 mph.</t>
  </si>
  <si>
    <t>Kupfer et al 2008</t>
  </si>
  <si>
    <t>Patterns of Forest Damage in a Southern Mississippi Landscape Caused by Hurricane Katrina</t>
  </si>
  <si>
    <t>Aerial photo classification</t>
  </si>
  <si>
    <t>Used aerial photography to assign damage classification (scale of 1 to 4) to randomly selected forest points. Supplemented random aerial photo points with a set of on the ground observations. Analyzed predictive factors using classfication tree analysis</t>
  </si>
  <si>
    <t>Hook et al 1992</t>
  </si>
  <si>
    <t>Impact of Hurricane Hugo on the South Carolina Coastal Plain Forest</t>
  </si>
  <si>
    <t xml:space="preserve">After a hurricane hit a set of long term forest study plots, researchers surveyd damaged trees and recorded condition classes: 1) no damage, 2) broken stem (below base of live crown), 3) broken top (broken above base of live crown), 4) leaning more than 45 degrees, 5) leaning 30-45 degrees, 6) leaning 5-30 degrees, and 7 uprooted. </t>
  </si>
  <si>
    <t>Table 2 data is reported to be results of "incomplete" survey - not having any luck tracking down a complete version of the data in this form. Recommend excluding. Only surveyed trees between 12.7 and 50.8 cm, excluded largers size classes.</t>
  </si>
  <si>
    <t>Sheffield and Thompson 1992</t>
  </si>
  <si>
    <t>Hurricane Hugo effects on South Carolina's forest resource</t>
  </si>
  <si>
    <t xml:space="preserve">Resampled FIA plots in South Carolina following Hurricane Hugo. Differentiated between trees killed by hurricane and trees dying from other causes. Also recorded percent of crowm missing, lean and bend, root damage, degree of damage to tree bole, and salt burn for living trees. Also classified trees based on their probability of dying in the future. </t>
  </si>
  <si>
    <t>Nelson et al 2022</t>
  </si>
  <si>
    <t>The impact of visual defects and neighboring trees on wind-related tree failures</t>
  </si>
  <si>
    <t xml:space="preserve">Repeated a tree inventory in three Tampa, FL neighborhoods. Inventory data collection included the presence of defects and likelihood of failure raiting. The post-hurricane inventory classified trees as standing, branch failure, or whole tree failure. Also used landcover raster data to assess potential sheltering effects of buildings and other trees within a 10 m radius. </t>
  </si>
  <si>
    <t>Torres-Martinez et al 2021</t>
  </si>
  <si>
    <t>Drivers of hurricane structural effects and mortality for urban trees in a community of San Juan, Puerto Rico</t>
  </si>
  <si>
    <t xml:space="preserve">Revisited a set of i-Tree Eco plots in a San Juan neighborhood after both Hurricane Irma and Maria. Assessed 60 trees. Recorded uprooted, fallen, broken bole, broken branches, and no effects. </t>
  </si>
  <si>
    <t>Japanese; English</t>
  </si>
  <si>
    <t>Oita</t>
  </si>
  <si>
    <t>Kitagawa et al 2010</t>
  </si>
  <si>
    <t>Wind profiles and mechanical resistance of uprooted trees in a Japanese cypress (Chamaecyparis obtusa) plantation slightly damaged by Typhoon Melor 0918 at Kamiatago Experimental Forest, Tenryu, Japan: Validity of mechanistic models for wind damage risks</t>
  </si>
  <si>
    <t>Nagano</t>
  </si>
  <si>
    <t>Measured tree size following typhoon damage in a set of plots that had been set up to study gap dynamics</t>
  </si>
  <si>
    <t>Isamoto and Takmiya 1992</t>
  </si>
  <si>
    <t>Factor analysis of forest damages in Oita prefecture by Typhoon 19th (1991.9)</t>
  </si>
  <si>
    <t>Japanese</t>
  </si>
  <si>
    <t>Visual observation on the site. Type of damage (broken stem or uprooting). Other factors (Size of tree, species and variety, forest age, interval of trees, management history, location, direction of fallen trees, condition of forest edges, condition of root of uprooting trees)</t>
  </si>
  <si>
    <t>Additional background in https://www.pref.oita.jp/uploaded/attachment/140905.pdf</t>
  </si>
  <si>
    <t>Sato et al 2009</t>
  </si>
  <si>
    <t>Analysis of windthrow factors in windbreaks: in the case of bibai, Hokkaido by Typhoon No. 18 in 2004</t>
  </si>
  <si>
    <t>Hokkaido</t>
  </si>
  <si>
    <t>Visual observation on the site. Type of damage (broken stem or uprooting). Other (soil survey)</t>
  </si>
  <si>
    <t>Tabata et al 2020</t>
  </si>
  <si>
    <t>Characteristics of Large-scale Typhoon Damages to Major Tree Species in Tadasu-No-Mori Forest, Shimogamo-Jinja Shrine</t>
  </si>
  <si>
    <t>Kyoto</t>
  </si>
  <si>
    <t>Visual observation on the site. Type of damage (broken stem or uprooting or broken branch). analysed the cause with species, DBH, height, competition index</t>
  </si>
  <si>
    <t>Nakamura 2021</t>
  </si>
  <si>
    <t>Relationship between snapping stems and modules of rupture of damaged trees by the typhoon in an urban green space</t>
  </si>
  <si>
    <t>Osaka</t>
  </si>
  <si>
    <t xml:space="preserve">Taking picture of the trees. Uprooting, tilting, broken base of stem, broken stem, broken branch). </t>
  </si>
  <si>
    <t>Williams Linera et al 2021</t>
  </si>
  <si>
    <t>Tree damage, growth and phenology after a hurricane in a tropical dry forest in Veracruz</t>
  </si>
  <si>
    <t>Veracruz</t>
  </si>
  <si>
    <t xml:space="preserve">Part of a long-term phenolgy study of a dry tropical forest. Recorded DBH and the number of trees that were uprooted, bent, broken, and dead. Also tracked flowering and fruiting phenology before and after the hurricane. </t>
  </si>
  <si>
    <t>Wang et al 2000</t>
  </si>
  <si>
    <t>The investigation and counter measures of landscape trees in the 9914# typhoon in Xiamen</t>
  </si>
  <si>
    <t>Observed street tree damage following a typhoon. Lodging = fallen or broken tree.</t>
  </si>
  <si>
    <t>Rodriguez-Robles et al 1990</t>
  </si>
  <si>
    <t>Host distribution and hurricane damgae to an orchid population at Toro Negro Forest, Puerto Rico</t>
  </si>
  <si>
    <t xml:space="preserve">Evaluated damage to epiphytic orchids following a hurricane. Also recorded damage to host trees with their support diameter, defoliation, breakage, trunk snapping, and uprooting. </t>
  </si>
  <si>
    <t>IBTRaCS</t>
  </si>
  <si>
    <t>INIKI</t>
  </si>
  <si>
    <t>HUGO</t>
  </si>
  <si>
    <t>KATE</t>
  </si>
  <si>
    <t>YANCY</t>
  </si>
  <si>
    <t>ISA</t>
  </si>
  <si>
    <t>FRAN</t>
  </si>
  <si>
    <t>KATRINA</t>
  </si>
  <si>
    <t>LARRY</t>
  </si>
  <si>
    <t>ANDREW</t>
  </si>
  <si>
    <t>MULTIPLE</t>
  </si>
  <si>
    <t>OFA</t>
  </si>
  <si>
    <t>GEORGES</t>
  </si>
  <si>
    <t>WAKA</t>
  </si>
  <si>
    <t>IRMA</t>
  </si>
  <si>
    <t>OPAL</t>
  </si>
  <si>
    <t>MERANTI</t>
  </si>
  <si>
    <t>RITA</t>
  </si>
  <si>
    <t>UTOR</t>
  </si>
  <si>
    <t>MIREILLE</t>
  </si>
  <si>
    <t>MATTHEW</t>
  </si>
  <si>
    <t>HUDHUD</t>
  </si>
  <si>
    <t>ISABEL</t>
  </si>
  <si>
    <t>MANGKHUT</t>
  </si>
  <si>
    <t>WILMA</t>
  </si>
  <si>
    <t>JEBI</t>
  </si>
  <si>
    <t>ELINE:LEONE</t>
  </si>
  <si>
    <t>MITCH</t>
  </si>
  <si>
    <t>MICHAEL</t>
  </si>
  <si>
    <t>GILBERT</t>
  </si>
  <si>
    <t>SONGDA</t>
  </si>
  <si>
    <t>THANE</t>
  </si>
  <si>
    <t>MALOU</t>
  </si>
  <si>
    <t>DEAN</t>
  </si>
  <si>
    <t>JOAN:MIRIAM</t>
  </si>
  <si>
    <t>DAN</t>
  </si>
  <si>
    <t>OLAF</t>
  </si>
  <si>
    <t>KARL</t>
  </si>
  <si>
    <t>DAMREY</t>
  </si>
  <si>
    <t>KAI-TAK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</si>
</sst>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font>
    <font>
      <sz val="11"/>
      <color rgb="FF444444"/>
      <name val="Calibri"/>
      <family val="2"/>
      <charset val="1"/>
    </font>
    <font>
      <sz val="11"/>
      <color rgb="FF000000"/>
      <name val="Calibri"/>
      <family val="2"/>
    </font>
    <font>
      <sz val="11"/>
      <color theme="1"/>
      <name val="Calibri"/>
      <family val="2"/>
    </font>
    <font>
      <sz val="11"/>
      <color rgb="FFFF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14" fontId="0" fillId="0" borderId="0" xfId="0" applyNumberFormat="1"/>
    <xf numFmtId="0" fontId="1" fillId="0" borderId="0" xfId="0" applyFont="1"/>
    <xf numFmtId="1" fontId="0" fillId="0" borderId="0" xfId="0" applyNumberFormat="1"/>
    <xf numFmtId="0" fontId="2" fillId="0" borderId="0" xfId="0" applyFont="1"/>
    <xf numFmtId="0" fontId="3" fillId="0" borderId="0" xfId="0" applyFont="1"/>
    <xf numFmtId="17" fontId="0" fillId="0" borderId="0" xfId="0" applyNumberFormat="1"/>
    <xf numFmtId="2" fontId="0" fillId="0" borderId="0" xfId="0" applyNumberFormat="1"/>
    <xf numFmtId="0" fontId="4" fillId="0" borderId="0" xfId="0" applyFont="1" applyAlignment="1">
      <alignment readingOrder="1"/>
    </xf>
  </cellXfs>
  <cellStyles count="1">
    <cellStyle name="Normal" xfId="0" builtinId="0"/>
  </cellStyles>
  <dxfs count="1">
    <dxf>
      <fill>
        <patternFill patternType="none">
          <fgColor indexed="64"/>
          <bgColor indexed="6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7"/>
  <sheetViews>
    <sheetView tabSelected="1" zoomScaleNormal="100" workbookViewId="0">
      <pane xSplit="1" ySplit="2" topLeftCell="L72" activePane="bottomRight" state="frozen"/>
      <selection pane="topRight"/>
      <selection pane="bottomLeft"/>
      <selection pane="bottomRight" activeCell="S74" sqref="S74"/>
    </sheetView>
  </sheetViews>
  <sheetFormatPr defaultRowHeight="15" x14ac:dyDescent="0.25"/>
  <cols>
    <col min="1" max="1" width="24" customWidth="1"/>
    <col min="2" max="7" width="23.85546875" customWidth="1"/>
    <col min="8" max="8" width="23.85546875" style="8" customWidth="1"/>
    <col min="9" max="9" width="30.85546875" customWidth="1"/>
    <col min="10" max="10" width="53.140625" style="1" customWidth="1"/>
    <col min="11" max="17" width="14.5703125" customWidth="1"/>
    <col min="18" max="18" width="15.7109375" customWidth="1"/>
    <col min="19" max="19" width="30.85546875" customWidth="1"/>
    <col min="20" max="20" width="9.28515625" bestFit="1" customWidth="1"/>
    <col min="22" max="22" width="16.7109375" customWidth="1"/>
    <col min="24" max="28" width="21.28515625" customWidth="1"/>
    <col min="30" max="30" width="37.5703125" customWidth="1"/>
  </cols>
  <sheetData>
    <row r="1" spans="1:30" x14ac:dyDescent="0.25">
      <c r="J1"/>
      <c r="X1" t="s">
        <v>0</v>
      </c>
      <c r="Y1" t="s">
        <v>1</v>
      </c>
      <c r="Z1" t="s">
        <v>2</v>
      </c>
      <c r="AA1" t="s">
        <v>3</v>
      </c>
      <c r="AB1" t="s">
        <v>4</v>
      </c>
    </row>
    <row r="2" spans="1:30" ht="60" x14ac:dyDescent="0.25">
      <c r="A2" t="s">
        <v>5</v>
      </c>
      <c r="B2" t="s">
        <v>6</v>
      </c>
      <c r="C2" t="s">
        <v>7</v>
      </c>
      <c r="D2" t="s">
        <v>8</v>
      </c>
      <c r="E2" t="s">
        <v>9</v>
      </c>
      <c r="F2" t="s">
        <v>10</v>
      </c>
      <c r="G2" t="s">
        <v>11</v>
      </c>
      <c r="H2" s="8" t="s">
        <v>12</v>
      </c>
      <c r="I2" s="1" t="s">
        <v>13</v>
      </c>
      <c r="J2" s="1" t="s">
        <v>14</v>
      </c>
      <c r="K2" s="1" t="s">
        <v>15</v>
      </c>
      <c r="L2" s="1" t="s">
        <v>16</v>
      </c>
      <c r="M2" s="1" t="s">
        <v>17</v>
      </c>
      <c r="N2" s="1" t="s">
        <v>18</v>
      </c>
      <c r="O2" s="1" t="s">
        <v>19</v>
      </c>
      <c r="P2" s="1" t="s">
        <v>20</v>
      </c>
      <c r="Q2" s="1" t="s">
        <v>21</v>
      </c>
      <c r="R2" s="1" t="s">
        <v>22</v>
      </c>
      <c r="S2" t="s">
        <v>23</v>
      </c>
      <c r="T2" t="s">
        <v>24</v>
      </c>
      <c r="U2" t="s">
        <v>25</v>
      </c>
      <c r="V2" t="s">
        <v>26</v>
      </c>
      <c r="W2" s="3" t="s">
        <v>27</v>
      </c>
      <c r="X2" s="1" t="s">
        <v>28</v>
      </c>
      <c r="Y2" s="1" t="s">
        <v>29</v>
      </c>
      <c r="Z2" s="1" t="s">
        <v>30</v>
      </c>
      <c r="AA2" s="1" t="s">
        <v>31</v>
      </c>
      <c r="AB2" s="1" t="s">
        <v>32</v>
      </c>
      <c r="AC2" t="s">
        <v>33</v>
      </c>
      <c r="AD2" s="1" t="s">
        <v>575</v>
      </c>
    </row>
    <row r="3" spans="1:30" ht="120" x14ac:dyDescent="0.25">
      <c r="A3" t="s">
        <v>75</v>
      </c>
      <c r="B3" t="s">
        <v>76</v>
      </c>
      <c r="C3" t="s">
        <v>77</v>
      </c>
      <c r="D3" t="s">
        <v>78</v>
      </c>
      <c r="E3" t="s">
        <v>79</v>
      </c>
      <c r="F3" s="3" t="s">
        <v>80</v>
      </c>
      <c r="G3">
        <v>10</v>
      </c>
      <c r="H3" s="8">
        <v>8</v>
      </c>
      <c r="I3" s="1" t="s">
        <v>41</v>
      </c>
      <c r="J3" s="1" t="s">
        <v>81</v>
      </c>
      <c r="K3" t="s">
        <v>62</v>
      </c>
      <c r="L3" t="s">
        <v>63</v>
      </c>
      <c r="M3" t="s">
        <v>45</v>
      </c>
      <c r="N3">
        <v>10</v>
      </c>
      <c r="O3">
        <v>1</v>
      </c>
      <c r="P3">
        <f>1*10</f>
        <v>10</v>
      </c>
      <c r="Q3" t="s">
        <v>46</v>
      </c>
      <c r="R3">
        <v>33.827078999999998</v>
      </c>
      <c r="S3" s="6">
        <v>-80.823813999999999</v>
      </c>
      <c r="X3">
        <v>0</v>
      </c>
      <c r="Y3">
        <v>1</v>
      </c>
      <c r="Z3">
        <v>1</v>
      </c>
      <c r="AA3">
        <v>0</v>
      </c>
      <c r="AB3">
        <v>1</v>
      </c>
    </row>
    <row r="4" spans="1:30" ht="90" x14ac:dyDescent="0.25">
      <c r="A4" t="s">
        <v>82</v>
      </c>
      <c r="B4" t="s">
        <v>83</v>
      </c>
      <c r="C4" t="s">
        <v>77</v>
      </c>
      <c r="D4" t="s">
        <v>84</v>
      </c>
      <c r="E4" t="s">
        <v>40</v>
      </c>
      <c r="F4" t="s">
        <v>85</v>
      </c>
      <c r="G4">
        <v>10</v>
      </c>
      <c r="H4" s="8">
        <v>4</v>
      </c>
      <c r="I4" s="1" t="s">
        <v>86</v>
      </c>
      <c r="J4" s="1" t="s">
        <v>87</v>
      </c>
      <c r="K4" t="s">
        <v>62</v>
      </c>
      <c r="L4" t="s">
        <v>63</v>
      </c>
      <c r="M4" t="s">
        <v>45</v>
      </c>
      <c r="N4">
        <v>1</v>
      </c>
      <c r="O4">
        <v>1</v>
      </c>
      <c r="P4">
        <v>2</v>
      </c>
      <c r="Q4" t="s">
        <v>64</v>
      </c>
      <c r="R4">
        <v>22.108888889999999</v>
      </c>
      <c r="S4">
        <v>-159.67222219999999</v>
      </c>
      <c r="X4">
        <v>1</v>
      </c>
      <c r="Y4">
        <v>1</v>
      </c>
      <c r="Z4">
        <v>1</v>
      </c>
      <c r="AA4">
        <v>0</v>
      </c>
      <c r="AB4">
        <v>1</v>
      </c>
      <c r="AD4" t="s">
        <v>576</v>
      </c>
    </row>
    <row r="5" spans="1:30" ht="90" x14ac:dyDescent="0.25">
      <c r="A5" s="5" t="s">
        <v>88</v>
      </c>
      <c r="B5" t="s">
        <v>89</v>
      </c>
      <c r="C5" t="s">
        <v>77</v>
      </c>
      <c r="D5" t="s">
        <v>90</v>
      </c>
      <c r="E5" t="s">
        <v>40</v>
      </c>
      <c r="F5" s="3" t="s">
        <v>80</v>
      </c>
      <c r="G5">
        <v>10</v>
      </c>
      <c r="H5" s="8">
        <v>2</v>
      </c>
      <c r="I5" t="s">
        <v>41</v>
      </c>
      <c r="J5" s="1" t="s">
        <v>91</v>
      </c>
      <c r="K5" t="s">
        <v>62</v>
      </c>
      <c r="L5" t="s">
        <v>63</v>
      </c>
      <c r="M5" t="s">
        <v>64</v>
      </c>
      <c r="N5">
        <v>9</v>
      </c>
      <c r="O5">
        <v>2</v>
      </c>
      <c r="P5">
        <v>3.5000000000000003E-2</v>
      </c>
      <c r="Q5" t="s">
        <v>46</v>
      </c>
      <c r="R5">
        <v>18.3</v>
      </c>
      <c r="S5">
        <v>-65.833333330000002</v>
      </c>
      <c r="X5">
        <v>0</v>
      </c>
      <c r="Y5">
        <v>1</v>
      </c>
      <c r="Z5">
        <v>1</v>
      </c>
      <c r="AA5">
        <v>0</v>
      </c>
      <c r="AB5">
        <v>1</v>
      </c>
      <c r="AD5" t="s">
        <v>577</v>
      </c>
    </row>
    <row r="6" spans="1:30" ht="105" x14ac:dyDescent="0.25">
      <c r="A6" t="s">
        <v>92</v>
      </c>
      <c r="B6" t="s">
        <v>93</v>
      </c>
      <c r="C6" t="s">
        <v>77</v>
      </c>
      <c r="D6" t="s">
        <v>78</v>
      </c>
      <c r="E6" t="s">
        <v>94</v>
      </c>
      <c r="F6" s="3" t="s">
        <v>80</v>
      </c>
      <c r="G6">
        <v>2</v>
      </c>
      <c r="H6" s="8">
        <v>2</v>
      </c>
      <c r="I6" t="s">
        <v>41</v>
      </c>
      <c r="J6" s="1" t="s">
        <v>95</v>
      </c>
      <c r="K6" t="s">
        <v>62</v>
      </c>
      <c r="L6" t="s">
        <v>63</v>
      </c>
      <c r="M6" t="s">
        <v>64</v>
      </c>
      <c r="N6">
        <v>1</v>
      </c>
      <c r="O6">
        <v>1</v>
      </c>
      <c r="P6">
        <v>4.5</v>
      </c>
      <c r="Q6" t="s">
        <v>46</v>
      </c>
      <c r="R6">
        <v>30.583333</v>
      </c>
      <c r="S6">
        <v>-84.333332999999996</v>
      </c>
      <c r="X6">
        <v>1</v>
      </c>
      <c r="Y6">
        <v>1</v>
      </c>
      <c r="Z6">
        <v>0</v>
      </c>
      <c r="AA6">
        <v>0</v>
      </c>
      <c r="AB6">
        <v>0</v>
      </c>
      <c r="AD6" t="s">
        <v>578</v>
      </c>
    </row>
    <row r="7" spans="1:30" ht="105" x14ac:dyDescent="0.25">
      <c r="A7" t="s">
        <v>96</v>
      </c>
      <c r="B7" t="s">
        <v>97</v>
      </c>
      <c r="C7" t="s">
        <v>77</v>
      </c>
      <c r="D7" t="s">
        <v>98</v>
      </c>
      <c r="E7" t="s">
        <v>40</v>
      </c>
      <c r="F7" s="3" t="s">
        <v>80</v>
      </c>
      <c r="G7">
        <v>3</v>
      </c>
      <c r="H7" s="8">
        <v>23</v>
      </c>
      <c r="I7" t="s">
        <v>86</v>
      </c>
      <c r="J7" s="1" t="s">
        <v>99</v>
      </c>
      <c r="K7" t="s">
        <v>62</v>
      </c>
      <c r="L7" t="s">
        <v>63</v>
      </c>
      <c r="M7" t="s">
        <v>64</v>
      </c>
      <c r="N7">
        <f>7+26+16</f>
        <v>49</v>
      </c>
      <c r="O7">
        <v>3</v>
      </c>
      <c r="P7">
        <f>0.49+0.29+0.32</f>
        <v>1.1000000000000001</v>
      </c>
      <c r="Q7" t="s">
        <v>46</v>
      </c>
      <c r="R7">
        <v>18.083333</v>
      </c>
      <c r="S7">
        <v>-76.633332999999993</v>
      </c>
      <c r="X7">
        <v>0</v>
      </c>
      <c r="Y7">
        <v>1</v>
      </c>
      <c r="Z7">
        <v>1</v>
      </c>
      <c r="AA7">
        <v>0</v>
      </c>
      <c r="AB7">
        <v>1</v>
      </c>
    </row>
    <row r="8" spans="1:30" ht="90" x14ac:dyDescent="0.25">
      <c r="A8" t="s">
        <v>100</v>
      </c>
      <c r="B8" t="s">
        <v>101</v>
      </c>
      <c r="C8" t="s">
        <v>77</v>
      </c>
      <c r="D8" t="s">
        <v>102</v>
      </c>
      <c r="E8" t="s">
        <v>103</v>
      </c>
      <c r="F8" s="3" t="s">
        <v>39</v>
      </c>
      <c r="G8">
        <v>2</v>
      </c>
      <c r="H8" s="8">
        <v>2</v>
      </c>
      <c r="I8" t="s">
        <v>41</v>
      </c>
      <c r="J8" s="1" t="s">
        <v>104</v>
      </c>
      <c r="K8" t="s">
        <v>62</v>
      </c>
      <c r="L8" t="s">
        <v>63</v>
      </c>
      <c r="M8" t="s">
        <v>64</v>
      </c>
      <c r="N8">
        <v>44</v>
      </c>
      <c r="O8">
        <v>4</v>
      </c>
      <c r="P8">
        <f>1.53+0.62+0.41</f>
        <v>2.56</v>
      </c>
      <c r="Q8" t="s">
        <v>46</v>
      </c>
      <c r="R8">
        <v>30.338203</v>
      </c>
      <c r="S8" s="5">
        <v>130.40659099999999</v>
      </c>
      <c r="X8">
        <v>1</v>
      </c>
      <c r="Y8">
        <v>1</v>
      </c>
      <c r="Z8">
        <v>1</v>
      </c>
      <c r="AA8">
        <v>0</v>
      </c>
      <c r="AB8">
        <v>1</v>
      </c>
      <c r="AD8" t="s">
        <v>579</v>
      </c>
    </row>
    <row r="9" spans="1:30" ht="75" x14ac:dyDescent="0.25">
      <c r="A9" t="s">
        <v>105</v>
      </c>
      <c r="B9" t="s">
        <v>106</v>
      </c>
      <c r="C9" t="s">
        <v>77</v>
      </c>
      <c r="D9" t="s">
        <v>107</v>
      </c>
      <c r="E9" t="s">
        <v>108</v>
      </c>
      <c r="F9" s="3" t="s">
        <v>80</v>
      </c>
      <c r="G9">
        <v>5</v>
      </c>
      <c r="H9" s="8">
        <v>9</v>
      </c>
      <c r="I9" t="s">
        <v>41</v>
      </c>
      <c r="J9" s="1" t="s">
        <v>109</v>
      </c>
      <c r="K9" t="s">
        <v>62</v>
      </c>
      <c r="L9" t="s">
        <v>63</v>
      </c>
      <c r="M9" t="s">
        <v>45</v>
      </c>
      <c r="N9">
        <v>22</v>
      </c>
      <c r="O9">
        <v>1</v>
      </c>
      <c r="P9">
        <v>0.44</v>
      </c>
      <c r="Q9" t="s">
        <v>46</v>
      </c>
      <c r="R9">
        <v>20.633333329999999</v>
      </c>
      <c r="S9">
        <v>-87.616666670000001</v>
      </c>
      <c r="X9">
        <v>0</v>
      </c>
      <c r="Y9">
        <v>1</v>
      </c>
      <c r="Z9">
        <v>1</v>
      </c>
      <c r="AA9">
        <v>0</v>
      </c>
      <c r="AB9">
        <v>1</v>
      </c>
    </row>
    <row r="10" spans="1:30" ht="45" x14ac:dyDescent="0.25">
      <c r="A10" t="s">
        <v>110</v>
      </c>
      <c r="B10" t="s">
        <v>111</v>
      </c>
      <c r="C10" t="s">
        <v>77</v>
      </c>
      <c r="D10" t="s">
        <v>112</v>
      </c>
      <c r="E10" s="1" t="s">
        <v>113</v>
      </c>
      <c r="F10" s="3" t="s">
        <v>80</v>
      </c>
      <c r="G10">
        <v>5</v>
      </c>
      <c r="H10" s="8">
        <v>4</v>
      </c>
      <c r="I10" t="s">
        <v>41</v>
      </c>
      <c r="J10" s="1" t="s">
        <v>114</v>
      </c>
      <c r="K10" t="s">
        <v>62</v>
      </c>
      <c r="L10" t="s">
        <v>63</v>
      </c>
      <c r="M10" t="s">
        <v>64</v>
      </c>
      <c r="N10">
        <v>10</v>
      </c>
      <c r="O10">
        <v>3</v>
      </c>
      <c r="P10">
        <v>1</v>
      </c>
      <c r="Q10" t="s">
        <v>46</v>
      </c>
      <c r="R10">
        <v>11.883333</v>
      </c>
      <c r="S10">
        <v>-83.966667000000001</v>
      </c>
      <c r="X10">
        <v>0</v>
      </c>
      <c r="Y10">
        <v>1</v>
      </c>
      <c r="Z10">
        <v>1</v>
      </c>
      <c r="AA10">
        <v>0</v>
      </c>
      <c r="AB10">
        <v>1</v>
      </c>
    </row>
    <row r="11" spans="1:30" ht="105" x14ac:dyDescent="0.25">
      <c r="A11" t="s">
        <v>115</v>
      </c>
      <c r="B11" t="s">
        <v>116</v>
      </c>
      <c r="C11" t="s">
        <v>77</v>
      </c>
      <c r="D11" t="s">
        <v>78</v>
      </c>
      <c r="E11" t="s">
        <v>117</v>
      </c>
      <c r="F11" s="3" t="s">
        <v>80</v>
      </c>
      <c r="G11">
        <v>10</v>
      </c>
      <c r="H11" s="8">
        <v>1</v>
      </c>
      <c r="I11" t="s">
        <v>41</v>
      </c>
      <c r="J11" s="1" t="s">
        <v>118</v>
      </c>
      <c r="K11" t="s">
        <v>62</v>
      </c>
      <c r="L11" t="s">
        <v>63</v>
      </c>
      <c r="M11" t="s">
        <v>64</v>
      </c>
      <c r="N11">
        <v>13</v>
      </c>
      <c r="O11">
        <v>7</v>
      </c>
      <c r="P11">
        <v>1.2</v>
      </c>
      <c r="Q11" t="s">
        <v>46</v>
      </c>
      <c r="R11">
        <v>39.21</v>
      </c>
      <c r="S11">
        <v>-77.42</v>
      </c>
      <c r="X11">
        <v>0</v>
      </c>
      <c r="Y11">
        <v>1</v>
      </c>
      <c r="Z11">
        <v>1</v>
      </c>
      <c r="AA11">
        <v>0</v>
      </c>
      <c r="AB11">
        <v>1</v>
      </c>
    </row>
    <row r="12" spans="1:30" ht="60" x14ac:dyDescent="0.25">
      <c r="A12" t="s">
        <v>119</v>
      </c>
      <c r="B12" t="s">
        <v>120</v>
      </c>
      <c r="C12" t="s">
        <v>77</v>
      </c>
      <c r="D12" t="s">
        <v>121</v>
      </c>
      <c r="E12" t="s">
        <v>122</v>
      </c>
      <c r="F12" s="3" t="s">
        <v>123</v>
      </c>
      <c r="G12" t="s">
        <v>40</v>
      </c>
      <c r="H12" s="8">
        <v>2</v>
      </c>
      <c r="I12" t="s">
        <v>41</v>
      </c>
      <c r="J12" s="1" t="s">
        <v>124</v>
      </c>
      <c r="K12" t="s">
        <v>62</v>
      </c>
      <c r="L12" t="s">
        <v>63</v>
      </c>
      <c r="M12" t="s">
        <v>64</v>
      </c>
      <c r="N12">
        <v>2</v>
      </c>
      <c r="O12">
        <v>1</v>
      </c>
      <c r="P12">
        <f>0.132+0.124</f>
        <v>0.25600000000000001</v>
      </c>
      <c r="Q12" t="s">
        <v>46</v>
      </c>
      <c r="R12">
        <v>-11.371229</v>
      </c>
      <c r="S12">
        <v>132.30045100000001</v>
      </c>
      <c r="X12">
        <v>0</v>
      </c>
      <c r="Y12">
        <v>1</v>
      </c>
      <c r="Z12">
        <v>0</v>
      </c>
      <c r="AA12">
        <v>0</v>
      </c>
      <c r="AB12">
        <v>1</v>
      </c>
    </row>
    <row r="13" spans="1:30" ht="45" x14ac:dyDescent="0.25">
      <c r="A13" t="s">
        <v>125</v>
      </c>
      <c r="B13" t="s">
        <v>126</v>
      </c>
      <c r="C13" t="s">
        <v>77</v>
      </c>
      <c r="D13" t="s">
        <v>127</v>
      </c>
      <c r="E13" t="s">
        <v>128</v>
      </c>
      <c r="F13" t="s">
        <v>129</v>
      </c>
      <c r="G13">
        <v>5</v>
      </c>
      <c r="H13" s="8">
        <v>3</v>
      </c>
      <c r="I13" t="s">
        <v>41</v>
      </c>
      <c r="J13" s="1" t="s">
        <v>130</v>
      </c>
      <c r="K13" t="s">
        <v>62</v>
      </c>
      <c r="L13" t="s">
        <v>63</v>
      </c>
      <c r="M13" t="s">
        <v>64</v>
      </c>
      <c r="N13">
        <v>22</v>
      </c>
      <c r="O13">
        <v>5</v>
      </c>
      <c r="P13">
        <v>13.2</v>
      </c>
      <c r="Q13" t="s">
        <v>46</v>
      </c>
      <c r="R13">
        <v>-7.8931609270000003</v>
      </c>
      <c r="S13">
        <v>157.0637577</v>
      </c>
      <c r="X13">
        <v>0</v>
      </c>
      <c r="Y13">
        <v>1</v>
      </c>
      <c r="Z13">
        <v>0</v>
      </c>
      <c r="AA13">
        <v>0</v>
      </c>
      <c r="AB13">
        <v>1</v>
      </c>
      <c r="AD13" t="s">
        <v>580</v>
      </c>
    </row>
    <row r="14" spans="1:30" ht="105" x14ac:dyDescent="0.25">
      <c r="A14" t="s">
        <v>131</v>
      </c>
      <c r="B14" t="s">
        <v>132</v>
      </c>
      <c r="C14" t="s">
        <v>77</v>
      </c>
      <c r="D14" t="s">
        <v>78</v>
      </c>
      <c r="E14" t="s">
        <v>133</v>
      </c>
      <c r="F14" s="3" t="s">
        <v>80</v>
      </c>
      <c r="G14">
        <v>1</v>
      </c>
      <c r="H14" s="8">
        <v>9</v>
      </c>
      <c r="I14" t="s">
        <v>41</v>
      </c>
      <c r="J14" s="1" t="s">
        <v>134</v>
      </c>
      <c r="K14" t="s">
        <v>62</v>
      </c>
      <c r="L14" t="s">
        <v>63</v>
      </c>
      <c r="M14" t="s">
        <v>64</v>
      </c>
      <c r="N14">
        <v>42</v>
      </c>
      <c r="O14">
        <v>1</v>
      </c>
      <c r="P14">
        <f>42*0.1</f>
        <v>4.2</v>
      </c>
      <c r="Q14" t="s">
        <v>46</v>
      </c>
      <c r="R14">
        <v>35.899321559999997</v>
      </c>
      <c r="S14">
        <v>-79.032585740000002</v>
      </c>
      <c r="X14">
        <v>0</v>
      </c>
      <c r="Y14">
        <v>1</v>
      </c>
      <c r="Z14">
        <v>1</v>
      </c>
      <c r="AA14">
        <v>0</v>
      </c>
      <c r="AB14">
        <v>1</v>
      </c>
      <c r="AD14" t="s">
        <v>581</v>
      </c>
    </row>
    <row r="15" spans="1:30" ht="105" x14ac:dyDescent="0.25">
      <c r="A15" t="s">
        <v>135</v>
      </c>
      <c r="B15" t="s">
        <v>136</v>
      </c>
      <c r="C15" t="s">
        <v>77</v>
      </c>
      <c r="D15" t="s">
        <v>121</v>
      </c>
      <c r="E15" t="s">
        <v>137</v>
      </c>
      <c r="F15" s="3" t="s">
        <v>123</v>
      </c>
      <c r="G15">
        <v>2.5</v>
      </c>
      <c r="H15" s="8">
        <v>7</v>
      </c>
      <c r="I15" t="s">
        <v>41</v>
      </c>
      <c r="J15" s="1" t="s">
        <v>138</v>
      </c>
      <c r="K15" t="s">
        <v>62</v>
      </c>
      <c r="L15" t="s">
        <v>63</v>
      </c>
      <c r="M15" t="s">
        <v>64</v>
      </c>
      <c r="N15">
        <v>1</v>
      </c>
      <c r="O15">
        <v>16</v>
      </c>
      <c r="P15" t="s">
        <v>40</v>
      </c>
      <c r="Q15" t="s">
        <v>46</v>
      </c>
      <c r="R15">
        <f>AVERAGE(T15, V15)</f>
        <v>-17.375</v>
      </c>
      <c r="S15">
        <f>AVERAGE(U15, W15)</f>
        <v>145.66666666666669</v>
      </c>
      <c r="T15">
        <f>-(17+15/60)</f>
        <v>-17.25</v>
      </c>
      <c r="U15">
        <f>145+35/60</f>
        <v>145.58333333333334</v>
      </c>
      <c r="V15">
        <f>-(17+30/60)</f>
        <v>-17.5</v>
      </c>
      <c r="W15">
        <f>145+45/60</f>
        <v>145.75</v>
      </c>
      <c r="X15">
        <v>0</v>
      </c>
      <c r="Y15">
        <v>1</v>
      </c>
      <c r="Z15">
        <v>1</v>
      </c>
      <c r="AA15">
        <v>0</v>
      </c>
      <c r="AB15">
        <v>1</v>
      </c>
    </row>
    <row r="16" spans="1:30" ht="150" x14ac:dyDescent="0.25">
      <c r="A16" t="s">
        <v>139</v>
      </c>
      <c r="B16" t="s">
        <v>140</v>
      </c>
      <c r="C16" t="s">
        <v>77</v>
      </c>
      <c r="D16" t="s">
        <v>78</v>
      </c>
      <c r="E16" t="s">
        <v>141</v>
      </c>
      <c r="F16" s="3" t="s">
        <v>80</v>
      </c>
      <c r="G16">
        <v>10</v>
      </c>
      <c r="H16" s="8">
        <v>12</v>
      </c>
      <c r="I16" t="s">
        <v>41</v>
      </c>
      <c r="J16" s="1" t="s">
        <v>142</v>
      </c>
      <c r="K16" t="s">
        <v>62</v>
      </c>
      <c r="L16" t="s">
        <v>63</v>
      </c>
      <c r="M16" t="s">
        <v>64</v>
      </c>
      <c r="N16">
        <v>10</v>
      </c>
      <c r="O16">
        <v>1</v>
      </c>
      <c r="P16">
        <v>0.8</v>
      </c>
      <c r="Q16" t="s">
        <v>143</v>
      </c>
      <c r="R16">
        <v>30.311040999999999</v>
      </c>
      <c r="S16">
        <v>-89.678683000000007</v>
      </c>
      <c r="X16">
        <v>0</v>
      </c>
      <c r="Y16">
        <v>1</v>
      </c>
      <c r="Z16">
        <v>1</v>
      </c>
      <c r="AA16">
        <v>0</v>
      </c>
      <c r="AB16">
        <v>1</v>
      </c>
      <c r="AD16" t="s">
        <v>582</v>
      </c>
    </row>
    <row r="17" spans="1:30" ht="105" x14ac:dyDescent="0.25">
      <c r="A17" t="s">
        <v>144</v>
      </c>
      <c r="B17" t="s">
        <v>145</v>
      </c>
      <c r="C17" t="s">
        <v>77</v>
      </c>
      <c r="D17" t="s">
        <v>121</v>
      </c>
      <c r="E17" t="s">
        <v>137</v>
      </c>
      <c r="F17" s="3" t="s">
        <v>123</v>
      </c>
      <c r="G17">
        <v>10</v>
      </c>
      <c r="H17" s="8">
        <v>1</v>
      </c>
      <c r="I17" t="s">
        <v>41</v>
      </c>
      <c r="J17" s="1" t="s">
        <v>146</v>
      </c>
      <c r="K17" t="s">
        <v>62</v>
      </c>
      <c r="L17" t="s">
        <v>63</v>
      </c>
      <c r="M17" t="s">
        <v>45</v>
      </c>
      <c r="N17">
        <v>5</v>
      </c>
      <c r="O17">
        <v>4</v>
      </c>
      <c r="P17">
        <v>1.04</v>
      </c>
      <c r="Q17" t="s">
        <v>64</v>
      </c>
      <c r="R17">
        <v>-17.283303440000001</v>
      </c>
      <c r="S17">
        <v>145.5731509</v>
      </c>
      <c r="X17">
        <v>0</v>
      </c>
      <c r="Y17">
        <v>1</v>
      </c>
      <c r="Z17">
        <v>1</v>
      </c>
      <c r="AA17">
        <v>0</v>
      </c>
      <c r="AB17">
        <v>1</v>
      </c>
      <c r="AD17" t="s">
        <v>583</v>
      </c>
    </row>
    <row r="18" spans="1:30" ht="90" x14ac:dyDescent="0.25">
      <c r="A18" t="s">
        <v>147</v>
      </c>
      <c r="B18" t="s">
        <v>148</v>
      </c>
      <c r="C18" t="s">
        <v>77</v>
      </c>
      <c r="D18" t="s">
        <v>149</v>
      </c>
      <c r="E18" t="s">
        <v>150</v>
      </c>
      <c r="F18" s="3" t="s">
        <v>151</v>
      </c>
      <c r="G18" t="s">
        <v>40</v>
      </c>
      <c r="H18" s="8">
        <v>1</v>
      </c>
      <c r="I18" t="s">
        <v>41</v>
      </c>
      <c r="J18" s="1" t="s">
        <v>152</v>
      </c>
      <c r="K18" t="s">
        <v>62</v>
      </c>
      <c r="L18" t="s">
        <v>63</v>
      </c>
      <c r="M18" t="s">
        <v>64</v>
      </c>
      <c r="N18">
        <v>1</v>
      </c>
      <c r="O18">
        <v>1</v>
      </c>
      <c r="P18" t="s">
        <v>40</v>
      </c>
      <c r="Q18" t="s">
        <v>46</v>
      </c>
      <c r="R18">
        <v>7.9333330000000002</v>
      </c>
      <c r="S18">
        <v>81</v>
      </c>
      <c r="X18">
        <v>1</v>
      </c>
      <c r="Y18">
        <v>1</v>
      </c>
      <c r="Z18">
        <v>1</v>
      </c>
      <c r="AA18">
        <v>0</v>
      </c>
      <c r="AB18">
        <v>1</v>
      </c>
      <c r="AD18" t="s">
        <v>580</v>
      </c>
    </row>
    <row r="19" spans="1:30" ht="120" x14ac:dyDescent="0.25">
      <c r="A19" t="s">
        <v>153</v>
      </c>
      <c r="B19" t="s">
        <v>154</v>
      </c>
      <c r="C19" t="s">
        <v>77</v>
      </c>
      <c r="D19" t="s">
        <v>78</v>
      </c>
      <c r="E19" t="s">
        <v>141</v>
      </c>
      <c r="F19" s="3" t="s">
        <v>80</v>
      </c>
      <c r="G19">
        <v>2.5</v>
      </c>
      <c r="H19" s="8">
        <v>21</v>
      </c>
      <c r="I19" t="s">
        <v>41</v>
      </c>
      <c r="J19" s="1" t="s">
        <v>155</v>
      </c>
      <c r="K19" t="s">
        <v>62</v>
      </c>
      <c r="L19" t="s">
        <v>63</v>
      </c>
      <c r="M19" t="s">
        <v>45</v>
      </c>
      <c r="N19">
        <v>18</v>
      </c>
      <c r="O19">
        <v>6</v>
      </c>
      <c r="P19">
        <v>4.9000000000000002E-2</v>
      </c>
      <c r="Q19" t="s">
        <v>46</v>
      </c>
      <c r="R19">
        <v>30.153139549999999</v>
      </c>
      <c r="S19">
        <v>-91.540178220000001</v>
      </c>
      <c r="X19">
        <v>1</v>
      </c>
      <c r="Y19">
        <v>1</v>
      </c>
      <c r="Z19">
        <v>1</v>
      </c>
      <c r="AA19">
        <v>0</v>
      </c>
      <c r="AB19">
        <v>1</v>
      </c>
      <c r="AD19" t="s">
        <v>584</v>
      </c>
    </row>
    <row r="20" spans="1:30" ht="165" x14ac:dyDescent="0.25">
      <c r="A20" t="s">
        <v>156</v>
      </c>
      <c r="B20" t="s">
        <v>157</v>
      </c>
      <c r="C20" t="s">
        <v>77</v>
      </c>
      <c r="D20" t="s">
        <v>78</v>
      </c>
      <c r="E20" t="s">
        <v>94</v>
      </c>
      <c r="F20" s="3" t="s">
        <v>80</v>
      </c>
      <c r="G20" t="s">
        <v>40</v>
      </c>
      <c r="H20" s="8">
        <v>0.5</v>
      </c>
      <c r="I20" s="1" t="s">
        <v>158</v>
      </c>
      <c r="J20" s="1" t="s">
        <v>159</v>
      </c>
      <c r="K20" s="1" t="s">
        <v>43</v>
      </c>
      <c r="L20" s="1" t="s">
        <v>44</v>
      </c>
      <c r="M20" s="1" t="s">
        <v>45</v>
      </c>
      <c r="N20" s="1" t="s">
        <v>40</v>
      </c>
      <c r="O20" s="1">
        <v>100</v>
      </c>
      <c r="P20" s="1" t="s">
        <v>40</v>
      </c>
      <c r="Q20" s="1" t="s">
        <v>46</v>
      </c>
      <c r="R20">
        <v>30.425902000000001</v>
      </c>
      <c r="S20">
        <v>-87.220555000000004</v>
      </c>
      <c r="X20">
        <v>1</v>
      </c>
      <c r="Y20">
        <v>1</v>
      </c>
      <c r="Z20">
        <v>1</v>
      </c>
      <c r="AA20">
        <v>0</v>
      </c>
      <c r="AB20">
        <v>1</v>
      </c>
      <c r="AC20" t="s">
        <v>160</v>
      </c>
      <c r="AD20" t="s">
        <v>585</v>
      </c>
    </row>
    <row r="21" spans="1:30" ht="45" x14ac:dyDescent="0.25">
      <c r="A21" t="s">
        <v>161</v>
      </c>
      <c r="B21" t="s">
        <v>162</v>
      </c>
      <c r="C21" t="s">
        <v>77</v>
      </c>
      <c r="D21" t="s">
        <v>78</v>
      </c>
      <c r="E21" t="s">
        <v>94</v>
      </c>
      <c r="F21" s="3" t="s">
        <v>80</v>
      </c>
      <c r="G21" t="s">
        <v>40</v>
      </c>
      <c r="H21" s="8">
        <v>0.5</v>
      </c>
      <c r="I21" s="1" t="s">
        <v>158</v>
      </c>
      <c r="J21" s="1" t="s">
        <v>163</v>
      </c>
      <c r="K21" s="1" t="s">
        <v>43</v>
      </c>
      <c r="L21" s="1" t="s">
        <v>44</v>
      </c>
      <c r="M21" s="1" t="s">
        <v>45</v>
      </c>
      <c r="N21" s="1" t="s">
        <v>40</v>
      </c>
      <c r="O21" s="1" t="s">
        <v>40</v>
      </c>
      <c r="P21" s="1" t="s">
        <v>40</v>
      </c>
      <c r="Q21" s="1" t="s">
        <v>46</v>
      </c>
      <c r="R21">
        <v>25.821047</v>
      </c>
      <c r="S21" s="5">
        <v>-80.258667000000003</v>
      </c>
      <c r="X21">
        <v>1</v>
      </c>
      <c r="Y21">
        <v>1</v>
      </c>
      <c r="Z21">
        <v>1</v>
      </c>
      <c r="AA21">
        <v>0</v>
      </c>
      <c r="AB21">
        <v>1</v>
      </c>
      <c r="AC21" t="s">
        <v>160</v>
      </c>
      <c r="AD21" t="s">
        <v>585</v>
      </c>
    </row>
    <row r="22" spans="1:30" ht="180" x14ac:dyDescent="0.25">
      <c r="A22" t="s">
        <v>164</v>
      </c>
      <c r="B22" t="s">
        <v>165</v>
      </c>
      <c r="C22" t="s">
        <v>77</v>
      </c>
      <c r="D22" t="s">
        <v>78</v>
      </c>
      <c r="E22" t="s">
        <v>94</v>
      </c>
      <c r="F22" s="3" t="s">
        <v>80</v>
      </c>
      <c r="G22" t="s">
        <v>40</v>
      </c>
      <c r="H22" s="8">
        <v>0.5</v>
      </c>
      <c r="I22" s="1" t="s">
        <v>166</v>
      </c>
      <c r="J22" s="1" t="s">
        <v>167</v>
      </c>
      <c r="K22" s="1" t="s">
        <v>43</v>
      </c>
      <c r="L22" s="1" t="s">
        <v>44</v>
      </c>
      <c r="M22" s="1" t="s">
        <v>45</v>
      </c>
      <c r="N22" s="1" t="s">
        <v>40</v>
      </c>
      <c r="O22" s="1">
        <f>26+17+7</f>
        <v>50</v>
      </c>
      <c r="P22" s="1" t="s">
        <v>40</v>
      </c>
      <c r="Q22" s="1" t="s">
        <v>46</v>
      </c>
      <c r="R22">
        <v>25.821047</v>
      </c>
      <c r="S22" s="5">
        <v>-80.258667000000003</v>
      </c>
      <c r="X22" s="4">
        <v>1</v>
      </c>
      <c r="Y22" s="4">
        <v>1</v>
      </c>
      <c r="Z22" s="4">
        <v>1</v>
      </c>
      <c r="AA22" s="4">
        <v>0</v>
      </c>
      <c r="AB22" s="4">
        <v>1</v>
      </c>
      <c r="AC22" t="s">
        <v>160</v>
      </c>
      <c r="AD22" t="s">
        <v>585</v>
      </c>
    </row>
    <row r="23" spans="1:30" ht="90" x14ac:dyDescent="0.25">
      <c r="A23" t="s">
        <v>168</v>
      </c>
      <c r="B23" t="s">
        <v>169</v>
      </c>
      <c r="C23" t="s">
        <v>77</v>
      </c>
      <c r="D23" t="s">
        <v>170</v>
      </c>
      <c r="E23" t="s">
        <v>171</v>
      </c>
      <c r="F23" t="s">
        <v>129</v>
      </c>
      <c r="G23">
        <v>5</v>
      </c>
      <c r="H23" s="8">
        <v>8</v>
      </c>
      <c r="I23" t="s">
        <v>41</v>
      </c>
      <c r="J23" s="1" t="s">
        <v>172</v>
      </c>
      <c r="K23" t="s">
        <v>62</v>
      </c>
      <c r="L23" t="s">
        <v>63</v>
      </c>
      <c r="M23" t="s">
        <v>45</v>
      </c>
      <c r="N23">
        <v>22</v>
      </c>
      <c r="O23">
        <v>1</v>
      </c>
      <c r="P23">
        <v>0.88</v>
      </c>
      <c r="Q23" s="1" t="s">
        <v>46</v>
      </c>
      <c r="R23">
        <v>-13.786535450000001</v>
      </c>
      <c r="S23">
        <v>-172.2504553</v>
      </c>
      <c r="X23">
        <v>0</v>
      </c>
      <c r="Y23">
        <v>1</v>
      </c>
      <c r="Z23">
        <v>1</v>
      </c>
      <c r="AA23">
        <v>0</v>
      </c>
      <c r="AB23">
        <v>1</v>
      </c>
      <c r="AD23" t="s">
        <v>586</v>
      </c>
    </row>
    <row r="24" spans="1:30" ht="90" x14ac:dyDescent="0.25">
      <c r="A24" t="s">
        <v>173</v>
      </c>
      <c r="B24" t="s">
        <v>174</v>
      </c>
      <c r="C24" t="s">
        <v>77</v>
      </c>
      <c r="D24" t="s">
        <v>175</v>
      </c>
      <c r="E24" t="s">
        <v>176</v>
      </c>
      <c r="F24" s="3" t="s">
        <v>80</v>
      </c>
      <c r="G24">
        <v>5</v>
      </c>
      <c r="H24" s="8">
        <v>2</v>
      </c>
      <c r="I24" t="s">
        <v>41</v>
      </c>
      <c r="J24" s="1" t="s">
        <v>177</v>
      </c>
      <c r="K24" t="s">
        <v>62</v>
      </c>
      <c r="L24" t="s">
        <v>63</v>
      </c>
      <c r="M24" t="s">
        <v>45</v>
      </c>
      <c r="N24">
        <f>8+20</f>
        <v>28</v>
      </c>
      <c r="O24">
        <v>2</v>
      </c>
      <c r="P24">
        <v>0.28000000000000003</v>
      </c>
      <c r="Q24" s="1" t="s">
        <v>46</v>
      </c>
      <c r="R24">
        <v>17.633333329999999</v>
      </c>
      <c r="S24">
        <v>-63.233333330000001</v>
      </c>
      <c r="X24">
        <v>0</v>
      </c>
      <c r="Y24">
        <v>1</v>
      </c>
      <c r="Z24">
        <v>1</v>
      </c>
      <c r="AA24">
        <v>0</v>
      </c>
      <c r="AB24">
        <v>1</v>
      </c>
    </row>
    <row r="25" spans="1:30" ht="60" x14ac:dyDescent="0.25">
      <c r="A25" t="s">
        <v>178</v>
      </c>
      <c r="B25" t="s">
        <v>179</v>
      </c>
      <c r="C25" t="s">
        <v>77</v>
      </c>
      <c r="D25" t="s">
        <v>78</v>
      </c>
      <c r="E25" t="s">
        <v>180</v>
      </c>
      <c r="F25" s="3" t="s">
        <v>80</v>
      </c>
      <c r="G25" t="s">
        <v>40</v>
      </c>
      <c r="H25" s="8" t="s">
        <v>40</v>
      </c>
      <c r="I25" t="s">
        <v>41</v>
      </c>
      <c r="J25" s="1" t="s">
        <v>181</v>
      </c>
      <c r="K25" t="s">
        <v>62</v>
      </c>
      <c r="L25" t="s">
        <v>63</v>
      </c>
      <c r="M25" t="s">
        <v>64</v>
      </c>
      <c r="N25">
        <v>115</v>
      </c>
      <c r="O25">
        <v>2</v>
      </c>
      <c r="P25">
        <v>4.5999999999999996</v>
      </c>
      <c r="Q25" t="s">
        <v>46</v>
      </c>
      <c r="R25">
        <v>42.5</v>
      </c>
      <c r="S25">
        <v>-72.166667000000004</v>
      </c>
      <c r="X25">
        <v>0</v>
      </c>
      <c r="Y25">
        <v>1</v>
      </c>
      <c r="Z25">
        <v>1</v>
      </c>
      <c r="AA25">
        <v>0</v>
      </c>
      <c r="AB25">
        <v>1</v>
      </c>
      <c r="AC25" t="s">
        <v>182</v>
      </c>
    </row>
    <row r="26" spans="1:30" ht="120" x14ac:dyDescent="0.25">
      <c r="A26" t="s">
        <v>183</v>
      </c>
      <c r="B26" t="s">
        <v>184</v>
      </c>
      <c r="C26" t="s">
        <v>77</v>
      </c>
      <c r="D26" t="s">
        <v>90</v>
      </c>
      <c r="E26" t="s">
        <v>40</v>
      </c>
      <c r="F26" s="3" t="s">
        <v>80</v>
      </c>
      <c r="G26" t="s">
        <v>40</v>
      </c>
      <c r="H26" s="8">
        <v>0.5</v>
      </c>
      <c r="I26" s="1" t="s">
        <v>41</v>
      </c>
      <c r="J26" s="1" t="s">
        <v>185</v>
      </c>
      <c r="K26" t="s">
        <v>43</v>
      </c>
      <c r="L26" t="s">
        <v>44</v>
      </c>
      <c r="M26" t="s">
        <v>45</v>
      </c>
      <c r="N26" t="s">
        <v>40</v>
      </c>
      <c r="O26">
        <v>1</v>
      </c>
      <c r="P26" t="s">
        <v>40</v>
      </c>
      <c r="Q26" t="s">
        <v>46</v>
      </c>
      <c r="R26" s="6">
        <v>18.389468999999998</v>
      </c>
      <c r="S26" s="6">
        <v>-66.056192999999993</v>
      </c>
      <c r="X26">
        <v>0</v>
      </c>
      <c r="Y26">
        <v>1</v>
      </c>
      <c r="Z26">
        <v>1</v>
      </c>
      <c r="AA26">
        <v>0</v>
      </c>
      <c r="AB26">
        <v>1</v>
      </c>
      <c r="AC26" t="s">
        <v>186</v>
      </c>
      <c r="AD26" t="s">
        <v>587</v>
      </c>
    </row>
    <row r="27" spans="1:30" ht="60" x14ac:dyDescent="0.25">
      <c r="A27" t="s">
        <v>187</v>
      </c>
      <c r="B27" t="s">
        <v>188</v>
      </c>
      <c r="C27" t="s">
        <v>77</v>
      </c>
      <c r="D27" t="s">
        <v>189</v>
      </c>
      <c r="E27" t="s">
        <v>40</v>
      </c>
      <c r="F27" s="3" t="s">
        <v>80</v>
      </c>
      <c r="G27" t="s">
        <v>40</v>
      </c>
      <c r="H27" s="8">
        <v>2</v>
      </c>
      <c r="I27" s="1" t="s">
        <v>41</v>
      </c>
      <c r="J27" s="1" t="s">
        <v>190</v>
      </c>
      <c r="K27" t="s">
        <v>43</v>
      </c>
      <c r="L27" t="s">
        <v>191</v>
      </c>
      <c r="M27" t="s">
        <v>45</v>
      </c>
      <c r="N27" t="s">
        <v>40</v>
      </c>
      <c r="O27">
        <v>18</v>
      </c>
      <c r="P27" t="s">
        <v>40</v>
      </c>
      <c r="Q27" t="s">
        <v>64</v>
      </c>
      <c r="R27">
        <v>18.393785999999999</v>
      </c>
      <c r="S27" s="5">
        <v>-66.054294999999996</v>
      </c>
      <c r="T27">
        <v>18.463100000000001</v>
      </c>
      <c r="U27" s="5">
        <v>-66.741496999999995</v>
      </c>
      <c r="V27">
        <v>16.273031</v>
      </c>
      <c r="W27" s="5">
        <v>-61.467159000000002</v>
      </c>
      <c r="X27" s="4">
        <v>0</v>
      </c>
      <c r="Y27" s="4">
        <v>1</v>
      </c>
      <c r="Z27" s="4">
        <v>1</v>
      </c>
      <c r="AA27" s="4">
        <v>0</v>
      </c>
      <c r="AB27" s="4">
        <v>1</v>
      </c>
      <c r="AC27" t="s">
        <v>192</v>
      </c>
    </row>
    <row r="28" spans="1:30" ht="60" x14ac:dyDescent="0.25">
      <c r="A28" t="s">
        <v>193</v>
      </c>
      <c r="B28" t="s">
        <v>194</v>
      </c>
      <c r="C28" t="s">
        <v>77</v>
      </c>
      <c r="D28" t="s">
        <v>90</v>
      </c>
      <c r="E28" t="s">
        <v>40</v>
      </c>
      <c r="F28" s="3" t="s">
        <v>80</v>
      </c>
      <c r="G28">
        <v>4</v>
      </c>
      <c r="H28" s="8">
        <v>9</v>
      </c>
      <c r="I28" t="s">
        <v>41</v>
      </c>
      <c r="J28" s="1" t="s">
        <v>195</v>
      </c>
      <c r="K28" t="s">
        <v>62</v>
      </c>
      <c r="L28" t="s">
        <v>63</v>
      </c>
      <c r="M28" t="s">
        <v>64</v>
      </c>
      <c r="N28">
        <v>1</v>
      </c>
      <c r="O28">
        <v>1</v>
      </c>
      <c r="P28">
        <v>0.2525</v>
      </c>
      <c r="Q28" t="s">
        <v>46</v>
      </c>
      <c r="R28">
        <v>18.332014109999999</v>
      </c>
      <c r="S28">
        <v>-65.825035510000006</v>
      </c>
      <c r="X28">
        <v>0</v>
      </c>
      <c r="Y28">
        <v>1</v>
      </c>
      <c r="Z28">
        <v>1</v>
      </c>
      <c r="AA28">
        <v>0</v>
      </c>
      <c r="AB28">
        <v>1</v>
      </c>
    </row>
    <row r="29" spans="1:30" ht="105" x14ac:dyDescent="0.25">
      <c r="A29" t="s">
        <v>196</v>
      </c>
      <c r="B29" t="s">
        <v>197</v>
      </c>
      <c r="C29" t="s">
        <v>77</v>
      </c>
      <c r="D29" t="s">
        <v>198</v>
      </c>
      <c r="E29" t="s">
        <v>199</v>
      </c>
      <c r="F29" s="3" t="s">
        <v>129</v>
      </c>
      <c r="G29">
        <v>5</v>
      </c>
      <c r="H29" s="8">
        <v>6</v>
      </c>
      <c r="I29" t="s">
        <v>41</v>
      </c>
      <c r="J29" s="1" t="s">
        <v>200</v>
      </c>
      <c r="K29" t="s">
        <v>62</v>
      </c>
      <c r="L29" t="s">
        <v>63</v>
      </c>
      <c r="M29" t="s">
        <v>64</v>
      </c>
      <c r="N29">
        <v>19</v>
      </c>
      <c r="O29">
        <v>10</v>
      </c>
      <c r="P29">
        <f>0.06*19</f>
        <v>1.1399999999999999</v>
      </c>
      <c r="Q29" t="s">
        <v>46</v>
      </c>
      <c r="R29">
        <v>-18.7</v>
      </c>
      <c r="S29">
        <v>-174</v>
      </c>
      <c r="X29">
        <v>0</v>
      </c>
      <c r="Y29">
        <v>1</v>
      </c>
      <c r="Z29">
        <v>1</v>
      </c>
      <c r="AA29">
        <v>0</v>
      </c>
      <c r="AB29">
        <v>1</v>
      </c>
      <c r="AD29" t="s">
        <v>588</v>
      </c>
    </row>
    <row r="30" spans="1:30" ht="105" x14ac:dyDescent="0.25">
      <c r="A30" t="s">
        <v>201</v>
      </c>
      <c r="B30" t="s">
        <v>202</v>
      </c>
      <c r="C30" t="s">
        <v>77</v>
      </c>
      <c r="D30" t="s">
        <v>90</v>
      </c>
      <c r="E30" t="s">
        <v>40</v>
      </c>
      <c r="F30" s="3" t="s">
        <v>80</v>
      </c>
      <c r="G30">
        <v>0.8</v>
      </c>
      <c r="H30" s="8">
        <v>5</v>
      </c>
      <c r="I30" s="1" t="s">
        <v>203</v>
      </c>
      <c r="J30" s="1" t="s">
        <v>204</v>
      </c>
      <c r="K30" t="s">
        <v>62</v>
      </c>
      <c r="L30" t="s">
        <v>63</v>
      </c>
      <c r="M30" t="s">
        <v>64</v>
      </c>
      <c r="N30">
        <v>15</v>
      </c>
      <c r="O30">
        <v>1</v>
      </c>
      <c r="P30">
        <f>0.04*15</f>
        <v>0.6</v>
      </c>
      <c r="Q30" t="s">
        <v>46</v>
      </c>
      <c r="R30">
        <v>17.97</v>
      </c>
      <c r="S30">
        <v>-66.86</v>
      </c>
      <c r="X30">
        <v>1</v>
      </c>
      <c r="Y30">
        <v>1</v>
      </c>
      <c r="Z30">
        <v>0</v>
      </c>
      <c r="AA30">
        <v>0</v>
      </c>
      <c r="AB30">
        <v>1</v>
      </c>
      <c r="AD30" t="s">
        <v>589</v>
      </c>
    </row>
    <row r="31" spans="1:30" ht="135" x14ac:dyDescent="0.25">
      <c r="A31" t="s">
        <v>205</v>
      </c>
      <c r="B31" t="s">
        <v>206</v>
      </c>
      <c r="C31" t="s">
        <v>77</v>
      </c>
      <c r="D31" t="s">
        <v>78</v>
      </c>
      <c r="E31" t="s">
        <v>133</v>
      </c>
      <c r="F31" s="3" t="s">
        <v>80</v>
      </c>
      <c r="G31">
        <v>12.7</v>
      </c>
      <c r="H31" s="8" t="s">
        <v>40</v>
      </c>
      <c r="I31" t="s">
        <v>41</v>
      </c>
      <c r="J31" s="1" t="s">
        <v>207</v>
      </c>
      <c r="K31" t="s">
        <v>62</v>
      </c>
      <c r="L31" t="s">
        <v>63</v>
      </c>
      <c r="M31" t="s">
        <v>45</v>
      </c>
      <c r="N31">
        <v>5</v>
      </c>
      <c r="O31">
        <v>1</v>
      </c>
      <c r="P31" t="s">
        <v>40</v>
      </c>
      <c r="Q31" t="s">
        <v>45</v>
      </c>
      <c r="R31">
        <v>35.499451775143299</v>
      </c>
      <c r="S31">
        <v>-82.618843749999996</v>
      </c>
      <c r="X31">
        <v>0</v>
      </c>
      <c r="Y31">
        <v>1</v>
      </c>
      <c r="Z31">
        <v>1</v>
      </c>
      <c r="AA31">
        <v>0</v>
      </c>
      <c r="AB31">
        <v>1</v>
      </c>
      <c r="AD31" t="s">
        <v>590</v>
      </c>
    </row>
    <row r="32" spans="1:30" ht="180" x14ac:dyDescent="0.25">
      <c r="A32" t="s">
        <v>208</v>
      </c>
      <c r="B32" t="s">
        <v>209</v>
      </c>
      <c r="C32" t="s">
        <v>77</v>
      </c>
      <c r="D32" t="s">
        <v>78</v>
      </c>
      <c r="E32" t="s">
        <v>79</v>
      </c>
      <c r="F32" s="3" t="s">
        <v>80</v>
      </c>
      <c r="G32">
        <v>10</v>
      </c>
      <c r="H32" s="8">
        <v>8</v>
      </c>
      <c r="I32" s="1" t="s">
        <v>41</v>
      </c>
      <c r="J32" s="1" t="s">
        <v>210</v>
      </c>
      <c r="K32" t="s">
        <v>62</v>
      </c>
      <c r="L32" t="s">
        <v>63</v>
      </c>
      <c r="M32" t="s">
        <v>45</v>
      </c>
      <c r="N32">
        <v>293</v>
      </c>
      <c r="O32">
        <v>1</v>
      </c>
      <c r="P32">
        <f>0.1*293</f>
        <v>29.3</v>
      </c>
      <c r="Q32" t="s">
        <v>46</v>
      </c>
      <c r="R32">
        <v>33.333300000000001</v>
      </c>
      <c r="S32">
        <v>-79.25</v>
      </c>
      <c r="X32" s="4">
        <v>1</v>
      </c>
      <c r="Y32" s="4">
        <v>1</v>
      </c>
      <c r="Z32" s="4">
        <v>1</v>
      </c>
      <c r="AA32" s="4">
        <v>0</v>
      </c>
      <c r="AB32" s="4">
        <v>1</v>
      </c>
      <c r="AD32" t="s">
        <v>577</v>
      </c>
    </row>
    <row r="33" spans="1:30" ht="30" x14ac:dyDescent="0.25">
      <c r="A33" t="s">
        <v>34</v>
      </c>
      <c r="B33" t="s">
        <v>35</v>
      </c>
      <c r="C33" t="s">
        <v>36</v>
      </c>
      <c r="D33" t="s">
        <v>37</v>
      </c>
      <c r="E33" t="s">
        <v>38</v>
      </c>
      <c r="F33" s="3" t="s">
        <v>39</v>
      </c>
      <c r="G33" t="s">
        <v>40</v>
      </c>
      <c r="H33" s="8">
        <v>6</v>
      </c>
      <c r="I33" t="s">
        <v>41</v>
      </c>
      <c r="J33" s="1" t="s">
        <v>42</v>
      </c>
      <c r="K33" t="s">
        <v>43</v>
      </c>
      <c r="L33" t="s">
        <v>44</v>
      </c>
      <c r="M33" t="s">
        <v>45</v>
      </c>
      <c r="N33" t="s">
        <v>40</v>
      </c>
      <c r="O33" t="s">
        <v>40</v>
      </c>
      <c r="P33" t="s">
        <v>40</v>
      </c>
      <c r="Q33" t="s">
        <v>46</v>
      </c>
      <c r="R33" s="3">
        <v>24.630610000000001</v>
      </c>
      <c r="S33" s="3">
        <v>118.0598</v>
      </c>
      <c r="X33">
        <v>0</v>
      </c>
      <c r="Y33">
        <v>1</v>
      </c>
      <c r="Z33">
        <v>1</v>
      </c>
      <c r="AA33">
        <v>0</v>
      </c>
      <c r="AB33">
        <v>0</v>
      </c>
      <c r="AC33" t="s">
        <v>47</v>
      </c>
      <c r="AD33" t="s">
        <v>591</v>
      </c>
    </row>
    <row r="34" spans="1:30" ht="75" x14ac:dyDescent="0.25">
      <c r="A34" t="s">
        <v>211</v>
      </c>
      <c r="B34" t="s">
        <v>212</v>
      </c>
      <c r="C34" t="s">
        <v>77</v>
      </c>
      <c r="D34" t="s">
        <v>213</v>
      </c>
      <c r="E34" t="s">
        <v>214</v>
      </c>
      <c r="F34" s="3" t="s">
        <v>151</v>
      </c>
      <c r="G34" t="s">
        <v>40</v>
      </c>
      <c r="H34" s="8">
        <v>9</v>
      </c>
      <c r="I34" t="s">
        <v>215</v>
      </c>
      <c r="J34" s="1" t="s">
        <v>216</v>
      </c>
      <c r="K34" t="s">
        <v>62</v>
      </c>
      <c r="L34" t="s">
        <v>68</v>
      </c>
      <c r="M34" t="s">
        <v>45</v>
      </c>
      <c r="N34" t="s">
        <v>40</v>
      </c>
      <c r="O34" t="s">
        <v>40</v>
      </c>
      <c r="P34" t="s">
        <v>40</v>
      </c>
      <c r="Q34" t="s">
        <v>46</v>
      </c>
      <c r="R34">
        <v>22.462037840000001</v>
      </c>
      <c r="S34">
        <v>90.383820099999994</v>
      </c>
      <c r="X34">
        <v>0</v>
      </c>
      <c r="Y34">
        <v>1</v>
      </c>
      <c r="Z34">
        <v>1</v>
      </c>
      <c r="AA34">
        <v>0</v>
      </c>
      <c r="AB34">
        <v>0</v>
      </c>
    </row>
    <row r="35" spans="1:30" ht="60" x14ac:dyDescent="0.25">
      <c r="A35" t="s">
        <v>217</v>
      </c>
      <c r="B35" t="s">
        <v>218</v>
      </c>
      <c r="C35" t="s">
        <v>77</v>
      </c>
      <c r="D35" t="s">
        <v>78</v>
      </c>
      <c r="E35" t="s">
        <v>219</v>
      </c>
      <c r="F35" s="3" t="s">
        <v>80</v>
      </c>
      <c r="G35">
        <v>4.5</v>
      </c>
      <c r="H35" s="8">
        <v>8</v>
      </c>
      <c r="I35" t="s">
        <v>41</v>
      </c>
      <c r="J35" s="1" t="s">
        <v>220</v>
      </c>
      <c r="K35" t="s">
        <v>62</v>
      </c>
      <c r="L35" t="s">
        <v>63</v>
      </c>
      <c r="M35" t="s">
        <v>64</v>
      </c>
      <c r="N35">
        <v>3</v>
      </c>
      <c r="O35">
        <v>3</v>
      </c>
      <c r="P35">
        <f>4*3</f>
        <v>12</v>
      </c>
      <c r="Q35" t="s">
        <v>46</v>
      </c>
      <c r="R35">
        <v>30.471951069999999</v>
      </c>
      <c r="S35">
        <v>-94.347365109999998</v>
      </c>
      <c r="X35">
        <v>0</v>
      </c>
      <c r="Y35">
        <v>1</v>
      </c>
      <c r="Z35">
        <v>0</v>
      </c>
      <c r="AA35">
        <v>0</v>
      </c>
      <c r="AB35">
        <v>1</v>
      </c>
      <c r="AD35" t="s">
        <v>592</v>
      </c>
    </row>
    <row r="36" spans="1:30" ht="90" x14ac:dyDescent="0.25">
      <c r="A36" t="s">
        <v>221</v>
      </c>
      <c r="B36" t="s">
        <v>222</v>
      </c>
      <c r="C36" t="s">
        <v>77</v>
      </c>
      <c r="D36" t="s">
        <v>84</v>
      </c>
      <c r="E36" t="s">
        <v>40</v>
      </c>
      <c r="F36" t="s">
        <v>85</v>
      </c>
      <c r="G36">
        <v>2</v>
      </c>
      <c r="H36" s="8">
        <v>6</v>
      </c>
      <c r="I36" t="s">
        <v>41</v>
      </c>
      <c r="J36" s="1" t="s">
        <v>223</v>
      </c>
      <c r="K36" t="s">
        <v>62</v>
      </c>
      <c r="L36" t="s">
        <v>63</v>
      </c>
      <c r="M36" t="s">
        <v>64</v>
      </c>
      <c r="N36">
        <v>6</v>
      </c>
      <c r="O36">
        <v>6</v>
      </c>
      <c r="P36">
        <f>6*0.03</f>
        <v>0.18</v>
      </c>
      <c r="Q36" t="s">
        <v>46</v>
      </c>
      <c r="R36">
        <v>22.132096440000002</v>
      </c>
      <c r="S36">
        <v>-159.70331759999999</v>
      </c>
      <c r="X36">
        <v>0</v>
      </c>
      <c r="Y36">
        <v>1</v>
      </c>
      <c r="Z36">
        <v>1</v>
      </c>
      <c r="AA36">
        <v>0</v>
      </c>
      <c r="AB36">
        <v>1</v>
      </c>
      <c r="AD36" t="s">
        <v>576</v>
      </c>
    </row>
    <row r="37" spans="1:30" ht="60" x14ac:dyDescent="0.25">
      <c r="A37" t="s">
        <v>224</v>
      </c>
      <c r="B37" t="s">
        <v>225</v>
      </c>
      <c r="C37" t="s">
        <v>77</v>
      </c>
      <c r="D37" t="s">
        <v>78</v>
      </c>
      <c r="E37" t="s">
        <v>141</v>
      </c>
      <c r="F37" s="3" t="s">
        <v>80</v>
      </c>
      <c r="G37">
        <v>10</v>
      </c>
      <c r="H37" s="8">
        <v>12</v>
      </c>
      <c r="I37" t="s">
        <v>41</v>
      </c>
      <c r="J37" s="1" t="s">
        <v>226</v>
      </c>
      <c r="K37" t="s">
        <v>62</v>
      </c>
      <c r="L37" t="s">
        <v>63</v>
      </c>
      <c r="M37" t="s">
        <v>64</v>
      </c>
      <c r="N37">
        <v>3</v>
      </c>
      <c r="O37">
        <v>1</v>
      </c>
      <c r="P37">
        <v>1.6875</v>
      </c>
      <c r="Q37" t="s">
        <v>46</v>
      </c>
      <c r="R37">
        <v>30.397082999999999</v>
      </c>
      <c r="S37" s="5">
        <v>-89.702611000000005</v>
      </c>
      <c r="X37">
        <v>0</v>
      </c>
      <c r="Y37">
        <v>1</v>
      </c>
      <c r="Z37">
        <v>1</v>
      </c>
      <c r="AA37">
        <v>0</v>
      </c>
      <c r="AB37">
        <v>1</v>
      </c>
      <c r="AD37" t="s">
        <v>582</v>
      </c>
    </row>
    <row r="38" spans="1:30" ht="120" x14ac:dyDescent="0.25">
      <c r="A38" t="s">
        <v>227</v>
      </c>
      <c r="B38" t="s">
        <v>228</v>
      </c>
      <c r="C38" t="s">
        <v>77</v>
      </c>
      <c r="D38" t="s">
        <v>78</v>
      </c>
      <c r="E38" t="s">
        <v>94</v>
      </c>
      <c r="F38" s="3" t="s">
        <v>80</v>
      </c>
      <c r="G38">
        <v>2</v>
      </c>
      <c r="H38" s="8">
        <v>8</v>
      </c>
      <c r="I38" t="s">
        <v>229</v>
      </c>
      <c r="J38" s="1" t="s">
        <v>230</v>
      </c>
      <c r="K38" t="s">
        <v>43</v>
      </c>
      <c r="L38" t="s">
        <v>231</v>
      </c>
      <c r="M38" t="s">
        <v>45</v>
      </c>
      <c r="N38">
        <v>12</v>
      </c>
      <c r="O38">
        <v>3</v>
      </c>
      <c r="P38">
        <f>12*0.0025</f>
        <v>0.03</v>
      </c>
      <c r="Q38" t="s">
        <v>46</v>
      </c>
      <c r="R38">
        <f>AVERAGE(T38, V38)</f>
        <v>25.609518999999999</v>
      </c>
      <c r="S38">
        <f>AVERAGE(U38, W38)</f>
        <v>-80.367845499999987</v>
      </c>
      <c r="T38">
        <v>25.557593000000001</v>
      </c>
      <c r="U38">
        <v>-80.454122999999996</v>
      </c>
      <c r="V38">
        <v>25.661445000000001</v>
      </c>
      <c r="W38" s="5">
        <v>-80.281567999999993</v>
      </c>
      <c r="X38">
        <v>0</v>
      </c>
      <c r="Y38">
        <v>1</v>
      </c>
      <c r="Z38">
        <v>1</v>
      </c>
      <c r="AA38">
        <v>0</v>
      </c>
      <c r="AB38">
        <v>1</v>
      </c>
    </row>
    <row r="39" spans="1:30" ht="75" x14ac:dyDescent="0.25">
      <c r="A39" t="s">
        <v>232</v>
      </c>
      <c r="B39" t="s">
        <v>233</v>
      </c>
      <c r="C39" t="s">
        <v>77</v>
      </c>
      <c r="D39" t="s">
        <v>78</v>
      </c>
      <c r="E39" t="s">
        <v>141</v>
      </c>
      <c r="F39" s="3" t="s">
        <v>80</v>
      </c>
      <c r="G39" t="s">
        <v>40</v>
      </c>
      <c r="H39" s="8">
        <v>9</v>
      </c>
      <c r="I39" t="s">
        <v>41</v>
      </c>
      <c r="J39" s="1" t="s">
        <v>234</v>
      </c>
      <c r="K39" t="s">
        <v>62</v>
      </c>
      <c r="L39" t="s">
        <v>63</v>
      </c>
      <c r="M39" t="s">
        <v>64</v>
      </c>
      <c r="N39">
        <v>12</v>
      </c>
      <c r="O39">
        <v>1</v>
      </c>
      <c r="P39">
        <f>12*0.25</f>
        <v>3</v>
      </c>
      <c r="Q39" t="s">
        <v>46</v>
      </c>
      <c r="R39">
        <v>30.068791099999999</v>
      </c>
      <c r="S39">
        <v>-89.867548429999999</v>
      </c>
      <c r="X39">
        <v>0</v>
      </c>
      <c r="Y39">
        <v>1</v>
      </c>
      <c r="Z39">
        <v>1</v>
      </c>
      <c r="AA39">
        <v>0</v>
      </c>
      <c r="AB39">
        <v>1</v>
      </c>
      <c r="AD39" t="s">
        <v>582</v>
      </c>
    </row>
    <row r="40" spans="1:30" x14ac:dyDescent="0.25">
      <c r="A40" t="s">
        <v>48</v>
      </c>
      <c r="B40" t="s">
        <v>49</v>
      </c>
      <c r="C40" t="s">
        <v>36</v>
      </c>
      <c r="D40" t="s">
        <v>37</v>
      </c>
      <c r="E40" t="s">
        <v>50</v>
      </c>
      <c r="F40" s="3" t="s">
        <v>39</v>
      </c>
      <c r="G40" t="s">
        <v>40</v>
      </c>
      <c r="H40" s="8" t="s">
        <v>40</v>
      </c>
      <c r="I40" t="s">
        <v>41</v>
      </c>
      <c r="J40" s="1" t="s">
        <v>51</v>
      </c>
      <c r="K40" t="s">
        <v>43</v>
      </c>
      <c r="L40" t="s">
        <v>44</v>
      </c>
      <c r="M40" t="s">
        <v>45</v>
      </c>
      <c r="N40" t="s">
        <v>40</v>
      </c>
      <c r="O40" t="s">
        <v>40</v>
      </c>
      <c r="P40" t="s">
        <v>40</v>
      </c>
      <c r="Q40" t="s">
        <v>46</v>
      </c>
      <c r="R40">
        <v>23.593824000000001</v>
      </c>
      <c r="S40" s="5">
        <v>116.317931</v>
      </c>
      <c r="T40">
        <v>23.746462999999999</v>
      </c>
      <c r="U40">
        <v>116.117355</v>
      </c>
      <c r="V40">
        <v>23.558797999999999</v>
      </c>
      <c r="W40">
        <v>116.468739</v>
      </c>
      <c r="X40">
        <v>0</v>
      </c>
      <c r="Y40">
        <v>1</v>
      </c>
      <c r="Z40">
        <v>1</v>
      </c>
      <c r="AA40">
        <v>0</v>
      </c>
      <c r="AB40">
        <v>0</v>
      </c>
      <c r="AD40" t="s">
        <v>593</v>
      </c>
    </row>
    <row r="41" spans="1:30" ht="75" x14ac:dyDescent="0.25">
      <c r="A41" t="s">
        <v>235</v>
      </c>
      <c r="B41" t="s">
        <v>236</v>
      </c>
      <c r="C41" t="s">
        <v>77</v>
      </c>
      <c r="D41" t="s">
        <v>102</v>
      </c>
      <c r="E41" t="s">
        <v>237</v>
      </c>
      <c r="F41" s="3" t="s">
        <v>39</v>
      </c>
      <c r="G41">
        <v>20</v>
      </c>
      <c r="H41" s="8">
        <v>26</v>
      </c>
      <c r="I41" t="s">
        <v>41</v>
      </c>
      <c r="J41" s="1" t="s">
        <v>238</v>
      </c>
      <c r="K41" t="s">
        <v>62</v>
      </c>
      <c r="L41" t="s">
        <v>63</v>
      </c>
      <c r="M41" t="s">
        <v>45</v>
      </c>
      <c r="N41">
        <v>1</v>
      </c>
      <c r="O41">
        <v>1</v>
      </c>
      <c r="P41" t="s">
        <v>40</v>
      </c>
      <c r="Q41" t="s">
        <v>46</v>
      </c>
      <c r="R41">
        <v>34.683333330000004</v>
      </c>
      <c r="S41">
        <v>132.19999999999999</v>
      </c>
      <c r="X41">
        <v>0</v>
      </c>
      <c r="Y41">
        <v>0</v>
      </c>
      <c r="Z41">
        <v>1</v>
      </c>
      <c r="AA41">
        <v>0</v>
      </c>
      <c r="AB41">
        <v>1</v>
      </c>
      <c r="AC41" t="s">
        <v>239</v>
      </c>
      <c r="AD41" t="s">
        <v>594</v>
      </c>
    </row>
    <row r="42" spans="1:30" ht="75" x14ac:dyDescent="0.25">
      <c r="A42" t="s">
        <v>240</v>
      </c>
      <c r="B42" t="s">
        <v>241</v>
      </c>
      <c r="C42" t="s">
        <v>77</v>
      </c>
      <c r="D42" t="s">
        <v>242</v>
      </c>
      <c r="E42" t="s">
        <v>243</v>
      </c>
      <c r="F42" s="3" t="s">
        <v>80</v>
      </c>
      <c r="G42">
        <v>10</v>
      </c>
      <c r="H42" s="8">
        <v>12</v>
      </c>
      <c r="I42" s="1" t="s">
        <v>41</v>
      </c>
      <c r="J42" s="1" t="s">
        <v>244</v>
      </c>
      <c r="K42" t="s">
        <v>62</v>
      </c>
      <c r="L42" t="s">
        <v>63</v>
      </c>
      <c r="M42" t="s">
        <v>64</v>
      </c>
      <c r="N42">
        <v>24</v>
      </c>
      <c r="O42">
        <v>3</v>
      </c>
      <c r="P42">
        <v>0.24</v>
      </c>
      <c r="Q42" t="s">
        <v>46</v>
      </c>
      <c r="R42">
        <v>16.080842000000001</v>
      </c>
      <c r="S42">
        <v>-61.659385</v>
      </c>
      <c r="X42">
        <v>0</v>
      </c>
      <c r="Y42">
        <v>1</v>
      </c>
      <c r="Z42">
        <v>1</v>
      </c>
      <c r="AA42">
        <v>0</v>
      </c>
      <c r="AB42">
        <v>1</v>
      </c>
      <c r="AC42" t="s">
        <v>245</v>
      </c>
    </row>
    <row r="43" spans="1:30" ht="75" x14ac:dyDescent="0.25">
      <c r="A43" t="s">
        <v>548</v>
      </c>
      <c r="B43" t="s">
        <v>549</v>
      </c>
      <c r="C43" t="s">
        <v>550</v>
      </c>
      <c r="D43" t="s">
        <v>102</v>
      </c>
      <c r="E43" t="s">
        <v>543</v>
      </c>
      <c r="F43" s="3" t="s">
        <v>39</v>
      </c>
      <c r="G43" t="s">
        <v>40</v>
      </c>
      <c r="H43" s="8">
        <v>12</v>
      </c>
      <c r="I43" s="1" t="s">
        <v>41</v>
      </c>
      <c r="J43" s="1" t="s">
        <v>551</v>
      </c>
      <c r="K43" t="s">
        <v>62</v>
      </c>
      <c r="L43" t="s">
        <v>68</v>
      </c>
      <c r="M43" t="s">
        <v>45</v>
      </c>
      <c r="N43">
        <v>589</v>
      </c>
      <c r="O43">
        <v>5</v>
      </c>
      <c r="P43">
        <v>18.5</v>
      </c>
      <c r="Q43" t="s">
        <v>45</v>
      </c>
      <c r="R43">
        <v>33.33</v>
      </c>
      <c r="S43">
        <v>130.94</v>
      </c>
      <c r="X43">
        <v>1</v>
      </c>
      <c r="Y43">
        <v>1</v>
      </c>
      <c r="Z43">
        <v>1</v>
      </c>
      <c r="AA43">
        <v>0</v>
      </c>
      <c r="AB43">
        <v>1</v>
      </c>
      <c r="AC43" t="s">
        <v>552</v>
      </c>
    </row>
    <row r="44" spans="1:30" ht="120" x14ac:dyDescent="0.25">
      <c r="A44" t="s">
        <v>246</v>
      </c>
      <c r="B44" t="s">
        <v>247</v>
      </c>
      <c r="C44" t="s">
        <v>77</v>
      </c>
      <c r="D44" t="s">
        <v>107</v>
      </c>
      <c r="E44" t="s">
        <v>248</v>
      </c>
      <c r="F44" s="3" t="s">
        <v>85</v>
      </c>
      <c r="G44">
        <v>2.5</v>
      </c>
      <c r="H44" s="8">
        <v>6</v>
      </c>
      <c r="I44" t="s">
        <v>41</v>
      </c>
      <c r="J44" s="1" t="s">
        <v>249</v>
      </c>
      <c r="K44" t="s">
        <v>62</v>
      </c>
      <c r="L44" t="s">
        <v>63</v>
      </c>
      <c r="M44" t="s">
        <v>64</v>
      </c>
      <c r="N44">
        <v>8</v>
      </c>
      <c r="O44">
        <v>1</v>
      </c>
      <c r="P44">
        <f>8*0.1</f>
        <v>0.8</v>
      </c>
      <c r="Q44" t="s">
        <v>46</v>
      </c>
      <c r="R44">
        <v>19.485118</v>
      </c>
      <c r="S44">
        <v>-104.99306900000001</v>
      </c>
      <c r="X44">
        <v>0</v>
      </c>
      <c r="Y44">
        <v>1</v>
      </c>
      <c r="Z44">
        <v>1</v>
      </c>
      <c r="AA44">
        <v>0</v>
      </c>
      <c r="AB44">
        <v>1</v>
      </c>
    </row>
    <row r="45" spans="1:30" ht="60" x14ac:dyDescent="0.25">
      <c r="A45" t="s">
        <v>250</v>
      </c>
      <c r="B45" t="s">
        <v>251</v>
      </c>
      <c r="C45" t="s">
        <v>77</v>
      </c>
      <c r="D45" t="s">
        <v>78</v>
      </c>
      <c r="E45" t="s">
        <v>252</v>
      </c>
      <c r="F45" s="3" t="s">
        <v>80</v>
      </c>
      <c r="G45" t="s">
        <v>40</v>
      </c>
      <c r="H45" s="8">
        <v>16</v>
      </c>
      <c r="I45" t="s">
        <v>41</v>
      </c>
      <c r="J45" s="1" t="s">
        <v>253</v>
      </c>
      <c r="K45" t="s">
        <v>62</v>
      </c>
      <c r="L45" t="s">
        <v>68</v>
      </c>
      <c r="M45" t="s">
        <v>64</v>
      </c>
      <c r="N45">
        <v>10</v>
      </c>
      <c r="O45">
        <v>1</v>
      </c>
      <c r="P45" t="s">
        <v>40</v>
      </c>
      <c r="Q45" t="s">
        <v>46</v>
      </c>
      <c r="R45">
        <v>30.65</v>
      </c>
      <c r="S45">
        <v>-89.04</v>
      </c>
      <c r="X45">
        <v>0</v>
      </c>
      <c r="Y45">
        <v>1</v>
      </c>
      <c r="Z45">
        <v>1</v>
      </c>
      <c r="AA45">
        <v>0</v>
      </c>
      <c r="AB45">
        <v>1</v>
      </c>
      <c r="AD45" t="s">
        <v>582</v>
      </c>
    </row>
    <row r="46" spans="1:30" ht="90" x14ac:dyDescent="0.25">
      <c r="A46" t="s">
        <v>254</v>
      </c>
      <c r="B46" t="s">
        <v>255</v>
      </c>
      <c r="C46" t="s">
        <v>77</v>
      </c>
      <c r="D46" t="s">
        <v>78</v>
      </c>
      <c r="E46" t="s">
        <v>256</v>
      </c>
      <c r="F46" s="3" t="s">
        <v>80</v>
      </c>
      <c r="G46" t="s">
        <v>40</v>
      </c>
      <c r="H46" s="8">
        <v>1</v>
      </c>
      <c r="I46" t="s">
        <v>257</v>
      </c>
      <c r="J46" s="1" t="s">
        <v>258</v>
      </c>
      <c r="K46" t="s">
        <v>43</v>
      </c>
      <c r="L46" t="s">
        <v>44</v>
      </c>
      <c r="M46" t="s">
        <v>45</v>
      </c>
      <c r="N46" t="s">
        <v>40</v>
      </c>
      <c r="O46" t="s">
        <v>40</v>
      </c>
      <c r="P46" t="s">
        <v>40</v>
      </c>
      <c r="Q46" t="s">
        <v>46</v>
      </c>
      <c r="R46">
        <v>44.952697999999998</v>
      </c>
      <c r="S46">
        <v>-93.261823000000007</v>
      </c>
      <c r="X46">
        <v>0</v>
      </c>
      <c r="Y46">
        <v>1</v>
      </c>
      <c r="Z46">
        <v>0</v>
      </c>
      <c r="AA46">
        <v>0</v>
      </c>
      <c r="AB46">
        <v>1</v>
      </c>
    </row>
    <row r="47" spans="1:30" ht="75" x14ac:dyDescent="0.25">
      <c r="A47" t="s">
        <v>259</v>
      </c>
      <c r="B47" t="s">
        <v>260</v>
      </c>
      <c r="C47" t="s">
        <v>77</v>
      </c>
      <c r="D47" t="s">
        <v>78</v>
      </c>
      <c r="E47" t="s">
        <v>180</v>
      </c>
      <c r="F47" s="3" t="s">
        <v>80</v>
      </c>
      <c r="G47" t="s">
        <v>40</v>
      </c>
      <c r="H47" s="8">
        <v>1</v>
      </c>
      <c r="I47" s="1" t="s">
        <v>41</v>
      </c>
      <c r="J47" s="1" t="s">
        <v>261</v>
      </c>
      <c r="K47" t="s">
        <v>62</v>
      </c>
      <c r="L47" t="s">
        <v>68</v>
      </c>
      <c r="M47" t="s">
        <v>45</v>
      </c>
      <c r="N47">
        <f>104+36</f>
        <v>140</v>
      </c>
      <c r="O47">
        <v>3</v>
      </c>
      <c r="P47">
        <f>0.02*140</f>
        <v>2.8000000000000003</v>
      </c>
      <c r="R47" s="3">
        <v>41.77</v>
      </c>
      <c r="S47" s="3">
        <v>-70.03</v>
      </c>
      <c r="X47" s="4">
        <v>1</v>
      </c>
      <c r="Y47" s="4">
        <v>0</v>
      </c>
      <c r="Z47" s="4">
        <v>1</v>
      </c>
      <c r="AA47" s="4">
        <v>1</v>
      </c>
      <c r="AB47" s="4">
        <v>1</v>
      </c>
      <c r="AC47" t="s">
        <v>262</v>
      </c>
    </row>
    <row r="48" spans="1:30" ht="60" x14ac:dyDescent="0.25">
      <c r="A48" t="s">
        <v>263</v>
      </c>
      <c r="B48" t="s">
        <v>264</v>
      </c>
      <c r="C48" t="s">
        <v>77</v>
      </c>
      <c r="D48" t="s">
        <v>78</v>
      </c>
      <c r="E48" t="s">
        <v>219</v>
      </c>
      <c r="F48" s="3" t="s">
        <v>80</v>
      </c>
      <c r="G48">
        <v>5</v>
      </c>
      <c r="H48" s="8">
        <v>2</v>
      </c>
      <c r="I48" t="s">
        <v>41</v>
      </c>
      <c r="J48" s="1" t="s">
        <v>265</v>
      </c>
      <c r="K48" t="s">
        <v>62</v>
      </c>
      <c r="L48" t="s">
        <v>63</v>
      </c>
      <c r="M48" t="s">
        <v>45</v>
      </c>
      <c r="N48">
        <v>5</v>
      </c>
      <c r="O48">
        <v>1</v>
      </c>
      <c r="P48">
        <f>5*0.2</f>
        <v>1</v>
      </c>
      <c r="Q48" t="s">
        <v>64</v>
      </c>
      <c r="R48">
        <v>30.251159999999999</v>
      </c>
      <c r="S48" s="5">
        <v>-94.434332999999995</v>
      </c>
      <c r="X48">
        <v>0</v>
      </c>
      <c r="Y48">
        <v>1</v>
      </c>
      <c r="Z48">
        <v>1</v>
      </c>
      <c r="AA48">
        <v>0</v>
      </c>
      <c r="AB48">
        <v>1</v>
      </c>
    </row>
    <row r="49" spans="1:30" ht="30" x14ac:dyDescent="0.25">
      <c r="A49" t="s">
        <v>544</v>
      </c>
      <c r="B49" t="s">
        <v>545</v>
      </c>
      <c r="C49" t="s">
        <v>542</v>
      </c>
      <c r="D49" t="s">
        <v>102</v>
      </c>
      <c r="E49" t="s">
        <v>546</v>
      </c>
      <c r="F49" s="3" t="s">
        <v>39</v>
      </c>
      <c r="G49" t="s">
        <v>40</v>
      </c>
      <c r="H49" s="8">
        <v>0.25</v>
      </c>
      <c r="I49" s="1" t="s">
        <v>41</v>
      </c>
      <c r="J49" s="1" t="s">
        <v>547</v>
      </c>
      <c r="K49" t="s">
        <v>62</v>
      </c>
      <c r="L49" t="s">
        <v>68</v>
      </c>
      <c r="M49" t="s">
        <v>64</v>
      </c>
      <c r="N49">
        <v>5</v>
      </c>
      <c r="O49">
        <v>1</v>
      </c>
      <c r="P49">
        <v>2.2599999999999998</v>
      </c>
      <c r="Q49" t="s">
        <v>46</v>
      </c>
      <c r="R49">
        <v>34.900333333333336</v>
      </c>
      <c r="S49">
        <v>137.74449999999999</v>
      </c>
      <c r="X49">
        <v>1</v>
      </c>
      <c r="Y49">
        <v>1</v>
      </c>
      <c r="Z49">
        <v>0</v>
      </c>
      <c r="AA49">
        <v>0</v>
      </c>
      <c r="AB49">
        <v>1</v>
      </c>
    </row>
    <row r="50" spans="1:30" ht="120" x14ac:dyDescent="0.25">
      <c r="A50" t="s">
        <v>266</v>
      </c>
      <c r="B50" t="s">
        <v>267</v>
      </c>
      <c r="C50" t="s">
        <v>77</v>
      </c>
      <c r="D50" t="s">
        <v>78</v>
      </c>
      <c r="E50" t="s">
        <v>94</v>
      </c>
      <c r="F50" s="3" t="s">
        <v>80</v>
      </c>
      <c r="G50">
        <v>2.5</v>
      </c>
      <c r="H50" s="8">
        <v>2</v>
      </c>
      <c r="I50" s="1" t="s">
        <v>41</v>
      </c>
      <c r="J50" s="1" t="s">
        <v>268</v>
      </c>
      <c r="K50" t="s">
        <v>43</v>
      </c>
      <c r="L50" t="s">
        <v>44</v>
      </c>
      <c r="M50" t="s">
        <v>45</v>
      </c>
      <c r="N50" t="s">
        <v>40</v>
      </c>
      <c r="O50">
        <v>1</v>
      </c>
      <c r="P50" t="s">
        <v>40</v>
      </c>
      <c r="Q50" t="s">
        <v>46</v>
      </c>
      <c r="R50">
        <v>26.141999999999999</v>
      </c>
      <c r="S50">
        <v>-81.794799999999995</v>
      </c>
      <c r="X50" s="4">
        <v>1</v>
      </c>
      <c r="Y50" s="4">
        <v>1</v>
      </c>
      <c r="Z50" s="4">
        <v>1</v>
      </c>
      <c r="AA50" s="4">
        <v>1</v>
      </c>
      <c r="AB50" s="4">
        <v>1</v>
      </c>
      <c r="AD50" t="s">
        <v>589</v>
      </c>
    </row>
    <row r="51" spans="1:30" ht="90" x14ac:dyDescent="0.25">
      <c r="A51" t="s">
        <v>269</v>
      </c>
      <c r="B51" t="s">
        <v>270</v>
      </c>
      <c r="C51" t="s">
        <v>77</v>
      </c>
      <c r="D51" t="s">
        <v>78</v>
      </c>
      <c r="E51" t="s">
        <v>271</v>
      </c>
      <c r="F51" s="3" t="s">
        <v>80</v>
      </c>
      <c r="G51" t="s">
        <v>40</v>
      </c>
      <c r="H51" s="8" t="s">
        <v>40</v>
      </c>
      <c r="I51" t="s">
        <v>272</v>
      </c>
      <c r="J51" s="1" t="s">
        <v>273</v>
      </c>
      <c r="K51" t="s">
        <v>43</v>
      </c>
      <c r="L51" t="s">
        <v>44</v>
      </c>
      <c r="M51" t="s">
        <v>64</v>
      </c>
      <c r="N51" t="s">
        <v>40</v>
      </c>
      <c r="O51">
        <v>1</v>
      </c>
      <c r="P51" t="s">
        <v>40</v>
      </c>
      <c r="Q51" t="s">
        <v>46</v>
      </c>
      <c r="R51">
        <v>32.045661000000003</v>
      </c>
      <c r="S51" s="5">
        <v>-81.120125000000002</v>
      </c>
      <c r="X51" s="4">
        <v>0</v>
      </c>
      <c r="Y51" s="4">
        <v>1</v>
      </c>
      <c r="Z51" s="4">
        <v>0</v>
      </c>
      <c r="AA51" s="4">
        <v>1</v>
      </c>
      <c r="AB51" s="4">
        <v>1</v>
      </c>
      <c r="AD51" t="s">
        <v>595</v>
      </c>
    </row>
    <row r="52" spans="1:30" ht="60" x14ac:dyDescent="0.25">
      <c r="A52" t="s">
        <v>274</v>
      </c>
      <c r="B52" t="s">
        <v>275</v>
      </c>
      <c r="C52" t="s">
        <v>77</v>
      </c>
      <c r="D52" t="s">
        <v>276</v>
      </c>
      <c r="E52" t="s">
        <v>277</v>
      </c>
      <c r="F52" s="3" t="s">
        <v>151</v>
      </c>
      <c r="G52" t="s">
        <v>40</v>
      </c>
      <c r="H52" s="8" t="s">
        <v>40</v>
      </c>
      <c r="I52" s="1" t="s">
        <v>41</v>
      </c>
      <c r="J52" s="1" t="s">
        <v>278</v>
      </c>
      <c r="K52" t="s">
        <v>43</v>
      </c>
      <c r="L52" t="s">
        <v>44</v>
      </c>
      <c r="M52" t="s">
        <v>45</v>
      </c>
      <c r="N52" t="s">
        <v>40</v>
      </c>
      <c r="O52">
        <v>1</v>
      </c>
      <c r="P52" t="s">
        <v>40</v>
      </c>
      <c r="Q52" t="s">
        <v>46</v>
      </c>
      <c r="R52">
        <v>17.782782999999998</v>
      </c>
      <c r="S52">
        <v>83.375352000000007</v>
      </c>
      <c r="X52">
        <v>0</v>
      </c>
      <c r="Y52">
        <v>0</v>
      </c>
      <c r="Z52">
        <v>1</v>
      </c>
      <c r="AA52">
        <v>0</v>
      </c>
      <c r="AB52">
        <v>0</v>
      </c>
      <c r="AC52" t="s">
        <v>279</v>
      </c>
      <c r="AD52" t="s">
        <v>596</v>
      </c>
    </row>
    <row r="53" spans="1:30" ht="75" x14ac:dyDescent="0.25">
      <c r="A53" t="s">
        <v>280</v>
      </c>
      <c r="B53" t="s">
        <v>281</v>
      </c>
      <c r="C53" t="s">
        <v>77</v>
      </c>
      <c r="D53" t="s">
        <v>78</v>
      </c>
      <c r="E53" t="s">
        <v>282</v>
      </c>
      <c r="F53" s="3" t="s">
        <v>80</v>
      </c>
      <c r="G53">
        <v>2.5</v>
      </c>
      <c r="H53" s="8">
        <v>8</v>
      </c>
      <c r="I53" t="s">
        <v>41</v>
      </c>
      <c r="J53" s="1" t="s">
        <v>283</v>
      </c>
      <c r="K53" t="s">
        <v>62</v>
      </c>
      <c r="L53" t="s">
        <v>63</v>
      </c>
      <c r="M53" t="s">
        <v>64</v>
      </c>
      <c r="N53">
        <v>20</v>
      </c>
      <c r="O53">
        <v>1</v>
      </c>
      <c r="P53">
        <f>0.06*20</f>
        <v>1.2</v>
      </c>
      <c r="Q53" t="s">
        <v>46</v>
      </c>
      <c r="R53">
        <v>37.273040229999999</v>
      </c>
      <c r="S53">
        <v>-76.728193660000002</v>
      </c>
      <c r="X53">
        <v>0</v>
      </c>
      <c r="Y53">
        <v>1</v>
      </c>
      <c r="Z53">
        <v>1</v>
      </c>
      <c r="AA53">
        <v>0</v>
      </c>
      <c r="AB53">
        <v>1</v>
      </c>
      <c r="AD53" t="s">
        <v>597</v>
      </c>
    </row>
    <row r="54" spans="1:30" ht="75" x14ac:dyDescent="0.25">
      <c r="A54" t="s">
        <v>284</v>
      </c>
      <c r="B54" t="s">
        <v>285</v>
      </c>
      <c r="C54" t="s">
        <v>77</v>
      </c>
      <c r="D54" t="s">
        <v>78</v>
      </c>
      <c r="E54" t="s">
        <v>94</v>
      </c>
      <c r="F54" s="3" t="s">
        <v>80</v>
      </c>
      <c r="G54">
        <v>10</v>
      </c>
      <c r="H54" s="8">
        <v>12</v>
      </c>
      <c r="I54" s="1" t="s">
        <v>41</v>
      </c>
      <c r="J54" s="1" t="s">
        <v>286</v>
      </c>
      <c r="K54" t="s">
        <v>43</v>
      </c>
      <c r="L54" t="s">
        <v>44</v>
      </c>
      <c r="M54" t="s">
        <v>64</v>
      </c>
      <c r="N54">
        <v>208</v>
      </c>
      <c r="O54">
        <v>3</v>
      </c>
      <c r="P54">
        <f>0.2922 * 208</f>
        <v>60.777600000000007</v>
      </c>
      <c r="Q54" t="s">
        <v>46</v>
      </c>
      <c r="R54">
        <v>28.039148999999998</v>
      </c>
      <c r="S54" s="5">
        <v>-82.441783000000001</v>
      </c>
      <c r="T54">
        <v>28.039148999999998</v>
      </c>
      <c r="U54" s="5">
        <v>-82.441783000000001</v>
      </c>
      <c r="V54">
        <v>29.664878999999999</v>
      </c>
      <c r="W54" s="5">
        <v>-81.508268000000001</v>
      </c>
      <c r="X54" s="4">
        <v>1</v>
      </c>
      <c r="Y54" s="4">
        <v>1</v>
      </c>
      <c r="Z54" s="4">
        <v>0</v>
      </c>
      <c r="AA54" s="4">
        <v>0</v>
      </c>
      <c r="AB54" s="4">
        <v>1</v>
      </c>
      <c r="AC54" t="s">
        <v>287</v>
      </c>
    </row>
    <row r="55" spans="1:30" ht="60" x14ac:dyDescent="0.25">
      <c r="A55" t="s">
        <v>288</v>
      </c>
      <c r="B55" t="s">
        <v>289</v>
      </c>
      <c r="C55" t="s">
        <v>77</v>
      </c>
      <c r="D55" t="s">
        <v>290</v>
      </c>
      <c r="E55" t="s">
        <v>291</v>
      </c>
      <c r="F55" s="3" t="s">
        <v>123</v>
      </c>
      <c r="G55">
        <v>5</v>
      </c>
      <c r="H55" s="8">
        <v>8</v>
      </c>
      <c r="I55" t="s">
        <v>41</v>
      </c>
      <c r="J55" s="1" t="s">
        <v>292</v>
      </c>
      <c r="K55" t="s">
        <v>62</v>
      </c>
      <c r="L55" t="s">
        <v>63</v>
      </c>
      <c r="M55" t="s">
        <v>45</v>
      </c>
      <c r="N55">
        <v>9</v>
      </c>
      <c r="O55">
        <v>1</v>
      </c>
      <c r="P55">
        <f>0.06*9</f>
        <v>0.54</v>
      </c>
      <c r="Q55" t="s">
        <v>64</v>
      </c>
      <c r="R55">
        <f>-(20+(47+17/60)/60)</f>
        <v>-20.788055555555555</v>
      </c>
      <c r="S55">
        <f>44+(10+8/60)/60</f>
        <v>44.168888888888887</v>
      </c>
      <c r="X55">
        <v>0</v>
      </c>
      <c r="Y55">
        <v>1</v>
      </c>
      <c r="Z55">
        <v>1</v>
      </c>
      <c r="AA55">
        <v>0</v>
      </c>
      <c r="AB55">
        <v>1</v>
      </c>
    </row>
    <row r="56" spans="1:30" ht="105" x14ac:dyDescent="0.25">
      <c r="A56" t="s">
        <v>293</v>
      </c>
      <c r="B56" t="s">
        <v>294</v>
      </c>
      <c r="C56" t="s">
        <v>77</v>
      </c>
      <c r="D56" t="s">
        <v>37</v>
      </c>
      <c r="E56" t="s">
        <v>50</v>
      </c>
      <c r="F56" s="3" t="s">
        <v>39</v>
      </c>
      <c r="G56">
        <v>1</v>
      </c>
      <c r="H56" s="8">
        <v>3</v>
      </c>
      <c r="I56" t="s">
        <v>41</v>
      </c>
      <c r="J56" s="1" t="s">
        <v>295</v>
      </c>
      <c r="K56" t="s">
        <v>62</v>
      </c>
      <c r="L56" t="s">
        <v>63</v>
      </c>
      <c r="M56" t="s">
        <v>64</v>
      </c>
      <c r="N56">
        <v>1</v>
      </c>
      <c r="O56">
        <v>1</v>
      </c>
      <c r="P56">
        <v>1</v>
      </c>
      <c r="Q56" t="s">
        <v>46</v>
      </c>
      <c r="R56">
        <v>23.1698797870032</v>
      </c>
      <c r="S56">
        <v>112.534219377781</v>
      </c>
      <c r="X56">
        <v>0</v>
      </c>
      <c r="Y56">
        <v>1</v>
      </c>
      <c r="Z56">
        <v>0</v>
      </c>
      <c r="AA56">
        <v>0</v>
      </c>
      <c r="AB56">
        <v>1</v>
      </c>
      <c r="AD56" t="s">
        <v>598</v>
      </c>
    </row>
    <row r="57" spans="1:30" ht="45" x14ac:dyDescent="0.25">
      <c r="A57" t="s">
        <v>52</v>
      </c>
      <c r="B57" t="s">
        <v>53</v>
      </c>
      <c r="C57" t="s">
        <v>36</v>
      </c>
      <c r="D57" t="s">
        <v>37</v>
      </c>
      <c r="E57" t="s">
        <v>38</v>
      </c>
      <c r="F57" s="3" t="s">
        <v>39</v>
      </c>
      <c r="G57" t="s">
        <v>40</v>
      </c>
      <c r="H57" s="8">
        <v>1</v>
      </c>
      <c r="I57" t="s">
        <v>41</v>
      </c>
      <c r="J57" s="1" t="s">
        <v>54</v>
      </c>
      <c r="K57" t="s">
        <v>43</v>
      </c>
      <c r="L57" t="s">
        <v>44</v>
      </c>
      <c r="M57" t="s">
        <v>45</v>
      </c>
      <c r="N57" t="s">
        <v>40</v>
      </c>
      <c r="O57" t="s">
        <v>40</v>
      </c>
      <c r="P57" t="s">
        <v>40</v>
      </c>
      <c r="Q57" t="s">
        <v>46</v>
      </c>
      <c r="R57">
        <v>24.718941999999998</v>
      </c>
      <c r="S57">
        <v>118.12653400000001</v>
      </c>
      <c r="X57">
        <v>0</v>
      </c>
      <c r="Y57">
        <v>1</v>
      </c>
      <c r="Z57">
        <v>1</v>
      </c>
      <c r="AA57">
        <v>0</v>
      </c>
      <c r="AB57">
        <v>0</v>
      </c>
      <c r="AC57" t="s">
        <v>47</v>
      </c>
      <c r="AD57" t="s">
        <v>591</v>
      </c>
    </row>
    <row r="58" spans="1:30" ht="60" x14ac:dyDescent="0.25">
      <c r="A58" t="s">
        <v>296</v>
      </c>
      <c r="B58" t="s">
        <v>297</v>
      </c>
      <c r="C58" t="s">
        <v>77</v>
      </c>
      <c r="D58" t="s">
        <v>78</v>
      </c>
      <c r="E58" t="s">
        <v>94</v>
      </c>
      <c r="F58" s="3" t="s">
        <v>80</v>
      </c>
      <c r="G58">
        <v>10</v>
      </c>
      <c r="H58" s="8">
        <v>0.25</v>
      </c>
      <c r="I58" s="1" t="s">
        <v>41</v>
      </c>
      <c r="J58" s="1" t="s">
        <v>298</v>
      </c>
      <c r="K58" t="s">
        <v>43</v>
      </c>
      <c r="L58" t="s">
        <v>44</v>
      </c>
      <c r="M58" t="s">
        <v>45</v>
      </c>
      <c r="N58" t="s">
        <v>40</v>
      </c>
      <c r="O58" t="s">
        <v>40</v>
      </c>
      <c r="P58" t="s">
        <v>40</v>
      </c>
      <c r="Q58" t="s">
        <v>46</v>
      </c>
      <c r="R58">
        <v>30.3557139644541</v>
      </c>
      <c r="S58" s="5">
        <v>-81.606821876216799</v>
      </c>
      <c r="X58">
        <v>0</v>
      </c>
      <c r="Y58">
        <v>0</v>
      </c>
      <c r="Z58">
        <v>0</v>
      </c>
      <c r="AA58">
        <v>0</v>
      </c>
      <c r="AB58">
        <v>0</v>
      </c>
      <c r="AD58" t="s">
        <v>585</v>
      </c>
    </row>
    <row r="59" spans="1:30" ht="75" x14ac:dyDescent="0.25">
      <c r="A59" t="s">
        <v>299</v>
      </c>
      <c r="B59" t="s">
        <v>300</v>
      </c>
      <c r="C59" t="s">
        <v>77</v>
      </c>
      <c r="D59" t="s">
        <v>78</v>
      </c>
      <c r="E59" t="s">
        <v>94</v>
      </c>
      <c r="F59" s="3" t="s">
        <v>80</v>
      </c>
      <c r="G59" t="s">
        <v>40</v>
      </c>
      <c r="H59" s="8">
        <v>1</v>
      </c>
      <c r="I59" s="1" t="s">
        <v>41</v>
      </c>
      <c r="J59" s="1" t="s">
        <v>301</v>
      </c>
      <c r="K59" t="s">
        <v>43</v>
      </c>
      <c r="L59" t="s">
        <v>191</v>
      </c>
      <c r="M59" t="s">
        <v>45</v>
      </c>
      <c r="N59" t="s">
        <v>40</v>
      </c>
      <c r="O59">
        <v>1</v>
      </c>
      <c r="P59" t="s">
        <v>40</v>
      </c>
      <c r="Q59" t="s">
        <v>46</v>
      </c>
      <c r="R59">
        <v>25.611433999999999</v>
      </c>
      <c r="S59">
        <v>-80.398978999999997</v>
      </c>
      <c r="X59" s="4">
        <v>0</v>
      </c>
      <c r="Y59" s="4">
        <v>0</v>
      </c>
      <c r="Z59" s="4">
        <v>1</v>
      </c>
      <c r="AA59" s="4">
        <v>0</v>
      </c>
      <c r="AB59" s="4">
        <v>0</v>
      </c>
      <c r="AC59" t="s">
        <v>302</v>
      </c>
      <c r="AD59" t="s">
        <v>599</v>
      </c>
    </row>
    <row r="60" spans="1:30" ht="135" x14ac:dyDescent="0.25">
      <c r="A60" t="s">
        <v>303</v>
      </c>
      <c r="B60" t="s">
        <v>304</v>
      </c>
      <c r="C60" t="s">
        <v>77</v>
      </c>
      <c r="D60" t="s">
        <v>107</v>
      </c>
      <c r="E60" t="s">
        <v>108</v>
      </c>
      <c r="F60" s="3" t="s">
        <v>80</v>
      </c>
      <c r="G60">
        <v>5</v>
      </c>
      <c r="H60" s="8">
        <v>9</v>
      </c>
      <c r="I60" s="5" t="s">
        <v>305</v>
      </c>
      <c r="J60" s="1" t="s">
        <v>306</v>
      </c>
      <c r="K60" t="s">
        <v>62</v>
      </c>
      <c r="L60" t="s">
        <v>307</v>
      </c>
      <c r="M60" t="s">
        <v>45</v>
      </c>
      <c r="N60">
        <v>1</v>
      </c>
      <c r="O60">
        <v>91</v>
      </c>
      <c r="P60">
        <f>91*0.05</f>
        <v>4.55</v>
      </c>
      <c r="Q60" t="s">
        <v>46</v>
      </c>
      <c r="R60">
        <f>AVERAGE(T60, V60)</f>
        <v>19</v>
      </c>
      <c r="S60">
        <f>AVERAGE(U60, W60)</f>
        <v>-88.6</v>
      </c>
      <c r="T60">
        <v>19.600000000000001</v>
      </c>
      <c r="U60">
        <v>-89.8</v>
      </c>
      <c r="V60">
        <v>18.399999999999999</v>
      </c>
      <c r="W60">
        <v>-87.4</v>
      </c>
      <c r="X60">
        <v>1</v>
      </c>
      <c r="Y60">
        <v>1</v>
      </c>
      <c r="Z60">
        <v>1</v>
      </c>
      <c r="AA60">
        <v>0</v>
      </c>
      <c r="AB60">
        <v>1</v>
      </c>
      <c r="AC60" t="s">
        <v>308</v>
      </c>
    </row>
    <row r="61" spans="1:30" ht="180" x14ac:dyDescent="0.25">
      <c r="A61" s="3" t="s">
        <v>309</v>
      </c>
      <c r="B61" t="s">
        <v>310</v>
      </c>
      <c r="C61" t="s">
        <v>77</v>
      </c>
      <c r="D61" t="s">
        <v>121</v>
      </c>
      <c r="E61" t="s">
        <v>137</v>
      </c>
      <c r="F61" s="3" t="s">
        <v>123</v>
      </c>
      <c r="G61">
        <v>10</v>
      </c>
      <c r="H61" s="8">
        <v>1</v>
      </c>
      <c r="I61" t="s">
        <v>41</v>
      </c>
      <c r="J61" s="1" t="s">
        <v>311</v>
      </c>
      <c r="K61" t="s">
        <v>62</v>
      </c>
      <c r="L61" t="s">
        <v>63</v>
      </c>
      <c r="M61" t="s">
        <v>64</v>
      </c>
      <c r="N61">
        <v>10</v>
      </c>
      <c r="O61">
        <v>10</v>
      </c>
      <c r="P61">
        <f>0.5*10</f>
        <v>5</v>
      </c>
      <c r="Q61" t="s">
        <v>46</v>
      </c>
      <c r="R61" s="3">
        <v>-17.533329999999999</v>
      </c>
      <c r="S61" s="3">
        <v>145.76669999999999</v>
      </c>
      <c r="X61">
        <v>0</v>
      </c>
      <c r="Y61">
        <v>1</v>
      </c>
      <c r="Z61">
        <v>1</v>
      </c>
      <c r="AA61">
        <v>0</v>
      </c>
      <c r="AB61">
        <v>1</v>
      </c>
      <c r="AD61" t="s">
        <v>583</v>
      </c>
    </row>
    <row r="62" spans="1:30" ht="60" x14ac:dyDescent="0.25">
      <c r="A62" t="s">
        <v>312</v>
      </c>
      <c r="B62" t="s">
        <v>313</v>
      </c>
      <c r="C62" t="s">
        <v>77</v>
      </c>
      <c r="D62" t="s">
        <v>78</v>
      </c>
      <c r="E62" t="s">
        <v>252</v>
      </c>
      <c r="F62" s="3" t="s">
        <v>80</v>
      </c>
      <c r="G62" t="s">
        <v>40</v>
      </c>
      <c r="H62" s="8">
        <v>12</v>
      </c>
      <c r="I62" t="s">
        <v>41</v>
      </c>
      <c r="J62" s="1" t="s">
        <v>314</v>
      </c>
      <c r="K62" t="s">
        <v>62</v>
      </c>
      <c r="L62" t="s">
        <v>63</v>
      </c>
      <c r="M62" t="s">
        <v>45</v>
      </c>
      <c r="N62">
        <v>15</v>
      </c>
      <c r="O62">
        <v>3</v>
      </c>
      <c r="P62">
        <f>0.01*15</f>
        <v>0.15</v>
      </c>
      <c r="Q62" t="s">
        <v>46</v>
      </c>
      <c r="R62">
        <v>30.4</v>
      </c>
      <c r="S62">
        <v>-89.7</v>
      </c>
      <c r="X62">
        <v>0</v>
      </c>
      <c r="Y62">
        <v>0</v>
      </c>
      <c r="Z62">
        <v>0</v>
      </c>
      <c r="AA62">
        <v>0</v>
      </c>
      <c r="AB62">
        <v>1</v>
      </c>
      <c r="AD62" t="s">
        <v>582</v>
      </c>
    </row>
    <row r="63" spans="1:30" ht="30" x14ac:dyDescent="0.25">
      <c r="A63" t="s">
        <v>561</v>
      </c>
      <c r="B63" t="s">
        <v>562</v>
      </c>
      <c r="C63" t="s">
        <v>550</v>
      </c>
      <c r="D63" t="s">
        <v>102</v>
      </c>
      <c r="E63" t="s">
        <v>563</v>
      </c>
      <c r="F63" s="3" t="s">
        <v>39</v>
      </c>
      <c r="G63" t="s">
        <v>40</v>
      </c>
      <c r="H63" s="8">
        <v>0.25</v>
      </c>
      <c r="I63" s="1" t="s">
        <v>41</v>
      </c>
      <c r="J63" s="1" t="s">
        <v>564</v>
      </c>
      <c r="K63" t="s">
        <v>43</v>
      </c>
      <c r="L63" t="s">
        <v>44</v>
      </c>
      <c r="M63" t="s">
        <v>45</v>
      </c>
      <c r="N63">
        <v>1</v>
      </c>
      <c r="O63">
        <v>1</v>
      </c>
      <c r="P63">
        <v>22</v>
      </c>
      <c r="Q63" t="s">
        <v>45</v>
      </c>
      <c r="R63">
        <v>34.548793760000002</v>
      </c>
      <c r="S63">
        <v>135.50630699999999</v>
      </c>
      <c r="X63">
        <v>1</v>
      </c>
      <c r="Y63">
        <v>1</v>
      </c>
      <c r="Z63">
        <v>1</v>
      </c>
      <c r="AA63">
        <v>0</v>
      </c>
      <c r="AB63">
        <v>0</v>
      </c>
      <c r="AD63" t="s">
        <v>600</v>
      </c>
    </row>
    <row r="64" spans="1:30" ht="90" x14ac:dyDescent="0.25">
      <c r="A64" t="s">
        <v>315</v>
      </c>
      <c r="B64" t="s">
        <v>316</v>
      </c>
      <c r="C64" t="s">
        <v>77</v>
      </c>
      <c r="D64" t="s">
        <v>78</v>
      </c>
      <c r="E64" t="s">
        <v>317</v>
      </c>
      <c r="F64" s="3" t="s">
        <v>80</v>
      </c>
      <c r="G64">
        <v>10</v>
      </c>
      <c r="H64" s="8" t="s">
        <v>40</v>
      </c>
      <c r="I64" t="s">
        <v>305</v>
      </c>
      <c r="J64" s="1" t="s">
        <v>318</v>
      </c>
      <c r="K64" t="s">
        <v>62</v>
      </c>
      <c r="L64" t="s">
        <v>63</v>
      </c>
      <c r="M64" t="s">
        <v>45</v>
      </c>
      <c r="N64">
        <f>27+8+20</f>
        <v>55</v>
      </c>
      <c r="O64">
        <v>3</v>
      </c>
      <c r="P64">
        <f>(5*20*20+2*180*30+8*30*30+15*20*20)/10000</f>
        <v>2.6</v>
      </c>
      <c r="Q64" t="s">
        <v>46</v>
      </c>
      <c r="R64">
        <v>30.34</v>
      </c>
      <c r="S64">
        <v>89.67</v>
      </c>
      <c r="X64">
        <v>0</v>
      </c>
      <c r="Y64">
        <v>1</v>
      </c>
      <c r="Z64">
        <v>0</v>
      </c>
      <c r="AA64">
        <v>0</v>
      </c>
      <c r="AB64">
        <v>1</v>
      </c>
      <c r="AC64" t="s">
        <v>319</v>
      </c>
      <c r="AD64" t="s">
        <v>585</v>
      </c>
    </row>
    <row r="65" spans="1:30" ht="105" x14ac:dyDescent="0.25">
      <c r="A65" t="s">
        <v>536</v>
      </c>
      <c r="B65" t="s">
        <v>537</v>
      </c>
      <c r="C65" t="s">
        <v>77</v>
      </c>
      <c r="D65" t="s">
        <v>78</v>
      </c>
      <c r="E65" t="s">
        <v>94</v>
      </c>
      <c r="F65" s="3" t="s">
        <v>80</v>
      </c>
      <c r="G65" t="s">
        <v>40</v>
      </c>
      <c r="H65" s="8">
        <v>6</v>
      </c>
      <c r="I65" s="1" t="s">
        <v>41</v>
      </c>
      <c r="J65" s="1" t="s">
        <v>538</v>
      </c>
      <c r="K65" t="s">
        <v>43</v>
      </c>
      <c r="L65" t="s">
        <v>44</v>
      </c>
      <c r="M65" t="s">
        <v>64</v>
      </c>
      <c r="N65" t="s">
        <v>40</v>
      </c>
      <c r="O65">
        <v>3</v>
      </c>
      <c r="P65" t="s">
        <v>40</v>
      </c>
      <c r="Q65" t="s">
        <v>46</v>
      </c>
      <c r="R65">
        <v>27.970500000000001</v>
      </c>
      <c r="S65">
        <v>-82.444199999999995</v>
      </c>
      <c r="X65">
        <v>1</v>
      </c>
      <c r="Y65">
        <v>1</v>
      </c>
      <c r="Z65">
        <v>1</v>
      </c>
      <c r="AA65">
        <v>1</v>
      </c>
      <c r="AB65">
        <v>1</v>
      </c>
    </row>
    <row r="66" spans="1:30" ht="120" x14ac:dyDescent="0.25">
      <c r="A66" t="s">
        <v>320</v>
      </c>
      <c r="B66" t="s">
        <v>321</v>
      </c>
      <c r="C66" t="s">
        <v>77</v>
      </c>
      <c r="D66" t="s">
        <v>37</v>
      </c>
      <c r="E66" t="s">
        <v>50</v>
      </c>
      <c r="F66" s="3" t="s">
        <v>39</v>
      </c>
      <c r="G66">
        <v>10</v>
      </c>
      <c r="H66" s="8">
        <v>1</v>
      </c>
      <c r="I66" t="s">
        <v>41</v>
      </c>
      <c r="J66" s="1" t="s">
        <v>322</v>
      </c>
      <c r="K66" t="s">
        <v>62</v>
      </c>
      <c r="L66" t="s">
        <v>63</v>
      </c>
      <c r="M66" t="s">
        <v>64</v>
      </c>
      <c r="N66">
        <v>500</v>
      </c>
      <c r="O66">
        <v>1</v>
      </c>
      <c r="P66">
        <v>20</v>
      </c>
      <c r="Q66" t="s">
        <v>46</v>
      </c>
      <c r="R66">
        <f>AVERAGE(T66, V66)</f>
        <v>23.173749999999998</v>
      </c>
      <c r="S66">
        <f>AVERAGE(U66, W66)</f>
        <v>112.53611111111111</v>
      </c>
      <c r="T66">
        <f>23+(11+30/60)/60</f>
        <v>23.191666666666666</v>
      </c>
      <c r="U66">
        <f>112+(33+41/60)/60</f>
        <v>112.56138888888889</v>
      </c>
      <c r="V66">
        <f>23+(9+21/60)/60</f>
        <v>23.155833333333334</v>
      </c>
      <c r="W66">
        <f>112+(30+39/60)/60</f>
        <v>112.51083333333334</v>
      </c>
      <c r="X66">
        <v>0</v>
      </c>
      <c r="Y66">
        <v>1</v>
      </c>
      <c r="Z66">
        <v>1</v>
      </c>
      <c r="AA66">
        <v>0</v>
      </c>
      <c r="AB66">
        <v>0</v>
      </c>
    </row>
    <row r="67" spans="1:30" ht="165" x14ac:dyDescent="0.25">
      <c r="A67" t="s">
        <v>323</v>
      </c>
      <c r="B67" t="s">
        <v>324</v>
      </c>
      <c r="C67" t="s">
        <v>77</v>
      </c>
      <c r="D67" t="s">
        <v>90</v>
      </c>
      <c r="E67" t="s">
        <v>40</v>
      </c>
      <c r="F67" s="3" t="s">
        <v>80</v>
      </c>
      <c r="G67">
        <v>10</v>
      </c>
      <c r="H67" s="8">
        <v>12</v>
      </c>
      <c r="I67" t="s">
        <v>41</v>
      </c>
      <c r="J67" s="1" t="s">
        <v>325</v>
      </c>
      <c r="K67" t="s">
        <v>62</v>
      </c>
      <c r="L67" t="s">
        <v>63</v>
      </c>
      <c r="M67" t="s">
        <v>64</v>
      </c>
      <c r="N67">
        <v>400</v>
      </c>
      <c r="O67">
        <v>1</v>
      </c>
      <c r="P67">
        <v>16</v>
      </c>
      <c r="Q67" t="s">
        <v>46</v>
      </c>
      <c r="R67">
        <v>18.32817257</v>
      </c>
      <c r="S67">
        <v>-65.813178160000007</v>
      </c>
      <c r="X67">
        <v>0</v>
      </c>
      <c r="Y67">
        <v>1</v>
      </c>
      <c r="Z67">
        <v>1</v>
      </c>
      <c r="AA67">
        <v>0</v>
      </c>
      <c r="AB67">
        <v>0</v>
      </c>
      <c r="AD67" t="s">
        <v>577</v>
      </c>
    </row>
    <row r="68" spans="1:30" ht="135" x14ac:dyDescent="0.25">
      <c r="A68" t="s">
        <v>326</v>
      </c>
      <c r="B68" t="s">
        <v>327</v>
      </c>
      <c r="C68" t="s">
        <v>77</v>
      </c>
      <c r="D68" t="s">
        <v>90</v>
      </c>
      <c r="E68" t="s">
        <v>40</v>
      </c>
      <c r="F68" s="3" t="s">
        <v>80</v>
      </c>
      <c r="G68">
        <v>9.1</v>
      </c>
      <c r="H68" s="8">
        <v>6</v>
      </c>
      <c r="I68" t="s">
        <v>41</v>
      </c>
      <c r="J68" s="1" t="s">
        <v>328</v>
      </c>
      <c r="K68" t="s">
        <v>62</v>
      </c>
      <c r="L68" t="s">
        <v>63</v>
      </c>
      <c r="M68" t="s">
        <v>64</v>
      </c>
      <c r="N68">
        <v>21</v>
      </c>
      <c r="O68">
        <v>1</v>
      </c>
      <c r="P68">
        <f>0.04*21</f>
        <v>0.84</v>
      </c>
      <c r="Q68" t="s">
        <v>46</v>
      </c>
      <c r="R68">
        <v>18.26989996</v>
      </c>
      <c r="S68">
        <v>-65.84972028</v>
      </c>
      <c r="X68">
        <v>0</v>
      </c>
      <c r="Y68">
        <v>1</v>
      </c>
      <c r="Z68">
        <v>1</v>
      </c>
      <c r="AA68">
        <v>0</v>
      </c>
      <c r="AB68">
        <v>1</v>
      </c>
      <c r="AD68" t="s">
        <v>587</v>
      </c>
    </row>
    <row r="69" spans="1:30" ht="135" x14ac:dyDescent="0.25">
      <c r="A69" t="s">
        <v>329</v>
      </c>
      <c r="B69" t="s">
        <v>330</v>
      </c>
      <c r="C69" t="s">
        <v>77</v>
      </c>
      <c r="D69" t="s">
        <v>78</v>
      </c>
      <c r="E69" t="s">
        <v>252</v>
      </c>
      <c r="F69" s="3" t="s">
        <v>80</v>
      </c>
      <c r="G69">
        <v>12.7</v>
      </c>
      <c r="H69" s="8">
        <v>3</v>
      </c>
      <c r="I69" s="1" t="s">
        <v>41</v>
      </c>
      <c r="J69" s="1" t="s">
        <v>331</v>
      </c>
      <c r="K69" t="s">
        <v>62</v>
      </c>
      <c r="L69" t="s">
        <v>63</v>
      </c>
      <c r="M69" t="s">
        <v>64</v>
      </c>
      <c r="N69">
        <v>1</v>
      </c>
      <c r="O69">
        <v>1581</v>
      </c>
      <c r="P69">
        <f>1581*0.06</f>
        <v>94.86</v>
      </c>
      <c r="Q69" t="s">
        <v>46</v>
      </c>
      <c r="R69">
        <f>AVERAGE(T69, V69)</f>
        <v>32.700928500000003</v>
      </c>
      <c r="S69">
        <f>AVERAGE(U69, W69)</f>
        <v>-89.869965000000008</v>
      </c>
      <c r="T69">
        <v>34.919333999999999</v>
      </c>
      <c r="U69">
        <v>-91.296368999999999</v>
      </c>
      <c r="V69">
        <v>30.482523</v>
      </c>
      <c r="W69">
        <v>-88.443561000000003</v>
      </c>
      <c r="X69" s="4">
        <v>1</v>
      </c>
      <c r="Y69" s="4">
        <v>1</v>
      </c>
      <c r="Z69" s="4">
        <v>1</v>
      </c>
      <c r="AA69" s="4">
        <v>0</v>
      </c>
      <c r="AB69" s="4">
        <v>1</v>
      </c>
      <c r="AC69" t="s">
        <v>332</v>
      </c>
      <c r="AD69" t="s">
        <v>582</v>
      </c>
    </row>
    <row r="70" spans="1:30" ht="120" x14ac:dyDescent="0.25">
      <c r="A70" t="s">
        <v>333</v>
      </c>
      <c r="B70" t="s">
        <v>334</v>
      </c>
      <c r="C70" t="s">
        <v>77</v>
      </c>
      <c r="D70" t="s">
        <v>78</v>
      </c>
      <c r="E70" t="s">
        <v>94</v>
      </c>
      <c r="F70" s="3" t="s">
        <v>80</v>
      </c>
      <c r="G70" t="s">
        <v>40</v>
      </c>
      <c r="H70" s="8">
        <v>4</v>
      </c>
      <c r="I70" t="s">
        <v>41</v>
      </c>
      <c r="J70" s="1" t="s">
        <v>335</v>
      </c>
      <c r="K70" t="s">
        <v>62</v>
      </c>
      <c r="L70" t="s">
        <v>63</v>
      </c>
      <c r="M70" t="s">
        <v>64</v>
      </c>
      <c r="N70" t="s">
        <v>40</v>
      </c>
      <c r="O70">
        <v>3</v>
      </c>
      <c r="P70" t="s">
        <v>40</v>
      </c>
      <c r="Q70" t="s">
        <v>46</v>
      </c>
      <c r="R70" s="3">
        <v>25.559529999999999</v>
      </c>
      <c r="S70" s="3">
        <v>-80.448800000000006</v>
      </c>
      <c r="X70">
        <v>0</v>
      </c>
      <c r="Y70">
        <v>1</v>
      </c>
      <c r="Z70">
        <v>1</v>
      </c>
      <c r="AA70">
        <v>0</v>
      </c>
      <c r="AB70">
        <v>1</v>
      </c>
      <c r="AD70" t="s">
        <v>584</v>
      </c>
    </row>
    <row r="71" spans="1:30" ht="120" x14ac:dyDescent="0.25">
      <c r="A71" t="s">
        <v>336</v>
      </c>
      <c r="B71" t="s">
        <v>337</v>
      </c>
      <c r="C71" t="s">
        <v>77</v>
      </c>
      <c r="D71" t="s">
        <v>107</v>
      </c>
      <c r="E71" t="s">
        <v>248</v>
      </c>
      <c r="F71" s="3" t="s">
        <v>85</v>
      </c>
      <c r="G71">
        <v>10</v>
      </c>
      <c r="H71" s="8">
        <v>18</v>
      </c>
      <c r="I71" t="s">
        <v>86</v>
      </c>
      <c r="J71" s="1" t="s">
        <v>338</v>
      </c>
      <c r="K71" t="s">
        <v>62</v>
      </c>
      <c r="L71" t="s">
        <v>63</v>
      </c>
      <c r="M71" t="s">
        <v>64</v>
      </c>
      <c r="N71">
        <v>12</v>
      </c>
      <c r="O71">
        <v>1</v>
      </c>
      <c r="P71">
        <f>0.01*12</f>
        <v>0.12</v>
      </c>
      <c r="Q71" t="s">
        <v>46</v>
      </c>
      <c r="R71">
        <v>19.484141999999999</v>
      </c>
      <c r="S71" s="5">
        <v>-104.997112</v>
      </c>
      <c r="X71">
        <v>0</v>
      </c>
      <c r="Y71">
        <v>1</v>
      </c>
      <c r="Z71">
        <v>1</v>
      </c>
      <c r="AA71">
        <v>0</v>
      </c>
      <c r="AB71">
        <v>1</v>
      </c>
    </row>
    <row r="72" spans="1:30" ht="150" x14ac:dyDescent="0.25">
      <c r="A72" t="s">
        <v>339</v>
      </c>
      <c r="B72" t="s">
        <v>340</v>
      </c>
      <c r="C72" t="s">
        <v>77</v>
      </c>
      <c r="D72" t="s">
        <v>78</v>
      </c>
      <c r="E72" t="s">
        <v>94</v>
      </c>
      <c r="F72" s="3" t="s">
        <v>80</v>
      </c>
      <c r="G72" t="s">
        <v>40</v>
      </c>
      <c r="H72" s="8">
        <v>7</v>
      </c>
      <c r="I72" t="s">
        <v>41</v>
      </c>
      <c r="J72" s="1" t="s">
        <v>341</v>
      </c>
      <c r="K72" t="s">
        <v>62</v>
      </c>
      <c r="L72" t="s">
        <v>63</v>
      </c>
      <c r="M72" t="s">
        <v>45</v>
      </c>
      <c r="N72">
        <v>50</v>
      </c>
      <c r="O72">
        <v>3</v>
      </c>
      <c r="P72">
        <f>50*0.041</f>
        <v>2.0500000000000003</v>
      </c>
      <c r="Q72" t="s">
        <v>46</v>
      </c>
      <c r="R72" s="3">
        <v>25.702010000000001</v>
      </c>
      <c r="S72" s="3">
        <v>-81.064400000000006</v>
      </c>
      <c r="X72">
        <v>1</v>
      </c>
      <c r="Y72">
        <v>1</v>
      </c>
      <c r="Z72">
        <v>1</v>
      </c>
      <c r="AA72">
        <v>0</v>
      </c>
      <c r="AB72">
        <v>1</v>
      </c>
    </row>
    <row r="73" spans="1:30" ht="60" x14ac:dyDescent="0.25">
      <c r="A73" t="s">
        <v>342</v>
      </c>
      <c r="B73" t="s">
        <v>343</v>
      </c>
      <c r="C73" t="s">
        <v>77</v>
      </c>
      <c r="D73" t="s">
        <v>344</v>
      </c>
      <c r="E73" t="s">
        <v>40</v>
      </c>
      <c r="F73" s="3" t="s">
        <v>123</v>
      </c>
      <c r="G73">
        <v>30</v>
      </c>
      <c r="H73" s="8">
        <v>4</v>
      </c>
      <c r="I73" t="s">
        <v>41</v>
      </c>
      <c r="J73" s="1" t="s">
        <v>345</v>
      </c>
      <c r="K73" t="s">
        <v>62</v>
      </c>
      <c r="L73" t="s">
        <v>63</v>
      </c>
      <c r="M73" t="s">
        <v>45</v>
      </c>
      <c r="N73" t="s">
        <v>40</v>
      </c>
      <c r="O73">
        <v>1</v>
      </c>
      <c r="P73" t="s">
        <v>40</v>
      </c>
      <c r="Q73" t="s">
        <v>64</v>
      </c>
      <c r="R73">
        <v>-19.07</v>
      </c>
      <c r="S73">
        <v>32.47</v>
      </c>
      <c r="X73">
        <v>0</v>
      </c>
      <c r="Y73">
        <v>0</v>
      </c>
      <c r="Z73">
        <v>0</v>
      </c>
      <c r="AA73">
        <v>0</v>
      </c>
      <c r="AB73">
        <v>1</v>
      </c>
      <c r="AD73" t="s">
        <v>601</v>
      </c>
    </row>
    <row r="74" spans="1:30" ht="105" x14ac:dyDescent="0.25">
      <c r="A74" t="s">
        <v>346</v>
      </c>
      <c r="B74" t="s">
        <v>347</v>
      </c>
      <c r="C74" t="s">
        <v>77</v>
      </c>
      <c r="D74" t="s">
        <v>78</v>
      </c>
      <c r="E74" t="s">
        <v>282</v>
      </c>
      <c r="F74" s="3" t="s">
        <v>80</v>
      </c>
      <c r="G74">
        <v>2.5</v>
      </c>
      <c r="H74" s="8">
        <v>8</v>
      </c>
      <c r="I74" t="s">
        <v>41</v>
      </c>
      <c r="J74" s="1" t="s">
        <v>348</v>
      </c>
      <c r="K74" t="s">
        <v>62</v>
      </c>
      <c r="L74" t="s">
        <v>63</v>
      </c>
      <c r="M74" t="s">
        <v>64</v>
      </c>
      <c r="N74">
        <v>27</v>
      </c>
      <c r="O74">
        <v>1</v>
      </c>
      <c r="P74">
        <v>0.84819999999999995</v>
      </c>
      <c r="Q74" t="s">
        <v>64</v>
      </c>
      <c r="R74">
        <v>37.27172015</v>
      </c>
      <c r="S74">
        <v>-76.729088349999998</v>
      </c>
      <c r="X74">
        <v>0</v>
      </c>
      <c r="Y74">
        <v>1</v>
      </c>
      <c r="Z74">
        <v>1</v>
      </c>
      <c r="AA74">
        <v>0</v>
      </c>
      <c r="AB74">
        <v>1</v>
      </c>
      <c r="AD74" t="s">
        <v>597</v>
      </c>
    </row>
    <row r="75" spans="1:30" ht="105" x14ac:dyDescent="0.25">
      <c r="A75" s="3" t="s">
        <v>349</v>
      </c>
      <c r="B75" t="s">
        <v>350</v>
      </c>
      <c r="C75" t="s">
        <v>77</v>
      </c>
      <c r="D75" t="s">
        <v>78</v>
      </c>
      <c r="E75" t="s">
        <v>79</v>
      </c>
      <c r="F75" s="3" t="s">
        <v>80</v>
      </c>
      <c r="G75">
        <v>20</v>
      </c>
      <c r="H75" s="8">
        <v>0.5</v>
      </c>
      <c r="I75" t="s">
        <v>41</v>
      </c>
      <c r="J75" s="1" t="s">
        <v>351</v>
      </c>
      <c r="K75" t="s">
        <v>62</v>
      </c>
      <c r="L75" t="s">
        <v>63</v>
      </c>
      <c r="M75" t="s">
        <v>45</v>
      </c>
      <c r="N75">
        <v>21</v>
      </c>
      <c r="O75">
        <v>1</v>
      </c>
      <c r="P75">
        <v>4.2</v>
      </c>
      <c r="Q75" t="s">
        <v>46</v>
      </c>
      <c r="R75">
        <v>33.80860363</v>
      </c>
      <c r="S75">
        <v>-80.822149319999994</v>
      </c>
      <c r="X75">
        <v>0</v>
      </c>
      <c r="Y75">
        <v>1</v>
      </c>
      <c r="Z75">
        <v>1</v>
      </c>
      <c r="AA75">
        <v>0</v>
      </c>
      <c r="AB75">
        <v>1</v>
      </c>
      <c r="AD75" t="s">
        <v>577</v>
      </c>
    </row>
    <row r="76" spans="1:30" ht="105" x14ac:dyDescent="0.25">
      <c r="A76" t="s">
        <v>352</v>
      </c>
      <c r="B76" t="s">
        <v>353</v>
      </c>
      <c r="C76" t="s">
        <v>77</v>
      </c>
      <c r="D76" t="s">
        <v>354</v>
      </c>
      <c r="F76" s="3" t="s">
        <v>80</v>
      </c>
      <c r="G76">
        <v>5</v>
      </c>
      <c r="H76" s="8">
        <v>1.5</v>
      </c>
      <c r="I76" t="s">
        <v>41</v>
      </c>
      <c r="J76" s="1" t="s">
        <v>355</v>
      </c>
      <c r="K76" t="s">
        <v>62</v>
      </c>
      <c r="L76" t="s">
        <v>63</v>
      </c>
      <c r="M76" t="s">
        <v>64</v>
      </c>
      <c r="N76">
        <v>3</v>
      </c>
      <c r="O76">
        <v>3</v>
      </c>
      <c r="P76">
        <v>2.5</v>
      </c>
      <c r="Q76" t="s">
        <v>46</v>
      </c>
      <c r="R76">
        <v>18.340778</v>
      </c>
      <c r="S76">
        <v>-64.759583000000006</v>
      </c>
      <c r="X76">
        <v>0</v>
      </c>
      <c r="Y76">
        <v>1</v>
      </c>
      <c r="Z76">
        <v>1</v>
      </c>
      <c r="AA76">
        <v>0</v>
      </c>
      <c r="AB76">
        <v>1</v>
      </c>
    </row>
    <row r="77" spans="1:30" ht="135" x14ac:dyDescent="0.25">
      <c r="A77" t="s">
        <v>421</v>
      </c>
      <c r="B77" t="s">
        <v>422</v>
      </c>
      <c r="C77" t="s">
        <v>423</v>
      </c>
      <c r="D77" t="s">
        <v>424</v>
      </c>
      <c r="E77" t="s">
        <v>425</v>
      </c>
      <c r="F77" t="s">
        <v>80</v>
      </c>
      <c r="G77">
        <v>30</v>
      </c>
      <c r="H77" s="8">
        <v>6</v>
      </c>
      <c r="I77" t="s">
        <v>41</v>
      </c>
      <c r="J77" s="1" t="s">
        <v>426</v>
      </c>
      <c r="K77" t="s">
        <v>62</v>
      </c>
      <c r="L77" t="s">
        <v>307</v>
      </c>
      <c r="M77" t="s">
        <v>45</v>
      </c>
      <c r="N77">
        <v>6</v>
      </c>
      <c r="O77">
        <v>3</v>
      </c>
      <c r="P77">
        <v>2.4</v>
      </c>
      <c r="Q77" t="s">
        <v>46</v>
      </c>
      <c r="R77">
        <v>15.661581999999999</v>
      </c>
      <c r="S77">
        <v>-86.689216000000002</v>
      </c>
      <c r="X77">
        <v>1</v>
      </c>
      <c r="Y77">
        <v>1</v>
      </c>
      <c r="Z77">
        <v>1</v>
      </c>
      <c r="AA77">
        <v>0</v>
      </c>
      <c r="AB77">
        <v>1</v>
      </c>
      <c r="AD77" t="s">
        <v>602</v>
      </c>
    </row>
    <row r="78" spans="1:30" ht="60" x14ac:dyDescent="0.25">
      <c r="A78" t="s">
        <v>572</v>
      </c>
      <c r="B78" t="s">
        <v>573</v>
      </c>
      <c r="C78" t="s">
        <v>77</v>
      </c>
      <c r="D78" t="s">
        <v>90</v>
      </c>
      <c r="E78" t="s">
        <v>40</v>
      </c>
      <c r="F78" s="3" t="s">
        <v>80</v>
      </c>
      <c r="G78" t="s">
        <v>40</v>
      </c>
      <c r="H78" s="8">
        <v>2</v>
      </c>
      <c r="I78" t="s">
        <v>41</v>
      </c>
      <c r="J78" s="1" t="s">
        <v>574</v>
      </c>
      <c r="K78" t="s">
        <v>62</v>
      </c>
      <c r="L78" t="s">
        <v>63</v>
      </c>
      <c r="M78" t="s">
        <v>64</v>
      </c>
      <c r="N78">
        <v>1</v>
      </c>
      <c r="O78">
        <v>1</v>
      </c>
      <c r="P78" t="s">
        <v>40</v>
      </c>
      <c r="Q78" t="s">
        <v>46</v>
      </c>
      <c r="R78">
        <v>18.157996000000001</v>
      </c>
      <c r="S78">
        <v>-66.568832999999998</v>
      </c>
      <c r="X78">
        <v>0</v>
      </c>
      <c r="Y78">
        <v>1</v>
      </c>
      <c r="Z78">
        <v>1</v>
      </c>
      <c r="AA78">
        <v>0</v>
      </c>
      <c r="AB78">
        <v>1</v>
      </c>
      <c r="AD78" t="s">
        <v>577</v>
      </c>
    </row>
    <row r="79" spans="1:30" ht="30" x14ac:dyDescent="0.25">
      <c r="A79" t="s">
        <v>432</v>
      </c>
      <c r="B79" t="s">
        <v>433</v>
      </c>
      <c r="C79" t="s">
        <v>434</v>
      </c>
      <c r="D79" t="s">
        <v>435</v>
      </c>
      <c r="E79" t="s">
        <v>436</v>
      </c>
      <c r="F79" s="3" t="s">
        <v>80</v>
      </c>
      <c r="G79">
        <v>2.5</v>
      </c>
      <c r="H79" s="8">
        <v>6</v>
      </c>
      <c r="I79" s="1" t="s">
        <v>41</v>
      </c>
      <c r="J79" s="1" t="s">
        <v>437</v>
      </c>
      <c r="K79" t="s">
        <v>62</v>
      </c>
      <c r="L79" t="s">
        <v>63</v>
      </c>
      <c r="M79" t="s">
        <v>64</v>
      </c>
      <c r="N79">
        <v>1</v>
      </c>
      <c r="O79">
        <v>11</v>
      </c>
      <c r="P79">
        <f>0.01*11</f>
        <v>0.11</v>
      </c>
      <c r="Q79" t="s">
        <v>46</v>
      </c>
      <c r="R79" s="6">
        <v>13.343605999999999</v>
      </c>
      <c r="S79" s="6">
        <v>-81.380330999999998</v>
      </c>
      <c r="X79">
        <v>0</v>
      </c>
      <c r="Y79">
        <v>1</v>
      </c>
      <c r="Z79">
        <v>0</v>
      </c>
      <c r="AA79">
        <v>0</v>
      </c>
      <c r="AB79">
        <v>1</v>
      </c>
    </row>
    <row r="80" spans="1:30" ht="90" x14ac:dyDescent="0.25">
      <c r="A80" t="s">
        <v>356</v>
      </c>
      <c r="B80" t="s">
        <v>357</v>
      </c>
      <c r="C80" t="s">
        <v>77</v>
      </c>
      <c r="D80" t="s">
        <v>78</v>
      </c>
      <c r="E80" t="s">
        <v>358</v>
      </c>
      <c r="F80" s="3" t="s">
        <v>80</v>
      </c>
      <c r="G80">
        <v>10</v>
      </c>
      <c r="H80" s="8">
        <v>4</v>
      </c>
      <c r="I80" t="s">
        <v>41</v>
      </c>
      <c r="J80" s="1" t="s">
        <v>359</v>
      </c>
      <c r="K80" t="s">
        <v>62</v>
      </c>
      <c r="L80" t="s">
        <v>68</v>
      </c>
      <c r="M80" t="s">
        <v>64</v>
      </c>
      <c r="N80">
        <v>268</v>
      </c>
      <c r="O80">
        <v>1</v>
      </c>
      <c r="P80">
        <f>268*0.1</f>
        <v>26.8</v>
      </c>
      <c r="Q80" t="s">
        <v>46</v>
      </c>
      <c r="R80">
        <v>31.220615420000001</v>
      </c>
      <c r="S80">
        <v>-84.479202549999997</v>
      </c>
      <c r="X80">
        <v>1</v>
      </c>
      <c r="Y80">
        <v>1</v>
      </c>
      <c r="Z80">
        <v>1</v>
      </c>
      <c r="AA80">
        <v>0</v>
      </c>
      <c r="AB80">
        <v>1</v>
      </c>
      <c r="AD80" t="s">
        <v>603</v>
      </c>
    </row>
    <row r="81" spans="1:30" ht="60" x14ac:dyDescent="0.25">
      <c r="A81" t="s">
        <v>360</v>
      </c>
      <c r="B81" t="s">
        <v>361</v>
      </c>
      <c r="C81" t="s">
        <v>77</v>
      </c>
      <c r="D81" t="s">
        <v>102</v>
      </c>
      <c r="E81" t="s">
        <v>362</v>
      </c>
      <c r="F81" s="3" t="s">
        <v>39</v>
      </c>
      <c r="G81">
        <v>5</v>
      </c>
      <c r="H81" s="8">
        <v>2</v>
      </c>
      <c r="I81" t="s">
        <v>41</v>
      </c>
      <c r="J81" s="1" t="s">
        <v>363</v>
      </c>
      <c r="K81" t="s">
        <v>62</v>
      </c>
      <c r="L81" t="s">
        <v>63</v>
      </c>
      <c r="M81" t="s">
        <v>64</v>
      </c>
      <c r="N81">
        <v>1</v>
      </c>
      <c r="O81">
        <v>1</v>
      </c>
      <c r="P81">
        <v>4</v>
      </c>
      <c r="Q81" t="s">
        <v>45</v>
      </c>
      <c r="R81">
        <v>32.045056619999997</v>
      </c>
      <c r="S81">
        <v>131.20039650000001</v>
      </c>
      <c r="X81">
        <v>0</v>
      </c>
      <c r="Y81">
        <v>1</v>
      </c>
      <c r="Z81">
        <v>1</v>
      </c>
      <c r="AA81">
        <v>0</v>
      </c>
      <c r="AB81">
        <v>1</v>
      </c>
      <c r="AD81" t="s">
        <v>579</v>
      </c>
    </row>
    <row r="82" spans="1:30" ht="60" x14ac:dyDescent="0.25">
      <c r="A82" t="s">
        <v>364</v>
      </c>
      <c r="B82" t="s">
        <v>365</v>
      </c>
      <c r="C82" t="s">
        <v>77</v>
      </c>
      <c r="D82" t="s">
        <v>107</v>
      </c>
      <c r="E82" t="s">
        <v>108</v>
      </c>
      <c r="F82" s="3" t="s">
        <v>80</v>
      </c>
      <c r="G82">
        <v>3.3</v>
      </c>
      <c r="H82" s="8">
        <v>0.25</v>
      </c>
      <c r="I82" t="s">
        <v>41</v>
      </c>
      <c r="J82" s="1" t="s">
        <v>366</v>
      </c>
      <c r="K82" t="s">
        <v>62</v>
      </c>
      <c r="L82" t="s">
        <v>63</v>
      </c>
      <c r="M82" t="s">
        <v>64</v>
      </c>
      <c r="N82">
        <v>3</v>
      </c>
      <c r="O82">
        <v>1</v>
      </c>
      <c r="P82">
        <v>0.3</v>
      </c>
      <c r="Q82" t="s">
        <v>46</v>
      </c>
      <c r="R82">
        <v>20.845036060000002</v>
      </c>
      <c r="S82">
        <v>-86.903656810000001</v>
      </c>
      <c r="X82">
        <v>0</v>
      </c>
      <c r="Y82">
        <v>1</v>
      </c>
      <c r="Z82">
        <v>1</v>
      </c>
      <c r="AA82">
        <v>0</v>
      </c>
      <c r="AB82">
        <v>1</v>
      </c>
      <c r="AD82" t="s">
        <v>604</v>
      </c>
    </row>
    <row r="83" spans="1:30" ht="30" x14ac:dyDescent="0.25">
      <c r="A83" t="s">
        <v>553</v>
      </c>
      <c r="B83" t="s">
        <v>554</v>
      </c>
      <c r="C83" t="s">
        <v>550</v>
      </c>
      <c r="D83" t="s">
        <v>102</v>
      </c>
      <c r="E83" t="s">
        <v>555</v>
      </c>
      <c r="F83" s="3" t="s">
        <v>39</v>
      </c>
      <c r="G83">
        <v>5</v>
      </c>
      <c r="H83" s="8">
        <v>12</v>
      </c>
      <c r="I83" s="1" t="s">
        <v>41</v>
      </c>
      <c r="J83" s="1" t="s">
        <v>556</v>
      </c>
      <c r="K83" t="s">
        <v>62</v>
      </c>
      <c r="L83" t="s">
        <v>68</v>
      </c>
      <c r="M83" t="s">
        <v>45</v>
      </c>
      <c r="N83">
        <v>21</v>
      </c>
      <c r="O83">
        <v>1</v>
      </c>
      <c r="P83">
        <v>1.05</v>
      </c>
      <c r="Q83" t="s">
        <v>45</v>
      </c>
      <c r="R83">
        <v>43.59</v>
      </c>
      <c r="S83">
        <v>142.74</v>
      </c>
      <c r="X83">
        <v>1</v>
      </c>
      <c r="Y83">
        <v>1</v>
      </c>
      <c r="Z83">
        <v>1</v>
      </c>
      <c r="AA83">
        <v>0</v>
      </c>
      <c r="AB83">
        <v>1</v>
      </c>
      <c r="AD83" t="s">
        <v>605</v>
      </c>
    </row>
    <row r="84" spans="1:30" ht="105" x14ac:dyDescent="0.25">
      <c r="A84" t="s">
        <v>367</v>
      </c>
      <c r="B84" t="s">
        <v>368</v>
      </c>
      <c r="C84" t="s">
        <v>77</v>
      </c>
      <c r="D84" t="s">
        <v>78</v>
      </c>
      <c r="E84" t="s">
        <v>94</v>
      </c>
      <c r="F84" s="3" t="s">
        <v>80</v>
      </c>
      <c r="G84">
        <v>2</v>
      </c>
      <c r="H84" s="8">
        <v>4</v>
      </c>
      <c r="I84" t="s">
        <v>41</v>
      </c>
      <c r="J84" s="1" t="s">
        <v>369</v>
      </c>
      <c r="K84" t="s">
        <v>62</v>
      </c>
      <c r="L84" t="s">
        <v>63</v>
      </c>
      <c r="M84" t="s">
        <v>45</v>
      </c>
      <c r="N84">
        <f>6*3</f>
        <v>18</v>
      </c>
      <c r="O84">
        <v>3</v>
      </c>
      <c r="P84">
        <f>18*0.04</f>
        <v>0.72</v>
      </c>
      <c r="Q84" t="s">
        <v>46</v>
      </c>
      <c r="R84">
        <v>25.422104999999998</v>
      </c>
      <c r="S84">
        <v>-80.698668999999995</v>
      </c>
      <c r="X84">
        <v>0</v>
      </c>
      <c r="Y84">
        <v>1</v>
      </c>
      <c r="Z84">
        <v>1</v>
      </c>
      <c r="AA84">
        <v>0</v>
      </c>
      <c r="AB84">
        <v>1</v>
      </c>
      <c r="AC84" t="s">
        <v>370</v>
      </c>
    </row>
    <row r="85" spans="1:30" ht="60" x14ac:dyDescent="0.25">
      <c r="A85" t="s">
        <v>371</v>
      </c>
      <c r="B85" t="s">
        <v>372</v>
      </c>
      <c r="C85" t="s">
        <v>77</v>
      </c>
      <c r="D85" t="s">
        <v>276</v>
      </c>
      <c r="E85" t="s">
        <v>373</v>
      </c>
      <c r="F85" s="3" t="s">
        <v>151</v>
      </c>
      <c r="G85">
        <v>3.2</v>
      </c>
      <c r="H85" s="8" t="s">
        <v>40</v>
      </c>
      <c r="I85" t="s">
        <v>86</v>
      </c>
      <c r="J85" s="1" t="s">
        <v>374</v>
      </c>
      <c r="K85" t="s">
        <v>43</v>
      </c>
      <c r="L85" t="s">
        <v>44</v>
      </c>
      <c r="M85" t="s">
        <v>45</v>
      </c>
      <c r="N85">
        <f>161+156+93</f>
        <v>410</v>
      </c>
      <c r="O85">
        <v>3</v>
      </c>
      <c r="P85">
        <f>410*0.01</f>
        <v>4.0999999999999996</v>
      </c>
      <c r="Q85" t="s">
        <v>46</v>
      </c>
      <c r="R85">
        <v>12.018448510000001</v>
      </c>
      <c r="S85">
        <v>79.856603669999998</v>
      </c>
      <c r="X85">
        <v>0</v>
      </c>
      <c r="Y85">
        <v>1</v>
      </c>
      <c r="Z85">
        <v>1</v>
      </c>
      <c r="AA85">
        <v>0</v>
      </c>
      <c r="AB85">
        <v>1</v>
      </c>
      <c r="AD85" t="s">
        <v>606</v>
      </c>
    </row>
    <row r="86" spans="1:30" ht="45" x14ac:dyDescent="0.25">
      <c r="A86" t="s">
        <v>557</v>
      </c>
      <c r="B86" t="s">
        <v>558</v>
      </c>
      <c r="C86" t="s">
        <v>550</v>
      </c>
      <c r="D86" t="s">
        <v>102</v>
      </c>
      <c r="E86" t="s">
        <v>559</v>
      </c>
      <c r="F86" s="3" t="s">
        <v>39</v>
      </c>
      <c r="G86">
        <v>10</v>
      </c>
      <c r="H86" s="8">
        <v>1</v>
      </c>
      <c r="I86" s="1" t="s">
        <v>41</v>
      </c>
      <c r="J86" s="1" t="s">
        <v>560</v>
      </c>
      <c r="K86" t="s">
        <v>43</v>
      </c>
      <c r="L86" t="s">
        <v>44</v>
      </c>
      <c r="M86" t="s">
        <v>45</v>
      </c>
      <c r="N86">
        <v>1</v>
      </c>
      <c r="O86">
        <v>1</v>
      </c>
      <c r="P86">
        <v>12.4</v>
      </c>
      <c r="Q86" t="s">
        <v>45</v>
      </c>
      <c r="R86">
        <v>35.036958939999998</v>
      </c>
      <c r="S86">
        <v>135.7729707</v>
      </c>
      <c r="X86">
        <v>1</v>
      </c>
      <c r="Y86">
        <v>1</v>
      </c>
      <c r="Z86">
        <v>1</v>
      </c>
      <c r="AA86">
        <v>0</v>
      </c>
      <c r="AB86">
        <v>1</v>
      </c>
      <c r="AD86" t="s">
        <v>607</v>
      </c>
    </row>
    <row r="87" spans="1:30" ht="75" x14ac:dyDescent="0.25">
      <c r="A87" t="s">
        <v>55</v>
      </c>
      <c r="B87" t="s">
        <v>56</v>
      </c>
      <c r="C87" t="s">
        <v>36</v>
      </c>
      <c r="D87" t="s">
        <v>37</v>
      </c>
      <c r="E87" t="s">
        <v>50</v>
      </c>
      <c r="F87" s="3" t="s">
        <v>39</v>
      </c>
      <c r="G87" t="s">
        <v>40</v>
      </c>
      <c r="H87" s="8">
        <v>0.5</v>
      </c>
      <c r="I87" t="s">
        <v>41</v>
      </c>
      <c r="J87" s="1" t="s">
        <v>57</v>
      </c>
      <c r="K87" t="s">
        <v>43</v>
      </c>
      <c r="L87" t="s">
        <v>44</v>
      </c>
      <c r="M87" t="s">
        <v>45</v>
      </c>
      <c r="N87" t="s">
        <v>40</v>
      </c>
      <c r="O87">
        <v>40</v>
      </c>
      <c r="P87" t="s">
        <v>40</v>
      </c>
      <c r="Q87" t="s">
        <v>46</v>
      </c>
      <c r="R87">
        <v>22.615886</v>
      </c>
      <c r="S87" s="5">
        <v>114.110614</v>
      </c>
      <c r="T87">
        <v>22.832384000000001</v>
      </c>
      <c r="U87">
        <v>113.783295</v>
      </c>
      <c r="V87">
        <v>22.537313000000001</v>
      </c>
      <c r="W87">
        <v>114.51768300000001</v>
      </c>
      <c r="X87">
        <v>1</v>
      </c>
      <c r="Y87">
        <v>1</v>
      </c>
      <c r="Z87">
        <v>1</v>
      </c>
      <c r="AA87">
        <v>0</v>
      </c>
      <c r="AB87">
        <v>0</v>
      </c>
      <c r="AC87" t="s">
        <v>47</v>
      </c>
      <c r="AD87" t="s">
        <v>598</v>
      </c>
    </row>
    <row r="88" spans="1:30" ht="60" x14ac:dyDescent="0.25">
      <c r="A88" t="s">
        <v>539</v>
      </c>
      <c r="B88" t="s">
        <v>540</v>
      </c>
      <c r="C88" t="s">
        <v>434</v>
      </c>
      <c r="D88" t="s">
        <v>90</v>
      </c>
      <c r="E88" t="s">
        <v>40</v>
      </c>
      <c r="F88" s="3" t="s">
        <v>80</v>
      </c>
      <c r="G88">
        <v>2.5</v>
      </c>
      <c r="H88" s="8">
        <v>1</v>
      </c>
      <c r="I88" s="1" t="s">
        <v>41</v>
      </c>
      <c r="J88" s="1" t="s">
        <v>541</v>
      </c>
      <c r="K88" t="s">
        <v>43</v>
      </c>
      <c r="L88" t="s">
        <v>191</v>
      </c>
      <c r="M88" t="s">
        <v>64</v>
      </c>
      <c r="N88" t="s">
        <v>40</v>
      </c>
      <c r="O88" t="s">
        <v>40</v>
      </c>
      <c r="P88" t="s">
        <v>40</v>
      </c>
      <c r="Q88" t="s">
        <v>64</v>
      </c>
      <c r="R88">
        <v>18.438106999999999</v>
      </c>
      <c r="S88">
        <v>-66.064772000000005</v>
      </c>
      <c r="X88">
        <v>1</v>
      </c>
      <c r="Y88">
        <v>1</v>
      </c>
      <c r="Z88">
        <v>1</v>
      </c>
      <c r="AA88">
        <v>0</v>
      </c>
      <c r="AB88">
        <v>1</v>
      </c>
    </row>
    <row r="89" spans="1:30" ht="105" x14ac:dyDescent="0.25">
      <c r="A89" t="s">
        <v>375</v>
      </c>
      <c r="B89" t="s">
        <v>376</v>
      </c>
      <c r="C89" t="s">
        <v>77</v>
      </c>
      <c r="D89" t="s">
        <v>78</v>
      </c>
      <c r="E89" t="s">
        <v>94</v>
      </c>
      <c r="F89" s="3" t="s">
        <v>80</v>
      </c>
      <c r="G89" t="s">
        <v>40</v>
      </c>
      <c r="H89" s="8">
        <v>2</v>
      </c>
      <c r="I89" t="s">
        <v>41</v>
      </c>
      <c r="J89" s="1" t="s">
        <v>377</v>
      </c>
      <c r="K89" t="s">
        <v>62</v>
      </c>
      <c r="L89" t="s">
        <v>63</v>
      </c>
      <c r="M89" t="s">
        <v>45</v>
      </c>
      <c r="N89" t="s">
        <v>40</v>
      </c>
      <c r="O89">
        <v>1</v>
      </c>
      <c r="P89" t="s">
        <v>40</v>
      </c>
      <c r="Q89" t="s">
        <v>46</v>
      </c>
      <c r="R89">
        <v>26.497653</v>
      </c>
      <c r="S89" s="5">
        <v>-80.316706999999994</v>
      </c>
      <c r="T89" s="5"/>
      <c r="V89" s="5"/>
      <c r="X89">
        <v>0</v>
      </c>
      <c r="Y89">
        <v>1</v>
      </c>
      <c r="Z89">
        <v>1</v>
      </c>
      <c r="AA89">
        <v>0</v>
      </c>
      <c r="AB89">
        <v>1</v>
      </c>
      <c r="AC89" t="s">
        <v>378</v>
      </c>
    </row>
    <row r="90" spans="1:30" ht="60" x14ac:dyDescent="0.25">
      <c r="A90" t="s">
        <v>379</v>
      </c>
      <c r="B90" t="s">
        <v>380</v>
      </c>
      <c r="C90" t="s">
        <v>77</v>
      </c>
      <c r="D90" t="s">
        <v>90</v>
      </c>
      <c r="E90" t="s">
        <v>40</v>
      </c>
      <c r="F90" s="3" t="s">
        <v>80</v>
      </c>
      <c r="G90">
        <v>10</v>
      </c>
      <c r="H90" s="8">
        <v>15</v>
      </c>
      <c r="I90" t="s">
        <v>86</v>
      </c>
      <c r="J90" s="1" t="s">
        <v>381</v>
      </c>
      <c r="K90" t="s">
        <v>62</v>
      </c>
      <c r="L90" t="s">
        <v>63</v>
      </c>
      <c r="M90" t="s">
        <v>64</v>
      </c>
      <c r="N90">
        <v>40</v>
      </c>
      <c r="O90">
        <v>1</v>
      </c>
      <c r="P90">
        <f>0.04*40</f>
        <v>1.6</v>
      </c>
      <c r="Q90" t="s">
        <v>46</v>
      </c>
      <c r="R90">
        <f>18+20/60</f>
        <v>18.333333333333332</v>
      </c>
      <c r="S90">
        <f>-(65+49/60)</f>
        <v>-65.816666666666663</v>
      </c>
      <c r="X90">
        <v>0</v>
      </c>
      <c r="Y90">
        <v>1</v>
      </c>
      <c r="Z90">
        <v>1</v>
      </c>
      <c r="AA90">
        <v>0</v>
      </c>
      <c r="AB90">
        <v>1</v>
      </c>
      <c r="AC90" t="s">
        <v>382</v>
      </c>
    </row>
    <row r="91" spans="1:30" ht="135" x14ac:dyDescent="0.25">
      <c r="A91" t="s">
        <v>383</v>
      </c>
      <c r="B91" t="s">
        <v>384</v>
      </c>
      <c r="C91" t="s">
        <v>77</v>
      </c>
      <c r="D91" t="s">
        <v>90</v>
      </c>
      <c r="E91" t="s">
        <v>40</v>
      </c>
      <c r="F91" s="3" t="s">
        <v>80</v>
      </c>
      <c r="G91">
        <v>2.5</v>
      </c>
      <c r="H91" s="8">
        <v>5</v>
      </c>
      <c r="I91" t="s">
        <v>41</v>
      </c>
      <c r="J91" s="1" t="s">
        <v>385</v>
      </c>
      <c r="K91" t="s">
        <v>62</v>
      </c>
      <c r="L91" t="s">
        <v>63</v>
      </c>
      <c r="M91" t="s">
        <v>64</v>
      </c>
      <c r="N91">
        <f>33+19</f>
        <v>52</v>
      </c>
      <c r="O91">
        <v>1</v>
      </c>
      <c r="P91">
        <f>1.3+0.68</f>
        <v>1.98</v>
      </c>
      <c r="Q91" t="s">
        <v>46</v>
      </c>
      <c r="R91">
        <v>17.969550000000002</v>
      </c>
      <c r="S91" s="5">
        <v>-66.868700000000004</v>
      </c>
      <c r="X91">
        <v>0</v>
      </c>
      <c r="Y91">
        <v>1</v>
      </c>
      <c r="Z91">
        <v>1</v>
      </c>
      <c r="AA91">
        <v>0</v>
      </c>
      <c r="AB91">
        <v>1</v>
      </c>
      <c r="AD91" t="s">
        <v>587</v>
      </c>
    </row>
    <row r="92" spans="1:30" ht="135" x14ac:dyDescent="0.25">
      <c r="A92" t="s">
        <v>386</v>
      </c>
      <c r="B92" t="s">
        <v>387</v>
      </c>
      <c r="C92" t="s">
        <v>77</v>
      </c>
      <c r="D92" t="s">
        <v>107</v>
      </c>
      <c r="E92" t="s">
        <v>388</v>
      </c>
      <c r="F92" s="3" t="s">
        <v>80</v>
      </c>
      <c r="G92">
        <v>5</v>
      </c>
      <c r="H92" s="8">
        <v>12</v>
      </c>
      <c r="I92" t="s">
        <v>41</v>
      </c>
      <c r="J92" s="1" t="s">
        <v>389</v>
      </c>
      <c r="K92" t="s">
        <v>62</v>
      </c>
      <c r="L92" t="s">
        <v>307</v>
      </c>
      <c r="M92" t="s">
        <v>45</v>
      </c>
      <c r="N92">
        <v>1</v>
      </c>
      <c r="O92">
        <v>91</v>
      </c>
      <c r="P92">
        <f>91*0.05</f>
        <v>4.55</v>
      </c>
      <c r="Q92" t="s">
        <v>46</v>
      </c>
      <c r="R92">
        <v>18.869586999999999</v>
      </c>
      <c r="S92" s="5">
        <v>-88.253919999999994</v>
      </c>
      <c r="T92">
        <v>19.600000000000001</v>
      </c>
      <c r="U92">
        <v>-89.8</v>
      </c>
      <c r="V92">
        <v>18.399999999999999</v>
      </c>
      <c r="W92">
        <v>-87.4</v>
      </c>
      <c r="X92">
        <v>1</v>
      </c>
      <c r="Y92">
        <v>1</v>
      </c>
      <c r="Z92">
        <v>1</v>
      </c>
      <c r="AA92">
        <v>0</v>
      </c>
      <c r="AB92">
        <v>1</v>
      </c>
      <c r="AD92" t="s">
        <v>608</v>
      </c>
    </row>
    <row r="93" spans="1:30" ht="135" x14ac:dyDescent="0.25">
      <c r="A93" t="s">
        <v>390</v>
      </c>
      <c r="B93" t="s">
        <v>391</v>
      </c>
      <c r="C93" t="s">
        <v>77</v>
      </c>
      <c r="D93" t="s">
        <v>107</v>
      </c>
      <c r="E93" t="s">
        <v>388</v>
      </c>
      <c r="F93" s="3" t="s">
        <v>80</v>
      </c>
      <c r="G93">
        <v>5</v>
      </c>
      <c r="H93" s="8">
        <v>12</v>
      </c>
      <c r="I93" t="s">
        <v>41</v>
      </c>
      <c r="J93" s="1" t="s">
        <v>389</v>
      </c>
      <c r="K93" t="s">
        <v>62</v>
      </c>
      <c r="L93" t="s">
        <v>307</v>
      </c>
      <c r="M93" t="s">
        <v>45</v>
      </c>
      <c r="N93">
        <v>1</v>
      </c>
      <c r="O93">
        <v>91</v>
      </c>
      <c r="P93">
        <f>91*0.05</f>
        <v>4.55</v>
      </c>
      <c r="Q93" t="s">
        <v>46</v>
      </c>
      <c r="R93">
        <v>18.869586999999999</v>
      </c>
      <c r="S93" s="5">
        <v>-88.253919999999994</v>
      </c>
      <c r="T93">
        <v>19.600000000000001</v>
      </c>
      <c r="U93">
        <v>-89.8</v>
      </c>
      <c r="V93">
        <v>18.399999999999999</v>
      </c>
      <c r="W93">
        <v>-87.4</v>
      </c>
      <c r="X93">
        <v>1</v>
      </c>
      <c r="Y93">
        <v>1</v>
      </c>
      <c r="Z93">
        <v>1</v>
      </c>
      <c r="AA93">
        <v>0</v>
      </c>
      <c r="AB93">
        <v>1</v>
      </c>
      <c r="AC93" t="s">
        <v>392</v>
      </c>
    </row>
    <row r="94" spans="1:30" ht="165" x14ac:dyDescent="0.25">
      <c r="A94" t="s">
        <v>427</v>
      </c>
      <c r="B94" t="s">
        <v>428</v>
      </c>
      <c r="C94" t="s">
        <v>423</v>
      </c>
      <c r="D94" t="s">
        <v>112</v>
      </c>
      <c r="E94" t="s">
        <v>429</v>
      </c>
      <c r="F94" t="s">
        <v>80</v>
      </c>
      <c r="G94">
        <v>5</v>
      </c>
      <c r="H94">
        <v>4</v>
      </c>
      <c r="I94" t="s">
        <v>41</v>
      </c>
      <c r="J94" s="1" t="s">
        <v>430</v>
      </c>
      <c r="K94" t="s">
        <v>62</v>
      </c>
      <c r="L94" t="s">
        <v>63</v>
      </c>
      <c r="M94" t="s">
        <v>64</v>
      </c>
      <c r="N94">
        <v>4</v>
      </c>
      <c r="O94">
        <v>2</v>
      </c>
      <c r="P94">
        <v>0.4</v>
      </c>
      <c r="Q94" t="s">
        <v>46</v>
      </c>
      <c r="R94">
        <f>11+53/60</f>
        <v>11.883333333333333</v>
      </c>
      <c r="S94">
        <f>-(83+58/60)</f>
        <v>-83.966666666666669</v>
      </c>
      <c r="T94">
        <f>11+53/60</f>
        <v>11.883333333333333</v>
      </c>
      <c r="U94">
        <f>-(83+58/60)</f>
        <v>-83.966666666666669</v>
      </c>
      <c r="V94">
        <f>12+16/60</f>
        <v>12.266666666666667</v>
      </c>
      <c r="W94">
        <f>-(83+53/60)</f>
        <v>-83.88333333333334</v>
      </c>
      <c r="X94">
        <v>0</v>
      </c>
      <c r="Y94">
        <v>1</v>
      </c>
      <c r="Z94">
        <v>1</v>
      </c>
      <c r="AA94">
        <v>0</v>
      </c>
      <c r="AB94">
        <v>1</v>
      </c>
      <c r="AC94" t="s">
        <v>431</v>
      </c>
      <c r="AD94" t="s">
        <v>609</v>
      </c>
    </row>
    <row r="95" spans="1:30" ht="90" x14ac:dyDescent="0.25">
      <c r="A95" t="s">
        <v>393</v>
      </c>
      <c r="B95" t="s">
        <v>394</v>
      </c>
      <c r="C95" t="s">
        <v>77</v>
      </c>
      <c r="D95" t="s">
        <v>395</v>
      </c>
      <c r="E95" t="s">
        <v>40</v>
      </c>
      <c r="F95" s="3" t="s">
        <v>39</v>
      </c>
      <c r="G95">
        <v>6</v>
      </c>
      <c r="H95" s="8">
        <v>12</v>
      </c>
      <c r="I95" t="s">
        <v>41</v>
      </c>
      <c r="J95" s="1" t="s">
        <v>396</v>
      </c>
      <c r="K95" t="s">
        <v>62</v>
      </c>
      <c r="L95" t="s">
        <v>63</v>
      </c>
      <c r="M95" t="s">
        <v>45</v>
      </c>
      <c r="N95">
        <v>1</v>
      </c>
      <c r="O95">
        <v>1</v>
      </c>
      <c r="P95">
        <v>1</v>
      </c>
      <c r="Q95" t="s">
        <v>46</v>
      </c>
      <c r="R95">
        <f>45+20/60</f>
        <v>45.333333333333336</v>
      </c>
      <c r="S95">
        <f>136+9/60</f>
        <v>136.15</v>
      </c>
      <c r="X95">
        <v>0</v>
      </c>
      <c r="Y95">
        <v>1</v>
      </c>
      <c r="Z95">
        <v>1</v>
      </c>
      <c r="AA95">
        <v>0</v>
      </c>
      <c r="AB95">
        <v>1</v>
      </c>
    </row>
    <row r="96" spans="1:30" ht="30" x14ac:dyDescent="0.25">
      <c r="A96" t="s">
        <v>569</v>
      </c>
      <c r="B96" t="s">
        <v>570</v>
      </c>
      <c r="C96" t="s">
        <v>36</v>
      </c>
      <c r="D96" t="s">
        <v>37</v>
      </c>
      <c r="E96" t="s">
        <v>38</v>
      </c>
      <c r="F96" t="s">
        <v>39</v>
      </c>
      <c r="G96" t="s">
        <v>40</v>
      </c>
      <c r="H96" s="8">
        <v>1</v>
      </c>
      <c r="I96" t="s">
        <v>41</v>
      </c>
      <c r="J96" s="1" t="s">
        <v>571</v>
      </c>
      <c r="K96" t="s">
        <v>43</v>
      </c>
      <c r="L96" t="s">
        <v>44</v>
      </c>
      <c r="M96" t="s">
        <v>45</v>
      </c>
      <c r="N96" t="s">
        <v>40</v>
      </c>
      <c r="O96" t="s">
        <v>40</v>
      </c>
      <c r="P96" t="s">
        <v>40</v>
      </c>
      <c r="Q96" t="s">
        <v>46</v>
      </c>
      <c r="R96">
        <v>24.475376000000001</v>
      </c>
      <c r="S96">
        <v>118.115233</v>
      </c>
      <c r="X96">
        <v>0</v>
      </c>
      <c r="Y96">
        <v>1</v>
      </c>
      <c r="Z96">
        <v>0</v>
      </c>
      <c r="AA96">
        <v>0</v>
      </c>
      <c r="AB96">
        <v>0</v>
      </c>
      <c r="AD96" t="s">
        <v>610</v>
      </c>
    </row>
    <row r="97" spans="1:30" ht="120" x14ac:dyDescent="0.25">
      <c r="A97" t="s">
        <v>397</v>
      </c>
      <c r="B97" t="s">
        <v>398</v>
      </c>
      <c r="C97" t="s">
        <v>77</v>
      </c>
      <c r="D97" t="s">
        <v>399</v>
      </c>
      <c r="E97" t="s">
        <v>40</v>
      </c>
      <c r="F97" s="3" t="s">
        <v>129</v>
      </c>
      <c r="G97">
        <v>10</v>
      </c>
      <c r="H97" s="8">
        <v>2</v>
      </c>
      <c r="I97" t="s">
        <v>86</v>
      </c>
      <c r="J97" s="1" t="s">
        <v>400</v>
      </c>
      <c r="K97" t="s">
        <v>62</v>
      </c>
      <c r="L97" t="s">
        <v>63</v>
      </c>
      <c r="M97" t="s">
        <v>64</v>
      </c>
      <c r="N97">
        <v>4</v>
      </c>
      <c r="O97">
        <v>4</v>
      </c>
      <c r="P97">
        <f>2+4</f>
        <v>6</v>
      </c>
      <c r="Q97" t="s">
        <v>46</v>
      </c>
      <c r="R97">
        <v>-14.239463000000001</v>
      </c>
      <c r="S97" s="5">
        <v>-169.42526000000001</v>
      </c>
      <c r="X97">
        <v>0</v>
      </c>
      <c r="Y97">
        <v>1</v>
      </c>
      <c r="Z97">
        <v>1</v>
      </c>
      <c r="AA97">
        <v>0</v>
      </c>
      <c r="AB97">
        <v>1</v>
      </c>
      <c r="AD97" t="s">
        <v>611</v>
      </c>
    </row>
    <row r="98" spans="1:30" ht="75" x14ac:dyDescent="0.25">
      <c r="A98" t="s">
        <v>401</v>
      </c>
      <c r="B98" t="s">
        <v>402</v>
      </c>
      <c r="C98" t="s">
        <v>77</v>
      </c>
      <c r="D98" t="s">
        <v>403</v>
      </c>
      <c r="E98" t="s">
        <v>404</v>
      </c>
      <c r="F98" s="3" t="s">
        <v>80</v>
      </c>
      <c r="G98" t="s">
        <v>40</v>
      </c>
      <c r="H98" s="8">
        <v>0.25</v>
      </c>
      <c r="I98" s="1" t="s">
        <v>41</v>
      </c>
      <c r="J98" s="1" t="s">
        <v>405</v>
      </c>
      <c r="K98" t="s">
        <v>43</v>
      </c>
      <c r="L98" t="s">
        <v>191</v>
      </c>
      <c r="M98" t="s">
        <v>45</v>
      </c>
      <c r="N98" t="s">
        <v>40</v>
      </c>
      <c r="O98">
        <v>35</v>
      </c>
      <c r="P98" t="s">
        <v>40</v>
      </c>
      <c r="Q98" t="s">
        <v>45</v>
      </c>
      <c r="R98">
        <v>47.539900000000003</v>
      </c>
      <c r="S98">
        <v>-52.790666999999999</v>
      </c>
      <c r="X98">
        <v>1</v>
      </c>
      <c r="Y98">
        <v>0</v>
      </c>
      <c r="Z98">
        <v>0</v>
      </c>
      <c r="AA98">
        <v>0</v>
      </c>
      <c r="AB98">
        <v>1</v>
      </c>
      <c r="AC98" t="s">
        <v>406</v>
      </c>
    </row>
    <row r="99" spans="1:30" ht="60" x14ac:dyDescent="0.25">
      <c r="A99" t="s">
        <v>565</v>
      </c>
      <c r="B99" t="s">
        <v>566</v>
      </c>
      <c r="C99" t="s">
        <v>434</v>
      </c>
      <c r="D99" t="s">
        <v>107</v>
      </c>
      <c r="E99" t="s">
        <v>567</v>
      </c>
      <c r="F99" s="3" t="s">
        <v>80</v>
      </c>
      <c r="G99" t="s">
        <v>40</v>
      </c>
      <c r="H99" s="8">
        <v>1</v>
      </c>
      <c r="I99" s="1" t="s">
        <v>41</v>
      </c>
      <c r="J99" s="1" t="s">
        <v>568</v>
      </c>
      <c r="K99" t="s">
        <v>62</v>
      </c>
      <c r="L99" t="s">
        <v>63</v>
      </c>
      <c r="M99" t="s">
        <v>64</v>
      </c>
      <c r="N99">
        <v>1</v>
      </c>
      <c r="O99">
        <v>1</v>
      </c>
      <c r="P99" t="s">
        <v>40</v>
      </c>
      <c r="Q99" t="s">
        <v>45</v>
      </c>
      <c r="R99">
        <v>19.266666666666666</v>
      </c>
      <c r="S99">
        <v>-96.483333333333306</v>
      </c>
      <c r="X99">
        <v>0</v>
      </c>
      <c r="Y99">
        <v>1</v>
      </c>
      <c r="Z99">
        <v>1</v>
      </c>
      <c r="AA99">
        <v>0</v>
      </c>
      <c r="AB99">
        <v>1</v>
      </c>
      <c r="AD99" t="s">
        <v>612</v>
      </c>
    </row>
    <row r="100" spans="1:30" ht="165" x14ac:dyDescent="0.25">
      <c r="A100" t="s">
        <v>407</v>
      </c>
      <c r="B100" t="s">
        <v>408</v>
      </c>
      <c r="C100" t="s">
        <v>77</v>
      </c>
      <c r="D100" t="s">
        <v>78</v>
      </c>
      <c r="E100" t="s">
        <v>133</v>
      </c>
      <c r="F100" s="3" t="s">
        <v>80</v>
      </c>
      <c r="G100">
        <v>1.25</v>
      </c>
      <c r="H100" s="8">
        <v>10</v>
      </c>
      <c r="I100" s="1" t="s">
        <v>41</v>
      </c>
      <c r="J100" s="1" t="s">
        <v>409</v>
      </c>
      <c r="K100" t="s">
        <v>62</v>
      </c>
      <c r="L100" t="s">
        <v>63</v>
      </c>
      <c r="M100" t="s">
        <v>64</v>
      </c>
      <c r="N100">
        <v>37</v>
      </c>
      <c r="O100">
        <v>1</v>
      </c>
      <c r="P100">
        <v>2.95</v>
      </c>
      <c r="Q100" t="s">
        <v>64</v>
      </c>
      <c r="R100">
        <v>36.020251180000002</v>
      </c>
      <c r="S100">
        <v>-78.983225110000006</v>
      </c>
      <c r="X100">
        <v>1</v>
      </c>
      <c r="Y100">
        <v>1</v>
      </c>
      <c r="Z100">
        <v>1</v>
      </c>
      <c r="AA100">
        <v>0</v>
      </c>
      <c r="AB100">
        <v>1</v>
      </c>
      <c r="AD100" t="s">
        <v>581</v>
      </c>
    </row>
    <row r="101" spans="1:30" ht="105" x14ac:dyDescent="0.25">
      <c r="A101" t="s">
        <v>410</v>
      </c>
      <c r="B101" t="s">
        <v>411</v>
      </c>
      <c r="C101" t="s">
        <v>77</v>
      </c>
      <c r="D101" t="s">
        <v>78</v>
      </c>
      <c r="E101" t="s">
        <v>133</v>
      </c>
      <c r="F101" s="3" t="s">
        <v>80</v>
      </c>
      <c r="G101">
        <v>2.5</v>
      </c>
      <c r="H101" s="8">
        <v>18</v>
      </c>
      <c r="I101" t="s">
        <v>41</v>
      </c>
      <c r="J101" s="1" t="s">
        <v>412</v>
      </c>
      <c r="K101" t="s">
        <v>62</v>
      </c>
      <c r="L101" t="s">
        <v>63</v>
      </c>
      <c r="M101" t="s">
        <v>64</v>
      </c>
      <c r="N101">
        <f>42+299+2352</f>
        <v>2693</v>
      </c>
      <c r="O101">
        <f>1+299+2352</f>
        <v>2652</v>
      </c>
      <c r="P101" t="s">
        <v>40</v>
      </c>
      <c r="Q101" t="s">
        <v>46</v>
      </c>
      <c r="R101">
        <v>36.020184999999998</v>
      </c>
      <c r="S101" s="5">
        <v>-78.988410999999999</v>
      </c>
      <c r="X101">
        <v>0</v>
      </c>
      <c r="Y101">
        <v>1</v>
      </c>
      <c r="Z101">
        <v>1</v>
      </c>
      <c r="AA101">
        <v>0</v>
      </c>
      <c r="AB101">
        <v>1</v>
      </c>
      <c r="AC101" t="s">
        <v>413</v>
      </c>
    </row>
    <row r="102" spans="1:30" ht="120" x14ac:dyDescent="0.25">
      <c r="A102" t="s">
        <v>58</v>
      </c>
      <c r="B102" t="s">
        <v>59</v>
      </c>
      <c r="C102" t="s">
        <v>36</v>
      </c>
      <c r="D102" t="s">
        <v>37</v>
      </c>
      <c r="E102" t="s">
        <v>60</v>
      </c>
      <c r="F102" s="3" t="s">
        <v>39</v>
      </c>
      <c r="G102">
        <v>1</v>
      </c>
      <c r="H102">
        <v>1</v>
      </c>
      <c r="I102" s="1" t="s">
        <v>41</v>
      </c>
      <c r="J102" s="1" t="s">
        <v>61</v>
      </c>
      <c r="K102" t="s">
        <v>62</v>
      </c>
      <c r="L102" t="s">
        <v>63</v>
      </c>
      <c r="M102" t="s">
        <v>64</v>
      </c>
      <c r="N102">
        <v>1</v>
      </c>
      <c r="O102">
        <v>1</v>
      </c>
      <c r="P102">
        <v>0.26</v>
      </c>
      <c r="Q102" t="s">
        <v>64</v>
      </c>
      <c r="R102">
        <v>18.712509000000001</v>
      </c>
      <c r="S102">
        <v>108.88239799999999</v>
      </c>
      <c r="X102">
        <v>1</v>
      </c>
      <c r="Y102">
        <v>1</v>
      </c>
      <c r="Z102">
        <v>1</v>
      </c>
      <c r="AA102">
        <v>0</v>
      </c>
      <c r="AB102">
        <v>1</v>
      </c>
      <c r="AD102" t="s">
        <v>613</v>
      </c>
    </row>
    <row r="103" spans="1:30" ht="150" x14ac:dyDescent="0.25">
      <c r="A103" s="9" t="s">
        <v>65</v>
      </c>
      <c r="B103" s="9" t="s">
        <v>66</v>
      </c>
      <c r="C103" t="s">
        <v>36</v>
      </c>
      <c r="D103" t="s">
        <v>37</v>
      </c>
      <c r="E103" t="s">
        <v>50</v>
      </c>
      <c r="F103" s="3" t="s">
        <v>39</v>
      </c>
      <c r="G103">
        <v>11</v>
      </c>
      <c r="H103" s="8">
        <v>0.25</v>
      </c>
      <c r="I103" t="s">
        <v>41</v>
      </c>
      <c r="J103" s="1" t="s">
        <v>67</v>
      </c>
      <c r="K103" t="s">
        <v>62</v>
      </c>
      <c r="L103" t="s">
        <v>68</v>
      </c>
      <c r="M103" t="s">
        <v>64</v>
      </c>
      <c r="N103">
        <v>1</v>
      </c>
      <c r="O103">
        <v>1</v>
      </c>
      <c r="P103" t="s">
        <v>40</v>
      </c>
      <c r="Q103" t="s">
        <v>46</v>
      </c>
      <c r="R103">
        <v>21.057860000000002</v>
      </c>
      <c r="S103" s="5">
        <v>110.144633</v>
      </c>
      <c r="X103">
        <v>1</v>
      </c>
      <c r="Y103">
        <v>1</v>
      </c>
      <c r="Z103">
        <v>1</v>
      </c>
      <c r="AA103">
        <v>0</v>
      </c>
      <c r="AB103">
        <v>0</v>
      </c>
      <c r="AD103" t="s">
        <v>614</v>
      </c>
    </row>
    <row r="104" spans="1:30" ht="120" x14ac:dyDescent="0.25">
      <c r="A104" t="s">
        <v>414</v>
      </c>
      <c r="B104" t="s">
        <v>415</v>
      </c>
      <c r="C104" t="s">
        <v>77</v>
      </c>
      <c r="D104" t="s">
        <v>78</v>
      </c>
      <c r="E104" t="s">
        <v>94</v>
      </c>
      <c r="F104" s="3" t="s">
        <v>80</v>
      </c>
      <c r="G104" t="s">
        <v>40</v>
      </c>
      <c r="H104" s="8">
        <v>3</v>
      </c>
      <c r="I104" t="s">
        <v>41</v>
      </c>
      <c r="J104" s="1" t="s">
        <v>416</v>
      </c>
      <c r="K104" t="s">
        <v>62</v>
      </c>
      <c r="L104" t="s">
        <v>63</v>
      </c>
      <c r="M104" t="s">
        <v>64</v>
      </c>
      <c r="N104" t="s">
        <v>40</v>
      </c>
      <c r="O104">
        <v>4</v>
      </c>
      <c r="P104" t="s">
        <v>40</v>
      </c>
      <c r="Q104" t="s">
        <v>46</v>
      </c>
      <c r="R104">
        <f>AVERAGE(T104, V104)</f>
        <v>30.470292499999999</v>
      </c>
      <c r="S104">
        <f>AVERAGE(U104, W104)</f>
        <v>-84.597590499999995</v>
      </c>
      <c r="T104">
        <v>30.809429999999999</v>
      </c>
      <c r="U104" s="5">
        <v>-84.954678999999999</v>
      </c>
      <c r="V104">
        <v>30.131155</v>
      </c>
      <c r="W104">
        <v>-84.240502000000006</v>
      </c>
      <c r="X104">
        <v>0</v>
      </c>
      <c r="Y104">
        <v>1</v>
      </c>
      <c r="Z104">
        <v>1</v>
      </c>
      <c r="AA104">
        <v>0</v>
      </c>
      <c r="AB104">
        <v>1</v>
      </c>
      <c r="AC104" t="s">
        <v>417</v>
      </c>
    </row>
    <row r="105" spans="1:30" ht="30" x14ac:dyDescent="0.25">
      <c r="A105" t="s">
        <v>69</v>
      </c>
      <c r="B105" t="s">
        <v>70</v>
      </c>
      <c r="C105" t="s">
        <v>36</v>
      </c>
      <c r="D105" t="s">
        <v>37</v>
      </c>
      <c r="E105" t="s">
        <v>50</v>
      </c>
      <c r="F105" s="3" t="s">
        <v>39</v>
      </c>
      <c r="G105" t="s">
        <v>40</v>
      </c>
      <c r="H105" s="8">
        <v>0.25</v>
      </c>
      <c r="I105" t="s">
        <v>41</v>
      </c>
      <c r="J105" s="1" t="s">
        <v>71</v>
      </c>
      <c r="K105" t="s">
        <v>43</v>
      </c>
      <c r="L105" t="s">
        <v>44</v>
      </c>
      <c r="M105" t="s">
        <v>45</v>
      </c>
      <c r="N105" t="s">
        <v>40</v>
      </c>
      <c r="O105" t="s">
        <v>40</v>
      </c>
      <c r="P105" t="s">
        <v>40</v>
      </c>
      <c r="Q105" t="s">
        <v>46</v>
      </c>
      <c r="R105">
        <v>23.409420000000001</v>
      </c>
      <c r="S105">
        <v>116.634097</v>
      </c>
      <c r="X105">
        <v>0</v>
      </c>
      <c r="Y105">
        <v>1</v>
      </c>
      <c r="Z105">
        <v>1</v>
      </c>
      <c r="AA105">
        <v>0</v>
      </c>
      <c r="AB105">
        <v>0</v>
      </c>
      <c r="AD105" t="s">
        <v>585</v>
      </c>
    </row>
    <row r="106" spans="1:30" ht="60" x14ac:dyDescent="0.25">
      <c r="A106" t="s">
        <v>72</v>
      </c>
      <c r="B106" t="s">
        <v>73</v>
      </c>
      <c r="C106" t="s">
        <v>36</v>
      </c>
      <c r="D106" t="s">
        <v>37</v>
      </c>
      <c r="E106" t="s">
        <v>38</v>
      </c>
      <c r="F106" s="3" t="s">
        <v>39</v>
      </c>
      <c r="G106" t="s">
        <v>40</v>
      </c>
      <c r="H106" s="8">
        <v>4</v>
      </c>
      <c r="I106" t="s">
        <v>41</v>
      </c>
      <c r="J106" s="1" t="s">
        <v>74</v>
      </c>
      <c r="K106" t="s">
        <v>43</v>
      </c>
      <c r="L106" t="s">
        <v>44</v>
      </c>
      <c r="M106" t="s">
        <v>45</v>
      </c>
      <c r="N106" t="s">
        <v>40</v>
      </c>
      <c r="O106" t="s">
        <v>40</v>
      </c>
      <c r="P106" t="s">
        <v>40</v>
      </c>
      <c r="Q106" t="s">
        <v>46</v>
      </c>
      <c r="R106">
        <v>24.602125999999998</v>
      </c>
      <c r="S106">
        <v>118.084259</v>
      </c>
      <c r="X106">
        <v>1</v>
      </c>
      <c r="Y106">
        <v>1</v>
      </c>
      <c r="Z106">
        <v>1</v>
      </c>
      <c r="AA106">
        <v>0</v>
      </c>
      <c r="AB106">
        <v>0</v>
      </c>
      <c r="AD106" t="s">
        <v>591</v>
      </c>
    </row>
    <row r="107" spans="1:30" ht="60" x14ac:dyDescent="0.25">
      <c r="A107" t="s">
        <v>418</v>
      </c>
      <c r="B107" t="s">
        <v>419</v>
      </c>
      <c r="C107" t="s">
        <v>77</v>
      </c>
      <c r="D107" t="s">
        <v>90</v>
      </c>
      <c r="E107" t="s">
        <v>40</v>
      </c>
      <c r="F107" s="3" t="s">
        <v>80</v>
      </c>
      <c r="G107">
        <v>10</v>
      </c>
      <c r="H107" s="8">
        <v>18</v>
      </c>
      <c r="I107" s="1" t="s">
        <v>41</v>
      </c>
      <c r="J107" s="1" t="s">
        <v>420</v>
      </c>
      <c r="K107" t="s">
        <v>62</v>
      </c>
      <c r="L107" t="s">
        <v>63</v>
      </c>
      <c r="M107" t="s">
        <v>64</v>
      </c>
      <c r="N107">
        <v>400</v>
      </c>
      <c r="O107">
        <v>1</v>
      </c>
      <c r="P107">
        <v>16</v>
      </c>
      <c r="Q107" t="s">
        <v>46</v>
      </c>
      <c r="R107">
        <v>18.333300000000001</v>
      </c>
      <c r="S107">
        <v>-65.816699999999997</v>
      </c>
      <c r="X107" s="4">
        <v>1</v>
      </c>
      <c r="Y107" s="4">
        <v>1</v>
      </c>
      <c r="Z107" s="4">
        <v>1</v>
      </c>
      <c r="AA107" s="4">
        <v>0</v>
      </c>
      <c r="AB107" s="4">
        <v>1</v>
      </c>
      <c r="AD107" t="s">
        <v>577</v>
      </c>
    </row>
  </sheetData>
  <sortState xmlns:xlrd2="http://schemas.microsoft.com/office/spreadsheetml/2017/richdata2" ref="A3:AC107">
    <sortCondition ref="A3:A107"/>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74ECB-319A-4945-B9BE-6E1C88A0F548}">
  <dimension ref="A1:B42"/>
  <sheetViews>
    <sheetView topLeftCell="A6" workbookViewId="0">
      <selection activeCell="B19" sqref="B19"/>
    </sheetView>
  </sheetViews>
  <sheetFormatPr defaultRowHeight="15" x14ac:dyDescent="0.25"/>
  <cols>
    <col min="1" max="1" width="27.28515625" customWidth="1"/>
    <col min="2" max="2" width="36.28515625" customWidth="1"/>
  </cols>
  <sheetData>
    <row r="1" spans="1:2" x14ac:dyDescent="0.25">
      <c r="A1" t="s">
        <v>438</v>
      </c>
      <c r="B1" t="s">
        <v>439</v>
      </c>
    </row>
    <row r="2" spans="1:2" x14ac:dyDescent="0.25">
      <c r="A2" t="s">
        <v>440</v>
      </c>
      <c r="B2" s="2">
        <v>44385</v>
      </c>
    </row>
    <row r="3" spans="1:2" x14ac:dyDescent="0.25">
      <c r="A3" t="s">
        <v>441</v>
      </c>
      <c r="B3" t="s">
        <v>442</v>
      </c>
    </row>
    <row r="4" spans="1:2" x14ac:dyDescent="0.25">
      <c r="A4" t="s">
        <v>443</v>
      </c>
      <c r="B4" t="s">
        <v>444</v>
      </c>
    </row>
    <row r="5" spans="1:2" x14ac:dyDescent="0.25">
      <c r="A5" t="s">
        <v>445</v>
      </c>
      <c r="B5" t="s">
        <v>446</v>
      </c>
    </row>
    <row r="6" spans="1:2" x14ac:dyDescent="0.25">
      <c r="A6" t="s">
        <v>447</v>
      </c>
      <c r="B6" t="s">
        <v>448</v>
      </c>
    </row>
    <row r="8" spans="1:2" x14ac:dyDescent="0.25">
      <c r="A8" t="s">
        <v>449</v>
      </c>
      <c r="B8" t="s">
        <v>450</v>
      </c>
    </row>
    <row r="9" spans="1:2" x14ac:dyDescent="0.25">
      <c r="A9" t="s">
        <v>451</v>
      </c>
      <c r="B9" t="s">
        <v>452</v>
      </c>
    </row>
    <row r="14" spans="1:2" x14ac:dyDescent="0.25">
      <c r="A14" t="s">
        <v>453</v>
      </c>
      <c r="B14" t="s">
        <v>454</v>
      </c>
    </row>
    <row r="15" spans="1:2" x14ac:dyDescent="0.25">
      <c r="A15" t="s">
        <v>5</v>
      </c>
      <c r="B15" t="s">
        <v>455</v>
      </c>
    </row>
    <row r="16" spans="1:2" x14ac:dyDescent="0.25">
      <c r="A16" t="s">
        <v>6</v>
      </c>
      <c r="B16" t="s">
        <v>456</v>
      </c>
    </row>
    <row r="17" spans="1:2" x14ac:dyDescent="0.25">
      <c r="A17" t="s">
        <v>8</v>
      </c>
      <c r="B17" t="s">
        <v>457</v>
      </c>
    </row>
    <row r="18" spans="1:2" x14ac:dyDescent="0.25">
      <c r="A18" t="s">
        <v>9</v>
      </c>
      <c r="B18" t="s">
        <v>458</v>
      </c>
    </row>
    <row r="19" spans="1:2" x14ac:dyDescent="0.25">
      <c r="A19" t="s">
        <v>10</v>
      </c>
      <c r="B19" t="s">
        <v>459</v>
      </c>
    </row>
    <row r="20" spans="1:2" x14ac:dyDescent="0.25">
      <c r="A20" t="s">
        <v>11</v>
      </c>
      <c r="B20" t="s">
        <v>460</v>
      </c>
    </row>
    <row r="21" spans="1:2" x14ac:dyDescent="0.25">
      <c r="A21" t="s">
        <v>12</v>
      </c>
      <c r="B21" t="s">
        <v>461</v>
      </c>
    </row>
    <row r="22" spans="1:2" x14ac:dyDescent="0.25">
      <c r="A22" s="1" t="s">
        <v>13</v>
      </c>
      <c r="B22" t="s">
        <v>462</v>
      </c>
    </row>
    <row r="23" spans="1:2" x14ac:dyDescent="0.25">
      <c r="A23" s="1" t="s">
        <v>14</v>
      </c>
      <c r="B23" t="s">
        <v>463</v>
      </c>
    </row>
    <row r="24" spans="1:2" x14ac:dyDescent="0.25">
      <c r="A24" s="1" t="s">
        <v>15</v>
      </c>
      <c r="B24" t="s">
        <v>464</v>
      </c>
    </row>
    <row r="25" spans="1:2" x14ac:dyDescent="0.25">
      <c r="A25" s="1" t="s">
        <v>16</v>
      </c>
      <c r="B25" t="s">
        <v>465</v>
      </c>
    </row>
    <row r="26" spans="1:2" x14ac:dyDescent="0.25">
      <c r="A26" s="1" t="s">
        <v>17</v>
      </c>
      <c r="B26" t="s">
        <v>466</v>
      </c>
    </row>
    <row r="27" spans="1:2" x14ac:dyDescent="0.25">
      <c r="A27" s="1" t="s">
        <v>18</v>
      </c>
      <c r="B27" t="s">
        <v>467</v>
      </c>
    </row>
    <row r="28" spans="1:2" x14ac:dyDescent="0.25">
      <c r="A28" s="1" t="s">
        <v>19</v>
      </c>
      <c r="B28" t="s">
        <v>468</v>
      </c>
    </row>
    <row r="29" spans="1:2" x14ac:dyDescent="0.25">
      <c r="A29" s="1" t="s">
        <v>20</v>
      </c>
      <c r="B29" t="s">
        <v>469</v>
      </c>
    </row>
    <row r="30" spans="1:2" ht="30" x14ac:dyDescent="0.25">
      <c r="A30" s="1" t="s">
        <v>21</v>
      </c>
      <c r="B30" t="s">
        <v>470</v>
      </c>
    </row>
    <row r="31" spans="1:2" x14ac:dyDescent="0.25">
      <c r="A31" s="1" t="s">
        <v>22</v>
      </c>
      <c r="B31" t="s">
        <v>471</v>
      </c>
    </row>
    <row r="32" spans="1:2" x14ac:dyDescent="0.25">
      <c r="A32" t="s">
        <v>23</v>
      </c>
      <c r="B32" t="s">
        <v>472</v>
      </c>
    </row>
    <row r="33" spans="1:2" x14ac:dyDescent="0.25">
      <c r="A33" t="s">
        <v>24</v>
      </c>
      <c r="B33" t="s">
        <v>473</v>
      </c>
    </row>
    <row r="34" spans="1:2" x14ac:dyDescent="0.25">
      <c r="A34" t="s">
        <v>25</v>
      </c>
      <c r="B34" t="s">
        <v>474</v>
      </c>
    </row>
    <row r="35" spans="1:2" x14ac:dyDescent="0.25">
      <c r="A35" t="s">
        <v>26</v>
      </c>
      <c r="B35" t="s">
        <v>475</v>
      </c>
    </row>
    <row r="36" spans="1:2" x14ac:dyDescent="0.25">
      <c r="A36" s="3" t="s">
        <v>27</v>
      </c>
      <c r="B36" t="s">
        <v>476</v>
      </c>
    </row>
    <row r="37" spans="1:2" x14ac:dyDescent="0.25">
      <c r="A37" s="1" t="s">
        <v>28</v>
      </c>
      <c r="B37" t="s">
        <v>0</v>
      </c>
    </row>
    <row r="38" spans="1:2" x14ac:dyDescent="0.25">
      <c r="A38" s="1" t="s">
        <v>29</v>
      </c>
      <c r="B38" t="s">
        <v>1</v>
      </c>
    </row>
    <row r="39" spans="1:2" ht="30" x14ac:dyDescent="0.25">
      <c r="A39" s="1" t="s">
        <v>30</v>
      </c>
      <c r="B39" t="s">
        <v>2</v>
      </c>
    </row>
    <row r="40" spans="1:2" ht="30" x14ac:dyDescent="0.25">
      <c r="A40" s="1" t="s">
        <v>31</v>
      </c>
      <c r="B40" t="s">
        <v>3</v>
      </c>
    </row>
    <row r="41" spans="1:2" x14ac:dyDescent="0.25">
      <c r="A41" s="1" t="s">
        <v>32</v>
      </c>
      <c r="B41" t="s">
        <v>4</v>
      </c>
    </row>
    <row r="42" spans="1:2" x14ac:dyDescent="0.25">
      <c r="A42" t="s">
        <v>33</v>
      </c>
      <c r="B42" t="s">
        <v>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554EA-F11F-44E2-AA4F-F35B21F1E802}">
  <dimension ref="A1:AC14"/>
  <sheetViews>
    <sheetView workbookViewId="0">
      <pane xSplit="1" ySplit="2" topLeftCell="B13" activePane="bottomRight" state="frozen"/>
      <selection pane="topRight"/>
      <selection pane="bottomLeft"/>
      <selection pane="bottomRight" activeCell="B14" sqref="B14"/>
    </sheetView>
  </sheetViews>
  <sheetFormatPr defaultRowHeight="15" x14ac:dyDescent="0.25"/>
  <cols>
    <col min="1" max="1" width="24" customWidth="1"/>
    <col min="2" max="7" width="23.85546875" customWidth="1"/>
    <col min="8" max="8" width="30.85546875" customWidth="1"/>
    <col min="9" max="9" width="53.140625" style="1" customWidth="1"/>
    <col min="10" max="10" width="53.140625" customWidth="1"/>
    <col min="11" max="12" width="30.85546875" customWidth="1"/>
    <col min="17" max="21" width="21.28515625" customWidth="1"/>
  </cols>
  <sheetData>
    <row r="1" spans="1:29" x14ac:dyDescent="0.25">
      <c r="A1" t="s">
        <v>478</v>
      </c>
      <c r="I1"/>
      <c r="Q1" t="s">
        <v>0</v>
      </c>
      <c r="R1" t="s">
        <v>1</v>
      </c>
      <c r="S1" t="s">
        <v>2</v>
      </c>
      <c r="T1" t="s">
        <v>3</v>
      </c>
      <c r="U1" t="s">
        <v>4</v>
      </c>
    </row>
    <row r="2" spans="1:29" ht="30" x14ac:dyDescent="0.25">
      <c r="A2" t="s">
        <v>5</v>
      </c>
      <c r="B2" t="s">
        <v>6</v>
      </c>
      <c r="C2" t="s">
        <v>8</v>
      </c>
      <c r="D2" t="s">
        <v>479</v>
      </c>
      <c r="E2" t="s">
        <v>11</v>
      </c>
      <c r="F2" t="s">
        <v>480</v>
      </c>
      <c r="G2" t="s">
        <v>481</v>
      </c>
      <c r="H2" s="1" t="s">
        <v>13</v>
      </c>
      <c r="I2" s="1" t="s">
        <v>14</v>
      </c>
      <c r="J2" s="1" t="s">
        <v>15</v>
      </c>
      <c r="K2" s="1" t="s">
        <v>22</v>
      </c>
      <c r="L2" t="s">
        <v>23</v>
      </c>
      <c r="M2" t="s">
        <v>24</v>
      </c>
      <c r="N2" t="s">
        <v>25</v>
      </c>
      <c r="O2" t="s">
        <v>26</v>
      </c>
      <c r="P2" t="s">
        <v>26</v>
      </c>
      <c r="Q2" s="1" t="s">
        <v>28</v>
      </c>
      <c r="R2" s="1" t="s">
        <v>29</v>
      </c>
      <c r="S2" s="1" t="s">
        <v>30</v>
      </c>
      <c r="T2" s="1" t="s">
        <v>31</v>
      </c>
      <c r="U2" s="1" t="s">
        <v>32</v>
      </c>
      <c r="V2" t="s">
        <v>33</v>
      </c>
    </row>
    <row r="3" spans="1:29" ht="90" x14ac:dyDescent="0.25">
      <c r="A3" t="s">
        <v>482</v>
      </c>
      <c r="B3" t="s">
        <v>483</v>
      </c>
      <c r="C3" t="s">
        <v>98</v>
      </c>
      <c r="E3">
        <v>3</v>
      </c>
      <c r="F3" t="s">
        <v>484</v>
      </c>
      <c r="G3" t="s">
        <v>485</v>
      </c>
      <c r="H3" t="s">
        <v>41</v>
      </c>
      <c r="I3" s="1" t="s">
        <v>486</v>
      </c>
      <c r="J3" t="s">
        <v>62</v>
      </c>
      <c r="Q3">
        <v>0</v>
      </c>
      <c r="R3">
        <v>1</v>
      </c>
      <c r="S3">
        <v>0</v>
      </c>
      <c r="T3">
        <v>0</v>
      </c>
      <c r="U3">
        <v>0</v>
      </c>
      <c r="V3" t="s">
        <v>487</v>
      </c>
    </row>
    <row r="4" spans="1:29" ht="75" x14ac:dyDescent="0.25">
      <c r="A4" t="s">
        <v>488</v>
      </c>
      <c r="B4" t="s">
        <v>489</v>
      </c>
      <c r="C4" t="s">
        <v>78</v>
      </c>
      <c r="D4" t="s">
        <v>94</v>
      </c>
      <c r="E4" t="s">
        <v>40</v>
      </c>
      <c r="F4" t="s">
        <v>484</v>
      </c>
      <c r="G4" t="s">
        <v>490</v>
      </c>
      <c r="H4" s="1" t="s">
        <v>41</v>
      </c>
      <c r="I4" s="1" t="s">
        <v>491</v>
      </c>
      <c r="J4" s="1" t="s">
        <v>43</v>
      </c>
      <c r="Q4" s="4">
        <v>0</v>
      </c>
      <c r="R4" s="4">
        <v>1</v>
      </c>
      <c r="S4" s="4">
        <v>1</v>
      </c>
      <c r="T4" s="4">
        <v>0</v>
      </c>
      <c r="U4" s="4">
        <v>0</v>
      </c>
      <c r="V4" t="s">
        <v>492</v>
      </c>
    </row>
    <row r="5" spans="1:29" ht="105" x14ac:dyDescent="0.25">
      <c r="A5" t="s">
        <v>493</v>
      </c>
      <c r="B5" t="s">
        <v>494</v>
      </c>
      <c r="C5" t="s">
        <v>78</v>
      </c>
      <c r="D5" t="s">
        <v>94</v>
      </c>
      <c r="E5" t="s">
        <v>40</v>
      </c>
      <c r="F5" t="s">
        <v>40</v>
      </c>
      <c r="G5" t="s">
        <v>40</v>
      </c>
      <c r="H5" t="s">
        <v>41</v>
      </c>
      <c r="I5" s="1" t="s">
        <v>495</v>
      </c>
      <c r="J5" t="s">
        <v>496</v>
      </c>
      <c r="K5">
        <v>26.438310000000001</v>
      </c>
      <c r="L5">
        <v>-82.105748000000006</v>
      </c>
      <c r="Q5">
        <v>0</v>
      </c>
      <c r="R5">
        <v>0</v>
      </c>
      <c r="S5">
        <v>0</v>
      </c>
      <c r="T5">
        <v>0</v>
      </c>
      <c r="U5">
        <v>0</v>
      </c>
      <c r="V5" t="s">
        <v>497</v>
      </c>
    </row>
    <row r="6" spans="1:29" ht="75" x14ac:dyDescent="0.25">
      <c r="A6" t="s">
        <v>498</v>
      </c>
      <c r="B6" t="s">
        <v>499</v>
      </c>
      <c r="C6" t="s">
        <v>78</v>
      </c>
      <c r="D6" t="s">
        <v>141</v>
      </c>
      <c r="E6">
        <v>2.5</v>
      </c>
      <c r="F6" t="s">
        <v>484</v>
      </c>
      <c r="G6" s="7" t="s">
        <v>500</v>
      </c>
      <c r="H6" t="s">
        <v>41</v>
      </c>
      <c r="I6" s="1" t="s">
        <v>501</v>
      </c>
      <c r="J6" t="s">
        <v>62</v>
      </c>
      <c r="K6">
        <v>30.13343192</v>
      </c>
      <c r="L6">
        <v>-91.525036959999994</v>
      </c>
      <c r="Q6">
        <v>1</v>
      </c>
      <c r="R6">
        <v>1</v>
      </c>
      <c r="S6">
        <v>1</v>
      </c>
      <c r="T6">
        <v>0</v>
      </c>
      <c r="U6">
        <v>1</v>
      </c>
    </row>
    <row r="7" spans="1:29" ht="60" x14ac:dyDescent="0.25">
      <c r="A7" t="s">
        <v>502</v>
      </c>
      <c r="B7" t="s">
        <v>503</v>
      </c>
      <c r="C7" t="s">
        <v>78</v>
      </c>
      <c r="D7" t="s">
        <v>90</v>
      </c>
      <c r="E7">
        <v>10</v>
      </c>
      <c r="F7" t="s">
        <v>484</v>
      </c>
      <c r="G7" t="s">
        <v>504</v>
      </c>
      <c r="H7" t="s">
        <v>41</v>
      </c>
      <c r="I7" s="1" t="s">
        <v>505</v>
      </c>
      <c r="J7" t="s">
        <v>62</v>
      </c>
      <c r="K7">
        <v>18.313800000000001</v>
      </c>
      <c r="L7">
        <v>-65.744299999999996</v>
      </c>
      <c r="Q7">
        <v>1</v>
      </c>
      <c r="R7">
        <v>1</v>
      </c>
      <c r="S7">
        <v>1</v>
      </c>
      <c r="T7">
        <v>0</v>
      </c>
      <c r="U7">
        <v>1</v>
      </c>
    </row>
    <row r="8" spans="1:29" ht="105" x14ac:dyDescent="0.25">
      <c r="A8" t="s">
        <v>506</v>
      </c>
      <c r="B8" t="s">
        <v>507</v>
      </c>
      <c r="C8" t="s">
        <v>78</v>
      </c>
      <c r="D8" t="s">
        <v>90</v>
      </c>
      <c r="E8">
        <v>10</v>
      </c>
      <c r="F8" t="s">
        <v>484</v>
      </c>
      <c r="G8" t="s">
        <v>508</v>
      </c>
      <c r="H8" t="s">
        <v>509</v>
      </c>
      <c r="I8" s="1" t="s">
        <v>510</v>
      </c>
      <c r="J8" t="s">
        <v>62</v>
      </c>
      <c r="K8">
        <v>18.280563000000001</v>
      </c>
      <c r="L8">
        <v>-65.782392999999999</v>
      </c>
      <c r="Q8">
        <v>0</v>
      </c>
      <c r="R8">
        <v>1</v>
      </c>
      <c r="S8">
        <v>1</v>
      </c>
      <c r="T8">
        <v>0</v>
      </c>
      <c r="U8">
        <v>1</v>
      </c>
    </row>
    <row r="9" spans="1:29" ht="75" x14ac:dyDescent="0.25">
      <c r="A9" t="s">
        <v>511</v>
      </c>
      <c r="B9" t="s">
        <v>512</v>
      </c>
      <c r="C9" t="s">
        <v>424</v>
      </c>
      <c r="E9" t="s">
        <v>40</v>
      </c>
      <c r="F9" t="s">
        <v>40</v>
      </c>
      <c r="G9" t="s">
        <v>513</v>
      </c>
      <c r="H9" t="s">
        <v>514</v>
      </c>
      <c r="I9" s="1" t="s">
        <v>515</v>
      </c>
      <c r="J9" t="s">
        <v>62</v>
      </c>
      <c r="K9">
        <v>15.54194444</v>
      </c>
      <c r="L9">
        <v>-88.263611109999999</v>
      </c>
      <c r="Q9">
        <v>1</v>
      </c>
      <c r="R9">
        <v>0</v>
      </c>
      <c r="S9">
        <v>0</v>
      </c>
      <c r="T9">
        <v>0</v>
      </c>
      <c r="U9">
        <v>0</v>
      </c>
      <c r="V9" t="s">
        <v>516</v>
      </c>
    </row>
    <row r="10" spans="1:29" ht="90" x14ac:dyDescent="0.25">
      <c r="A10" t="s">
        <v>517</v>
      </c>
      <c r="B10" t="s">
        <v>518</v>
      </c>
      <c r="C10" t="s">
        <v>78</v>
      </c>
      <c r="D10" t="s">
        <v>90</v>
      </c>
      <c r="E10">
        <v>2.5</v>
      </c>
      <c r="G10" t="s">
        <v>519</v>
      </c>
      <c r="H10" t="s">
        <v>41</v>
      </c>
      <c r="I10" s="1" t="s">
        <v>520</v>
      </c>
      <c r="J10" t="s">
        <v>62</v>
      </c>
      <c r="K10">
        <v>17.969550000000002</v>
      </c>
      <c r="L10" s="5">
        <v>-66.868700000000004</v>
      </c>
      <c r="Q10">
        <v>0</v>
      </c>
      <c r="R10">
        <v>1</v>
      </c>
      <c r="S10">
        <v>0</v>
      </c>
      <c r="T10">
        <v>0</v>
      </c>
      <c r="U10">
        <v>1</v>
      </c>
    </row>
    <row r="11" spans="1:29" ht="75" x14ac:dyDescent="0.25">
      <c r="A11" t="s">
        <v>521</v>
      </c>
      <c r="B11" t="s">
        <v>522</v>
      </c>
      <c r="C11" t="s">
        <v>78</v>
      </c>
      <c r="D11" t="s">
        <v>94</v>
      </c>
      <c r="E11" t="s">
        <v>40</v>
      </c>
      <c r="F11" t="s">
        <v>40</v>
      </c>
      <c r="G11" t="s">
        <v>40</v>
      </c>
      <c r="H11" t="s">
        <v>523</v>
      </c>
      <c r="I11" s="1" t="s">
        <v>524</v>
      </c>
      <c r="J11" t="s">
        <v>43</v>
      </c>
      <c r="Q11">
        <v>29.643357000000002</v>
      </c>
      <c r="R11">
        <v>-82.355371000000005</v>
      </c>
      <c r="W11">
        <v>1</v>
      </c>
      <c r="X11">
        <v>0</v>
      </c>
      <c r="Y11">
        <v>0</v>
      </c>
      <c r="Z11">
        <v>0</v>
      </c>
      <c r="AA11">
        <v>0</v>
      </c>
    </row>
    <row r="12" spans="1:29" ht="75" x14ac:dyDescent="0.25">
      <c r="A12" t="s">
        <v>525</v>
      </c>
      <c r="B12" t="s">
        <v>526</v>
      </c>
      <c r="C12" t="s">
        <v>78</v>
      </c>
      <c r="D12" t="s">
        <v>252</v>
      </c>
      <c r="E12">
        <v>10</v>
      </c>
      <c r="F12" t="s">
        <v>484</v>
      </c>
      <c r="G12" s="7" t="s">
        <v>508</v>
      </c>
      <c r="H12" t="s">
        <v>527</v>
      </c>
      <c r="I12" s="1" t="s">
        <v>528</v>
      </c>
      <c r="J12" t="s">
        <v>43</v>
      </c>
      <c r="Q12">
        <v>31.066842999999999</v>
      </c>
      <c r="R12">
        <v>-88.983333000000002</v>
      </c>
      <c r="W12" s="4">
        <v>1</v>
      </c>
      <c r="X12" s="4">
        <v>0</v>
      </c>
      <c r="Y12" s="4">
        <v>1</v>
      </c>
      <c r="Z12" s="4">
        <v>0</v>
      </c>
      <c r="AA12" s="4">
        <v>0</v>
      </c>
    </row>
    <row r="13" spans="1:29" ht="90" x14ac:dyDescent="0.25">
      <c r="A13" t="s">
        <v>529</v>
      </c>
      <c r="B13" t="s">
        <v>530</v>
      </c>
      <c r="C13" t="s">
        <v>77</v>
      </c>
      <c r="D13" t="s">
        <v>78</v>
      </c>
      <c r="E13" t="s">
        <v>79</v>
      </c>
      <c r="F13" s="3" t="s">
        <v>80</v>
      </c>
      <c r="G13">
        <v>12.7</v>
      </c>
      <c r="H13" s="8" t="s">
        <v>40</v>
      </c>
      <c r="I13" t="s">
        <v>41</v>
      </c>
      <c r="J13" s="1" t="s">
        <v>531</v>
      </c>
      <c r="K13" t="s">
        <v>62</v>
      </c>
      <c r="L13" t="s">
        <v>63</v>
      </c>
      <c r="R13" s="3">
        <v>33.1398709154142</v>
      </c>
      <c r="S13" s="3">
        <v>-79.801968509999995</v>
      </c>
      <c r="X13">
        <v>0</v>
      </c>
      <c r="Y13">
        <v>1</v>
      </c>
      <c r="Z13">
        <v>1</v>
      </c>
      <c r="AA13">
        <v>0</v>
      </c>
      <c r="AB13">
        <v>0</v>
      </c>
      <c r="AC13" t="s">
        <v>532</v>
      </c>
    </row>
    <row r="14" spans="1:29" ht="105" x14ac:dyDescent="0.25">
      <c r="A14" t="s">
        <v>533</v>
      </c>
      <c r="B14" t="s">
        <v>534</v>
      </c>
      <c r="C14" t="s">
        <v>77</v>
      </c>
      <c r="D14" t="s">
        <v>78</v>
      </c>
      <c r="E14" t="s">
        <v>79</v>
      </c>
      <c r="F14" s="3" t="s">
        <v>80</v>
      </c>
      <c r="G14">
        <v>7.5</v>
      </c>
      <c r="H14" s="8">
        <v>9</v>
      </c>
      <c r="I14" t="s">
        <v>41</v>
      </c>
      <c r="J14" s="1" t="s">
        <v>535</v>
      </c>
      <c r="K14" t="s">
        <v>62</v>
      </c>
      <c r="R14">
        <v>34.074198869999996</v>
      </c>
      <c r="S14">
        <v>-79.698238059999994</v>
      </c>
      <c r="X14">
        <v>0</v>
      </c>
      <c r="Y14">
        <v>1</v>
      </c>
      <c r="Z14">
        <v>1</v>
      </c>
      <c r="AA14">
        <v>0</v>
      </c>
      <c r="AB14">
        <v>1</v>
      </c>
    </row>
  </sheetData>
  <sortState xmlns:xlrd2="http://schemas.microsoft.com/office/spreadsheetml/2017/richdata2" ref="A3:V8">
    <sortCondition sortBy="cellColor" ref="A3:A8" dxfId="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E78F9-E457-4F7E-9918-C1248AE88D72}">
  <dimension ref="A2:A8"/>
  <sheetViews>
    <sheetView workbookViewId="0">
      <selection activeCell="A5" sqref="A5"/>
    </sheetView>
  </sheetViews>
  <sheetFormatPr defaultRowHeight="15" x14ac:dyDescent="0.25"/>
  <cols>
    <col min="1" max="1" width="23.85546875" customWidth="1"/>
  </cols>
  <sheetData>
    <row r="2" spans="1:1" x14ac:dyDescent="0.25">
      <c r="A2" t="s">
        <v>10</v>
      </c>
    </row>
    <row r="3" spans="1:1" x14ac:dyDescent="0.25">
      <c r="A3" s="3" t="s">
        <v>80</v>
      </c>
    </row>
    <row r="4" spans="1:1" x14ac:dyDescent="0.25">
      <c r="A4" t="s">
        <v>85</v>
      </c>
    </row>
    <row r="5" spans="1:1" x14ac:dyDescent="0.25">
      <c r="A5" s="3" t="s">
        <v>39</v>
      </c>
    </row>
    <row r="6" spans="1:1" x14ac:dyDescent="0.25">
      <c r="A6" s="3" t="s">
        <v>123</v>
      </c>
    </row>
    <row r="7" spans="1:1" x14ac:dyDescent="0.25">
      <c r="A7" t="s">
        <v>129</v>
      </c>
    </row>
    <row r="8" spans="1:1" x14ac:dyDescent="0.25">
      <c r="A8" s="3" t="s">
        <v>151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0e0d523-7af8-48ff-82aa-bac11236bcef" xsi:nil="true"/>
    <lcf76f155ced4ddcb4097134ff3c332f xmlns="6a30e888-01d4-4a57-bb27-04ad074420c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7D4C35CC2F704B8391E0E317CAAE2D" ma:contentTypeVersion="15" ma:contentTypeDescription="Create a new document." ma:contentTypeScope="" ma:versionID="a43d92d9984f83f13c5e584c6fea4079">
  <xsd:schema xmlns:xsd="http://www.w3.org/2001/XMLSchema" xmlns:xs="http://www.w3.org/2001/XMLSchema" xmlns:p="http://schemas.microsoft.com/office/2006/metadata/properties" xmlns:ns2="6a30e888-01d4-4a57-bb27-04ad074420cf" xmlns:ns3="20e0d523-7af8-48ff-82aa-bac11236bcef" targetNamespace="http://schemas.microsoft.com/office/2006/metadata/properties" ma:root="true" ma:fieldsID="7aaf7fa1ab297b2b4e9d02258b86da5b" ns2:_="" ns3:_="">
    <xsd:import namespace="6a30e888-01d4-4a57-bb27-04ad074420cf"/>
    <xsd:import namespace="20e0d523-7af8-48ff-82aa-bac11236bc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30e888-01d4-4a57-bb27-04ad074420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e0d523-7af8-48ff-82aa-bac11236bce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ad9adb8d-2920-497a-8eb9-aaf5f8cb41ee}" ma:internalName="TaxCatchAll" ma:showField="CatchAllData" ma:web="20e0d523-7af8-48ff-82aa-bac11236bc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CFDAA7-D2CA-4E59-B643-BF00D6917543}">
  <ds:schemaRefs>
    <ds:schemaRef ds:uri="http://schemas.microsoft.com/sharepoint/v3/contenttype/forms"/>
  </ds:schemaRefs>
</ds:datastoreItem>
</file>

<file path=customXml/itemProps2.xml><?xml version="1.0" encoding="utf-8"?>
<ds:datastoreItem xmlns:ds="http://schemas.openxmlformats.org/officeDocument/2006/customXml" ds:itemID="{F85DF10F-C547-4DD9-9C26-C69F80A8F860}">
  <ds:schemaRefs>
    <ds:schemaRef ds:uri="http://schemas.microsoft.com/office/2006/metadata/properties"/>
    <ds:schemaRef ds:uri="http://schemas.microsoft.com/office/infopath/2007/PartnerControls"/>
    <ds:schemaRef ds:uri="20e0d523-7af8-48ff-82aa-bac11236bcef"/>
    <ds:schemaRef ds:uri="6a30e888-01d4-4a57-bb27-04ad074420cf"/>
  </ds:schemaRefs>
</ds:datastoreItem>
</file>

<file path=customXml/itemProps3.xml><?xml version="1.0" encoding="utf-8"?>
<ds:datastoreItem xmlns:ds="http://schemas.openxmlformats.org/officeDocument/2006/customXml" ds:itemID="{F92FE680-458E-4C88-87F0-A962513FCC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30e888-01d4-4a57-bb27-04ad074420cf"/>
    <ds:schemaRef ds:uri="20e0d523-7af8-48ff-82aa-bac11236bc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Metadata</vt:lpstr>
      <vt:lpstr>Leftovers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Allyson Salisbury</cp:lastModifiedBy>
  <cp:revision/>
  <dcterms:created xsi:type="dcterms:W3CDTF">2021-07-07T18:51:53Z</dcterms:created>
  <dcterms:modified xsi:type="dcterms:W3CDTF">2023-04-10T14:42:37Z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0x0101006C7D4C35CC2F704B8391E0E317CAAE2D</vt:lpwstr>
  </property>
  <property fmtid="{D5CDD505-2E9C-101B-9397-08002B2CF9AE}" pid="3" name="MediaServiceImageTags">
    <vt:lpwstr/>
  </property>
</Properties>
</file>