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\Google Drive\HSE\Economic &amp; Mathematic Modeling\"/>
    </mc:Choice>
  </mc:AlternateContent>
  <xr:revisionPtr revIDLastSave="0" documentId="13_ncr:1_{6345B41E-32AA-4E52-B77B-A36839F83833}" xr6:coauthVersionLast="44" xr6:coauthVersionMax="44" xr10:uidLastSave="{00000000-0000-0000-0000-000000000000}"/>
  <bookViews>
    <workbookView xWindow="14880" yWindow="0" windowWidth="13920" windowHeight="15525" firstSheet="5" activeTab="7" xr2:uid="{E4A218A4-68B0-48C0-8433-ECEA1E57312B}"/>
  </bookViews>
  <sheets>
    <sheet name="Exam1" sheetId="5" state="hidden" r:id="rId1"/>
    <sheet name="Discounted_CF_Valuation " sheetId="1" state="hidden" r:id="rId2"/>
    <sheet name="Capital_Budgeting_Decisions" sheetId="2" state="hidden" r:id="rId3"/>
    <sheet name="Structure_Of_CFs_Infl_Impact" sheetId="3" state="hidden" r:id="rId4"/>
    <sheet name="Bond_Valuation" sheetId="4" state="hidden" r:id="rId5"/>
    <sheet name="Problem 1" sheetId="6" r:id="rId6"/>
    <sheet name="Problem 2" sheetId="9" r:id="rId7"/>
    <sheet name="Problem 4" sheetId="7" r:id="rId8"/>
    <sheet name="Problem 5" sheetId="11" r:id="rId9"/>
    <sheet name="Problem 6" sheetId="8" r:id="rId10"/>
    <sheet name="Problem 7" sheetId="12" r:id="rId11"/>
    <sheet name="Problem 8" sheetId="13" r:id="rId12"/>
    <sheet name="Problem 9" sheetId="14" r:id="rId13"/>
    <sheet name="Problem 10" sheetId="15" r:id="rId14"/>
    <sheet name="Problem 11" sheetId="16" r:id="rId15"/>
    <sheet name="Problem 12" sheetId="17" r:id="rId16"/>
    <sheet name="Problem 13" sheetId="18" r:id="rId17"/>
    <sheet name="Problem 14" sheetId="19" r:id="rId18"/>
    <sheet name="Problem 15" sheetId="20" r:id="rId19"/>
    <sheet name="Problem 23" sheetId="21" r:id="rId20"/>
  </sheets>
  <definedNames>
    <definedName name="solver_adj" localSheetId="10" hidden="1">'Problem 7'!$F$9:$F$10</definedName>
    <definedName name="solver_cvg" localSheetId="10" hidden="1">0.0001</definedName>
    <definedName name="solver_drv" localSheetId="10" hidden="1">1</definedName>
    <definedName name="solver_eng" localSheetId="5" hidden="1">1</definedName>
    <definedName name="solver_eng" localSheetId="10" hidden="1">1</definedName>
    <definedName name="solver_est" localSheetId="10" hidden="1">1</definedName>
    <definedName name="solver_itr" localSheetId="10" hidden="1">2147483647</definedName>
    <definedName name="solver_lhs1" localSheetId="10" hidden="1">'Problem 7'!$F$11</definedName>
    <definedName name="solver_mip" localSheetId="10" hidden="1">2147483647</definedName>
    <definedName name="solver_mni" localSheetId="10" hidden="1">30</definedName>
    <definedName name="solver_mrt" localSheetId="10" hidden="1">0.075</definedName>
    <definedName name="solver_msl" localSheetId="10" hidden="1">2</definedName>
    <definedName name="solver_neg" localSheetId="5" hidden="1">1</definedName>
    <definedName name="solver_neg" localSheetId="10" hidden="1">1</definedName>
    <definedName name="solver_nod" localSheetId="10" hidden="1">2147483647</definedName>
    <definedName name="solver_num" localSheetId="5" hidden="1">0</definedName>
    <definedName name="solver_num" localSheetId="10" hidden="1">1</definedName>
    <definedName name="solver_nwt" localSheetId="10" hidden="1">1</definedName>
    <definedName name="solver_opt" localSheetId="5" hidden="1">'Problem 1'!$B$19</definedName>
    <definedName name="solver_opt" localSheetId="10" hidden="1">'Problem 7'!$D$11</definedName>
    <definedName name="solver_pre" localSheetId="10" hidden="1">0.000001</definedName>
    <definedName name="solver_rbv" localSheetId="10" hidden="1">1</definedName>
    <definedName name="solver_rel1" localSheetId="10" hidden="1">2</definedName>
    <definedName name="solver_rhs1" localSheetId="10" hidden="1">1</definedName>
    <definedName name="solver_rlx" localSheetId="10" hidden="1">2</definedName>
    <definedName name="solver_rsd" localSheetId="10" hidden="1">0</definedName>
    <definedName name="solver_scl" localSheetId="10" hidden="1">1</definedName>
    <definedName name="solver_sho" localSheetId="10" hidden="1">2</definedName>
    <definedName name="solver_ssz" localSheetId="10" hidden="1">100</definedName>
    <definedName name="solver_tim" localSheetId="10" hidden="1">2147483647</definedName>
    <definedName name="solver_tol" localSheetId="10" hidden="1">0.01</definedName>
    <definedName name="solver_typ" localSheetId="5" hidden="1">1</definedName>
    <definedName name="solver_typ" localSheetId="10" hidden="1">1</definedName>
    <definedName name="solver_val" localSheetId="5" hidden="1">0</definedName>
    <definedName name="solver_val" localSheetId="10" hidden="1">0</definedName>
    <definedName name="solver_ver" localSheetId="5" hidden="1">3</definedName>
    <definedName name="solver_ver" localSheetId="1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3" i="20" l="1"/>
  <c r="B13" i="20"/>
  <c r="C12" i="20"/>
  <c r="B12" i="20"/>
  <c r="C11" i="20"/>
  <c r="B11" i="20"/>
  <c r="C10" i="20"/>
  <c r="B10" i="20"/>
  <c r="C5" i="20"/>
  <c r="C4" i="20"/>
  <c r="B9" i="19"/>
  <c r="B7" i="19"/>
  <c r="B5" i="19"/>
  <c r="B6" i="17"/>
  <c r="B5" i="17"/>
  <c r="B4" i="16"/>
  <c r="C5" i="13" l="1"/>
  <c r="C6" i="13"/>
  <c r="D10" i="12"/>
  <c r="D9" i="12"/>
  <c r="D11" i="12"/>
  <c r="F11" i="12"/>
  <c r="F8" i="11"/>
  <c r="C13" i="11"/>
  <c r="C12" i="11"/>
  <c r="C6" i="11"/>
  <c r="C8" i="11"/>
  <c r="C9" i="11" s="1"/>
  <c r="C14" i="11"/>
  <c r="C19" i="8" l="1"/>
  <c r="C15" i="8"/>
  <c r="C16" i="8"/>
  <c r="C9" i="8"/>
  <c r="C6" i="8"/>
  <c r="C19" i="9"/>
  <c r="C12" i="9"/>
  <c r="C7" i="9"/>
  <c r="C14" i="9" s="1"/>
  <c r="B7" i="6"/>
  <c r="D21" i="6" s="1"/>
  <c r="C20" i="8"/>
  <c r="C5" i="7"/>
  <c r="C7" i="7" s="1"/>
  <c r="D5" i="7"/>
  <c r="B18" i="6" l="1"/>
  <c r="B15" i="6"/>
  <c r="B11" i="6"/>
  <c r="J10" i="2"/>
  <c r="B19" i="6" l="1"/>
  <c r="D19" i="6"/>
  <c r="C21" i="6"/>
  <c r="E19" i="6"/>
  <c r="B20" i="6"/>
  <c r="B21" i="6"/>
  <c r="E18" i="6"/>
  <c r="C18" i="6"/>
  <c r="C19" i="6"/>
  <c r="E20" i="6"/>
  <c r="D20" i="6"/>
  <c r="C20" i="6"/>
  <c r="E21" i="6"/>
  <c r="D18" i="6"/>
  <c r="C56" i="5"/>
  <c r="C13" i="4"/>
  <c r="C12" i="4"/>
  <c r="C55" i="5"/>
  <c r="E26" i="5"/>
  <c r="B56" i="5"/>
  <c r="I56" i="5"/>
  <c r="B29" i="5"/>
  <c r="E27" i="5" s="1"/>
  <c r="I58" i="5"/>
  <c r="I55" i="5"/>
  <c r="B57" i="5"/>
  <c r="B55" i="5"/>
  <c r="I57" i="5"/>
  <c r="C44" i="5"/>
  <c r="B44" i="5"/>
  <c r="C43" i="5"/>
  <c r="B43" i="5"/>
  <c r="C30" i="5"/>
  <c r="C20" i="5"/>
  <c r="C19" i="5"/>
  <c r="B20" i="5"/>
  <c r="C18" i="5"/>
  <c r="B18" i="5"/>
  <c r="B19" i="5"/>
  <c r="F11" i="5"/>
  <c r="D9" i="5"/>
  <c r="D6" i="5"/>
  <c r="F9" i="5"/>
  <c r="F8" i="5"/>
  <c r="F7" i="5"/>
  <c r="F6" i="5"/>
  <c r="D8" i="5"/>
  <c r="D7" i="5"/>
  <c r="D3" i="1"/>
  <c r="B60" i="3"/>
  <c r="B59" i="3"/>
  <c r="B29" i="3"/>
  <c r="B26" i="3"/>
  <c r="B28" i="3"/>
  <c r="B27" i="3"/>
  <c r="I3" i="1"/>
  <c r="B45" i="5" l="1"/>
  <c r="B46" i="5" s="1"/>
  <c r="C45" i="5"/>
  <c r="C46" i="5" s="1"/>
  <c r="D55" i="5"/>
  <c r="B30" i="5"/>
  <c r="D56" i="5"/>
  <c r="C57" i="5"/>
  <c r="D57" i="5" s="1"/>
  <c r="B52" i="3"/>
  <c r="D47" i="2"/>
  <c r="E36" i="2"/>
  <c r="C37" i="2"/>
  <c r="B37" i="2"/>
  <c r="B49" i="2"/>
  <c r="B7" i="2"/>
  <c r="B17" i="2"/>
  <c r="D58" i="5" l="1"/>
  <c r="G26" i="1"/>
  <c r="F13" i="3"/>
  <c r="F26" i="1"/>
  <c r="D26" i="1"/>
  <c r="B14" i="4"/>
  <c r="B13" i="4"/>
  <c r="C14" i="4" s="1"/>
  <c r="B12" i="4"/>
  <c r="C5" i="4"/>
  <c r="B7" i="4"/>
  <c r="B6" i="4"/>
  <c r="C6" i="4" s="1"/>
  <c r="B5" i="4"/>
  <c r="D22" i="4"/>
  <c r="D23" i="4"/>
  <c r="D21" i="4"/>
  <c r="C53" i="3"/>
  <c r="B53" i="3"/>
  <c r="C41" i="3"/>
  <c r="B41" i="3"/>
  <c r="C40" i="3"/>
  <c r="B40" i="3"/>
  <c r="C26" i="3"/>
  <c r="J26" i="2"/>
  <c r="C27" i="3"/>
  <c r="C8" i="3"/>
  <c r="D8" i="3"/>
  <c r="D9" i="3" s="1"/>
  <c r="E8" i="3"/>
  <c r="E9" i="3" s="1"/>
  <c r="F8" i="3"/>
  <c r="F9" i="3" s="1"/>
  <c r="B26" i="2"/>
  <c r="B58" i="2"/>
  <c r="F49" i="2"/>
  <c r="D49" i="2"/>
  <c r="B48" i="2"/>
  <c r="F48" i="2"/>
  <c r="F47" i="2"/>
  <c r="D48" i="2"/>
  <c r="B47" i="2"/>
  <c r="E4" i="2"/>
  <c r="E32" i="2"/>
  <c r="E35" i="2"/>
  <c r="E34" i="2"/>
  <c r="E33" i="2"/>
  <c r="C39" i="2"/>
  <c r="B39" i="2"/>
  <c r="C38" i="2"/>
  <c r="B38" i="2"/>
  <c r="B27" i="2"/>
  <c r="C18" i="2"/>
  <c r="B18" i="2"/>
  <c r="C17" i="2"/>
  <c r="J30" i="2"/>
  <c r="C8" i="2"/>
  <c r="B8" i="2"/>
  <c r="E5" i="2"/>
  <c r="E6" i="2"/>
  <c r="E3" i="2"/>
  <c r="C7" i="2"/>
  <c r="K10" i="2"/>
  <c r="J12" i="2"/>
  <c r="K12" i="2"/>
  <c r="J14" i="2"/>
  <c r="K14" i="2"/>
  <c r="J28" i="2"/>
  <c r="I22" i="1"/>
  <c r="J22" i="1" s="1"/>
  <c r="H22" i="1"/>
  <c r="K22" i="1" s="1"/>
  <c r="E17" i="1"/>
  <c r="F18" i="1" s="1"/>
  <c r="A13" i="1"/>
  <c r="A11" i="1"/>
  <c r="A12" i="1"/>
  <c r="A10" i="1"/>
  <c r="D6" i="1"/>
  <c r="D4" i="1"/>
  <c r="D5" i="1"/>
  <c r="C42" i="3" l="1"/>
  <c r="B42" i="3"/>
  <c r="C28" i="3"/>
  <c r="C29" i="3" s="1"/>
  <c r="C7" i="4"/>
  <c r="D14" i="4"/>
  <c r="D12" i="4"/>
  <c r="D15" i="4" s="1"/>
  <c r="D13" i="4"/>
  <c r="D5" i="4"/>
  <c r="D7" i="4"/>
  <c r="D6" i="4"/>
  <c r="D8" i="4" s="1"/>
  <c r="D10" i="3"/>
  <c r="D12" i="3" s="1"/>
  <c r="D14" i="3" s="1"/>
  <c r="E10" i="3"/>
  <c r="E12" i="3" s="1"/>
  <c r="E14" i="3" s="1"/>
  <c r="F10" i="3"/>
  <c r="F12" i="3" s="1"/>
  <c r="F14" i="3" s="1"/>
  <c r="C9" i="3"/>
  <c r="C10" i="3" s="1"/>
  <c r="C12" i="3" s="1"/>
  <c r="C14" i="3" s="1"/>
  <c r="E7" i="2"/>
  <c r="F17" i="1"/>
  <c r="G17" i="1" s="1"/>
  <c r="I17" i="1" s="1"/>
  <c r="B15" i="3" l="1"/>
</calcChain>
</file>

<file path=xl/sharedStrings.xml><?xml version="1.0" encoding="utf-8"?>
<sst xmlns="http://schemas.openxmlformats.org/spreadsheetml/2006/main" count="458" uniqueCount="278">
  <si>
    <t>Bsp1:</t>
  </si>
  <si>
    <t>Year</t>
  </si>
  <si>
    <t>Project 1</t>
  </si>
  <si>
    <t>Project 2</t>
  </si>
  <si>
    <t>NPV=</t>
  </si>
  <si>
    <t>IRR=</t>
  </si>
  <si>
    <t>PI=</t>
  </si>
  <si>
    <t>r=10%</t>
  </si>
  <si>
    <t>Investment CF: NPV, IRR &amp; PI Calculations</t>
  </si>
  <si>
    <t>Financing CF: NPV, IRR &amp; PI Calculations</t>
  </si>
  <si>
    <t>Calcuating EAR</t>
  </si>
  <si>
    <t>Stated Rate</t>
  </si>
  <si>
    <t>No. of times compounded</t>
  </si>
  <si>
    <t>Quarterly</t>
  </si>
  <si>
    <t>Monthly</t>
  </si>
  <si>
    <t>Daily</t>
  </si>
  <si>
    <t>Infinite</t>
  </si>
  <si>
    <t>Times</t>
  </si>
  <si>
    <t>e^q</t>
  </si>
  <si>
    <t>Result</t>
  </si>
  <si>
    <t>Calcuating APR</t>
  </si>
  <si>
    <t>APR</t>
  </si>
  <si>
    <t>EAR</t>
  </si>
  <si>
    <t>Semiannually</t>
  </si>
  <si>
    <t>Weekly</t>
  </si>
  <si>
    <t>ln(1+EAR)</t>
  </si>
  <si>
    <t>Calcuating Annuity</t>
  </si>
  <si>
    <t>Annual interest</t>
  </si>
  <si>
    <t>Costs per year &amp; child</t>
  </si>
  <si>
    <t>PV</t>
  </si>
  <si>
    <t>PVA/FV</t>
  </si>
  <si>
    <t>Time to save money</t>
  </si>
  <si>
    <t>Duration (College)</t>
  </si>
  <si>
    <t>Total cost today</t>
  </si>
  <si>
    <t>Amount to save each year (C)</t>
  </si>
  <si>
    <t>Time</t>
  </si>
  <si>
    <t>Calcuating Annuity Values</t>
  </si>
  <si>
    <t>Loan</t>
  </si>
  <si>
    <t>Loan (years)</t>
  </si>
  <si>
    <t xml:space="preserve">Costs </t>
  </si>
  <si>
    <t>Leasing today</t>
  </si>
  <si>
    <t>Leasing future (monthly)</t>
  </si>
  <si>
    <t>Leasing Rate</t>
  </si>
  <si>
    <t>PV (Leasing)</t>
  </si>
  <si>
    <t>Months</t>
  </si>
  <si>
    <t>Resale Price</t>
  </si>
  <si>
    <t>PV (Resale)</t>
  </si>
  <si>
    <t>PV (New purchase)</t>
  </si>
  <si>
    <t>PV (Break Even - buy=leasing)</t>
  </si>
  <si>
    <t>Problems with IRR</t>
  </si>
  <si>
    <t>CF</t>
  </si>
  <si>
    <t>NPV versus IRR</t>
  </si>
  <si>
    <t>IRR =</t>
  </si>
  <si>
    <t>Incremental IRR =</t>
  </si>
  <si>
    <t>Annual return</t>
  </si>
  <si>
    <t>CF2</t>
  </si>
  <si>
    <t>CF1</t>
  </si>
  <si>
    <t>iIRR (größerer IRR CF - kleinerer IRR CF)</t>
  </si>
  <si>
    <t>PI =</t>
  </si>
  <si>
    <t>NPV =</t>
  </si>
  <si>
    <t>Problems with Profitability Index</t>
  </si>
  <si>
    <t>Required return</t>
  </si>
  <si>
    <t>Comparing Investment Criteria</t>
  </si>
  <si>
    <t>Payback Period =</t>
  </si>
  <si>
    <t>Payback Formel =</t>
  </si>
  <si>
    <t>( 600 / 700)</t>
  </si>
  <si>
    <t>Payback Period (years) =</t>
  </si>
  <si>
    <t>CF3</t>
  </si>
  <si>
    <t>Project has no IRR</t>
  </si>
  <si>
    <t>Investment</t>
  </si>
  <si>
    <t>Year -&gt;</t>
  </si>
  <si>
    <t>Sales</t>
  </si>
  <si>
    <t>Op. Costs</t>
  </si>
  <si>
    <t>Depreciation</t>
  </si>
  <si>
    <t>Net working capital spending</t>
  </si>
  <si>
    <t>Calculating Project NPV</t>
  </si>
  <si>
    <t>Tax</t>
  </si>
  <si>
    <t>Tax (34%)</t>
  </si>
  <si>
    <t>EBT</t>
  </si>
  <si>
    <t>Incremental cash flow</t>
  </si>
  <si>
    <t>OCF (Net income + Depreciation)</t>
  </si>
  <si>
    <t>Machine A</t>
  </si>
  <si>
    <t>Machine B</t>
  </si>
  <si>
    <t>Costs</t>
  </si>
  <si>
    <t>Life</t>
  </si>
  <si>
    <t>Op. Costs (yearly)</t>
  </si>
  <si>
    <t>Salvage value</t>
  </si>
  <si>
    <t>OCF =</t>
  </si>
  <si>
    <t>Discount Rate</t>
  </si>
  <si>
    <t>Aftertax salvage value =</t>
  </si>
  <si>
    <t>EAC =</t>
  </si>
  <si>
    <t>Calculating EAC</t>
  </si>
  <si>
    <t>Net income =</t>
  </si>
  <si>
    <t>Discount rate</t>
  </si>
  <si>
    <t>Comparing Mutually Exclusive Projects</t>
  </si>
  <si>
    <t>System A</t>
  </si>
  <si>
    <t>System B</t>
  </si>
  <si>
    <t>Capital Budgeting with Inflation</t>
  </si>
  <si>
    <t>nominal</t>
  </si>
  <si>
    <t>real</t>
  </si>
  <si>
    <t>Structure</t>
  </si>
  <si>
    <t>Inflation</t>
  </si>
  <si>
    <t>-</t>
  </si>
  <si>
    <t>Real interest rate =</t>
  </si>
  <si>
    <t>Valuing Bonds</t>
  </si>
  <si>
    <t>Years</t>
  </si>
  <si>
    <t>YTM</t>
  </si>
  <si>
    <t xml:space="preserve">Par </t>
  </si>
  <si>
    <t>Margin trading and short sales</t>
  </si>
  <si>
    <t>Shares</t>
  </si>
  <si>
    <t>Price per share</t>
  </si>
  <si>
    <t>Price per share (year1)</t>
  </si>
  <si>
    <t>Dividends</t>
  </si>
  <si>
    <t>Initial Margin</t>
  </si>
  <si>
    <t>Maintenance Margin</t>
  </si>
  <si>
    <t>Net CF</t>
  </si>
  <si>
    <t>&gt; IRR</t>
  </si>
  <si>
    <t>Sales price</t>
  </si>
  <si>
    <t>Purchase price</t>
  </si>
  <si>
    <t>Calculating EAR</t>
  </si>
  <si>
    <t>Interest per year</t>
  </si>
  <si>
    <t>Rate</t>
  </si>
  <si>
    <t>Payback</t>
  </si>
  <si>
    <t>Monthly payback rate</t>
  </si>
  <si>
    <t>Lösung nach Loan (26000)</t>
  </si>
  <si>
    <t>&gt; Zielwertsuche</t>
  </si>
  <si>
    <t>Investment now</t>
  </si>
  <si>
    <t>Payment gotten</t>
  </si>
  <si>
    <t xml:space="preserve">Dividends (Year1) </t>
  </si>
  <si>
    <t>&gt; ABS(SUMME()) von Net working capital spending</t>
  </si>
  <si>
    <t>Ausschnitt Beispiele CashFlows von Folien</t>
  </si>
  <si>
    <t>1 + (-1900 + 1400)/900</t>
  </si>
  <si>
    <t>Inflations (alpha)</t>
  </si>
  <si>
    <t>Alpha1  =</t>
  </si>
  <si>
    <t>Alpha (times per year) = Semiannual</t>
  </si>
  <si>
    <t>EAR with Inflation</t>
  </si>
  <si>
    <t>EAR =</t>
  </si>
  <si>
    <t>EXAM</t>
  </si>
  <si>
    <t>Bond amount</t>
  </si>
  <si>
    <t>Bond time 1</t>
  </si>
  <si>
    <t>Face value 1</t>
  </si>
  <si>
    <t>Present Value 1</t>
  </si>
  <si>
    <t>Present Value 2</t>
  </si>
  <si>
    <t>Present Value 3</t>
  </si>
  <si>
    <t>Immunizing Bond time 2</t>
  </si>
  <si>
    <t>Immunizing Face value 2</t>
  </si>
  <si>
    <t>Immunizing Bond time 3</t>
  </si>
  <si>
    <t>Immunizing Face value 3</t>
  </si>
  <si>
    <t>Frage 4</t>
  </si>
  <si>
    <t>Frage 3</t>
  </si>
  <si>
    <t>Frage 1</t>
  </si>
  <si>
    <t xml:space="preserve">Frage 2 </t>
  </si>
  <si>
    <t>Buy</t>
  </si>
  <si>
    <t>1y</t>
  </si>
  <si>
    <t>2y</t>
  </si>
  <si>
    <t>2y coupon</t>
  </si>
  <si>
    <t>FV</t>
  </si>
  <si>
    <t>CV</t>
  </si>
  <si>
    <t>FV=</t>
  </si>
  <si>
    <t>1)</t>
  </si>
  <si>
    <t>2)</t>
  </si>
  <si>
    <t>CV=</t>
  </si>
  <si>
    <t>3)</t>
  </si>
  <si>
    <t>C=</t>
  </si>
  <si>
    <t>Spot rates:</t>
  </si>
  <si>
    <t>r=</t>
  </si>
  <si>
    <t>PV4=</t>
  </si>
  <si>
    <t>LZ =</t>
  </si>
  <si>
    <t>Coupon=</t>
  </si>
  <si>
    <t>1,2)</t>
  </si>
  <si>
    <t>PV=</t>
  </si>
  <si>
    <t>YTM=</t>
  </si>
  <si>
    <t>CF abgez. mit YTM</t>
  </si>
  <si>
    <t>Rechte Seite=</t>
  </si>
  <si>
    <t>5)</t>
  </si>
  <si>
    <t>Market price=</t>
  </si>
  <si>
    <t>6)</t>
  </si>
  <si>
    <t>100/(r+1)^4</t>
  </si>
  <si>
    <t>Bond 1</t>
  </si>
  <si>
    <t>Bond 2</t>
  </si>
  <si>
    <t>LZ</t>
  </si>
  <si>
    <t>CFs</t>
  </si>
  <si>
    <t>PV of Liab.</t>
  </si>
  <si>
    <t xml:space="preserve">2) </t>
  </si>
  <si>
    <t xml:space="preserve">4) </t>
  </si>
  <si>
    <t>x=</t>
  </si>
  <si>
    <t>Linke Seite=</t>
  </si>
  <si>
    <t xml:space="preserve">Rechte Seite= </t>
  </si>
  <si>
    <t>Duration=</t>
  </si>
  <si>
    <t>Weight=</t>
  </si>
  <si>
    <t>Duration*PV of Liab.</t>
  </si>
  <si>
    <t>LZ1*x+LZ2*(PV of Liab.-x)</t>
  </si>
  <si>
    <t>4)</t>
  </si>
  <si>
    <t>(=coupon Rate)</t>
  </si>
  <si>
    <t>Coupon</t>
  </si>
  <si>
    <t>PV(initial Val)=</t>
  </si>
  <si>
    <t>HPR=</t>
  </si>
  <si>
    <t>HPR=(Income+EndOfPeroidVal-InitialValue)/Initial Value</t>
  </si>
  <si>
    <t>Period</t>
  </si>
  <si>
    <t xml:space="preserve">Income=FV*Coupon </t>
  </si>
  <si>
    <t>Asset A</t>
  </si>
  <si>
    <t>Asset B</t>
  </si>
  <si>
    <t>Corr.koeff.=</t>
  </si>
  <si>
    <t>rA=</t>
  </si>
  <si>
    <t>rB=</t>
  </si>
  <si>
    <t>rF=</t>
  </si>
  <si>
    <t>sdA=</t>
  </si>
  <si>
    <t>sdB=</t>
  </si>
  <si>
    <t>U(r)</t>
  </si>
  <si>
    <t>r-3/2*sd^2</t>
  </si>
  <si>
    <t>Max</t>
  </si>
  <si>
    <t>Zähler:</t>
  </si>
  <si>
    <t>wA</t>
  </si>
  <si>
    <t>Solver:</t>
  </si>
  <si>
    <t>Hauptbedingung=D11-&gt;Max.; Durch Ändern der Variablen: F9,F10; Nebenbedingung: F11=1</t>
  </si>
  <si>
    <t>Nenner:</t>
  </si>
  <si>
    <t>wB</t>
  </si>
  <si>
    <t>wa+wb</t>
  </si>
  <si>
    <t>rF+SharpRatio*SD</t>
  </si>
  <si>
    <t>N/A</t>
  </si>
  <si>
    <t>End of Per. 1=</t>
  </si>
  <si>
    <t>End of Per. 2=</t>
  </si>
  <si>
    <t>Sharpe Ratio:</t>
  </si>
  <si>
    <t>Rp = rA*wA+rB*wB</t>
  </si>
  <si>
    <t>Sharpe Ratio</t>
  </si>
  <si>
    <t>r (CML)=</t>
  </si>
  <si>
    <t>PF A</t>
  </si>
  <si>
    <t>PF B</t>
  </si>
  <si>
    <t>BetaA=</t>
  </si>
  <si>
    <t>BetaB=</t>
  </si>
  <si>
    <t>E[rA]=</t>
  </si>
  <si>
    <t>E[rB]=</t>
  </si>
  <si>
    <t>Formel für Fx</t>
  </si>
  <si>
    <t>Fx = (rM - rF)</t>
  </si>
  <si>
    <t>Formeln in WolframAlpha einsetzen</t>
  </si>
  <si>
    <t>-&gt;</t>
  </si>
  <si>
    <t>Stocks</t>
  </si>
  <si>
    <t>Unsystematic Risk of each Stock</t>
  </si>
  <si>
    <t>Formel 2-Factor Model</t>
  </si>
  <si>
    <t>rX = rM + beta1 * F1 + beta2 * F2 + espsilon</t>
  </si>
  <si>
    <t>Expected Return of Stock</t>
  </si>
  <si>
    <t>rM</t>
  </si>
  <si>
    <t>Expected Value of Factor</t>
  </si>
  <si>
    <t>Expected Value of unsystematic Risk</t>
  </si>
  <si>
    <t>Risk of the Asset</t>
  </si>
  <si>
    <t>beta1</t>
  </si>
  <si>
    <t>Variance Factor 1</t>
  </si>
  <si>
    <t>beta2</t>
  </si>
  <si>
    <t>Variance Factor 2</t>
  </si>
  <si>
    <t>Unsystematic Risk</t>
  </si>
  <si>
    <t>Risk free rate</t>
  </si>
  <si>
    <t>Formeln für expected return in this market:</t>
  </si>
  <si>
    <t>rA = rF + beta1 * F1 + beta2 * F2</t>
  </si>
  <si>
    <t>rB = rF + beta1 * F1 + beta2 * F3</t>
  </si>
  <si>
    <t>No unsystematic Risk (espilon) for independent Factors!!</t>
  </si>
  <si>
    <t>beta</t>
  </si>
  <si>
    <t>rF</t>
  </si>
  <si>
    <t>Risk-Premium of portfolio</t>
  </si>
  <si>
    <t>Formel für expected return on the stock</t>
  </si>
  <si>
    <t>Expected return on the stock</t>
  </si>
  <si>
    <t>rF + beta * (rM - rF)</t>
  </si>
  <si>
    <t>Observed Wert</t>
  </si>
  <si>
    <t>Portfolio Entscheidungen</t>
  </si>
  <si>
    <t>Portfolio X</t>
  </si>
  <si>
    <t>Portfolio Y</t>
  </si>
  <si>
    <t>sigma</t>
  </si>
  <si>
    <t>Risk free rate (rF)</t>
  </si>
  <si>
    <t>Market Porftolio return (rM)</t>
  </si>
  <si>
    <t>Prediction-Werte</t>
  </si>
  <si>
    <t>alpha-Werte</t>
  </si>
  <si>
    <t>Treynor</t>
  </si>
  <si>
    <t>Observed r-Wert (rX,rY)</t>
  </si>
  <si>
    <t>Sharpe 
(r[X,Y] - rF) / sigma[X,Y]</t>
  </si>
  <si>
    <t>für isolated Investments</t>
  </si>
  <si>
    <t>well-diversified Portfolio</t>
  </si>
  <si>
    <t>Formel zum berechnen</t>
  </si>
  <si>
    <t>Probability(Buy-HighPrice)/Probability(Buy)</t>
  </si>
  <si>
    <t>Angabe berücksichtigen!!!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</si>
</sst>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€&quot;\ #,##0.00;[Red]\-&quot;€&quot;\ #,##0.00"/>
    <numFmt numFmtId="164" formatCode="0.000"/>
    <numFmt numFmtId="165" formatCode="0.0%"/>
    <numFmt numFmtId="166" formatCode="0.0000"/>
    <numFmt numFmtId="167" formatCode="0.000%"/>
    <numFmt numFmtId="168" formatCode="#,##0.000"/>
    <numFmt numFmtId="169" formatCode="0.00000"/>
  </numFmts>
  <fonts count="1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9C0006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</cellStyleXfs>
  <cellXfs count="315">
    <xf numFmtId="0" fontId="0" fillId="0" borderId="0" xfId="0"/>
    <xf numFmtId="0" fontId="4" fillId="0" borderId="1" xfId="0" applyFont="1" applyBorder="1"/>
    <xf numFmtId="0" fontId="0" fillId="0" borderId="1" xfId="0" applyBorder="1"/>
    <xf numFmtId="0" fontId="4" fillId="0" borderId="5" xfId="0" applyFont="1" applyBorder="1"/>
    <xf numFmtId="0" fontId="0" fillId="0" borderId="6" xfId="0" applyBorder="1"/>
    <xf numFmtId="0" fontId="0" fillId="0" borderId="7" xfId="0" applyBorder="1"/>
    <xf numFmtId="0" fontId="0" fillId="0" borderId="0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7" xfId="0" applyBorder="1" applyAlignment="1">
      <alignment horizontal="center"/>
    </xf>
    <xf numFmtId="3" fontId="0" fillId="0" borderId="0" xfId="0" applyNumberFormat="1" applyBorder="1" applyAlignment="1">
      <alignment horizontal="right"/>
    </xf>
    <xf numFmtId="0" fontId="0" fillId="0" borderId="0" xfId="0" applyBorder="1"/>
    <xf numFmtId="0" fontId="0" fillId="0" borderId="8" xfId="0" applyBorder="1"/>
    <xf numFmtId="0" fontId="4" fillId="0" borderId="9" xfId="0" applyFont="1" applyBorder="1"/>
    <xf numFmtId="4" fontId="1" fillId="2" borderId="0" xfId="1" applyNumberFormat="1" applyBorder="1"/>
    <xf numFmtId="4" fontId="2" fillId="3" borderId="0" xfId="2" applyNumberFormat="1" applyBorder="1"/>
    <xf numFmtId="0" fontId="4" fillId="0" borderId="7" xfId="0" applyFont="1" applyBorder="1"/>
    <xf numFmtId="4" fontId="1" fillId="0" borderId="0" xfId="1" applyNumberFormat="1" applyFill="1" applyBorder="1"/>
    <xf numFmtId="4" fontId="2" fillId="0" borderId="0" xfId="2" applyNumberFormat="1" applyFill="1" applyBorder="1"/>
    <xf numFmtId="0" fontId="4" fillId="0" borderId="10" xfId="0" applyFont="1" applyBorder="1"/>
    <xf numFmtId="164" fontId="2" fillId="3" borderId="11" xfId="2" applyNumberFormat="1" applyBorder="1"/>
    <xf numFmtId="164" fontId="1" fillId="2" borderId="11" xfId="1" applyNumberFormat="1" applyBorder="1"/>
    <xf numFmtId="0" fontId="0" fillId="0" borderId="12" xfId="0" applyBorder="1"/>
    <xf numFmtId="165" fontId="2" fillId="3" borderId="0" xfId="2" applyNumberFormat="1" applyBorder="1"/>
    <xf numFmtId="165" fontId="1" fillId="2" borderId="0" xfId="1" applyNumberFormat="1" applyBorder="1"/>
    <xf numFmtId="165" fontId="3" fillId="4" borderId="0" xfId="3" applyNumberFormat="1" applyBorder="1"/>
    <xf numFmtId="164" fontId="3" fillId="4" borderId="11" xfId="3" applyNumberFormat="1" applyBorder="1"/>
    <xf numFmtId="0" fontId="0" fillId="0" borderId="0" xfId="0" applyFill="1" applyBorder="1" applyAlignment="1"/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/>
    <xf numFmtId="0" fontId="0" fillId="7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7" borderId="17" xfId="0" applyNumberFormat="1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20" xfId="0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7" xfId="0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2" fontId="3" fillId="4" borderId="17" xfId="3" applyNumberFormat="1" applyBorder="1" applyAlignment="1">
      <alignment horizontal="center"/>
    </xf>
    <xf numFmtId="2" fontId="3" fillId="4" borderId="19" xfId="3" applyNumberFormat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13" xfId="0" applyFont="1" applyBorder="1" applyAlignment="1">
      <alignment horizontal="center"/>
    </xf>
    <xf numFmtId="3" fontId="0" fillId="7" borderId="13" xfId="0" applyNumberFormat="1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0" fillId="7" borderId="21" xfId="0" applyFill="1" applyBorder="1" applyAlignment="1">
      <alignment horizontal="center"/>
    </xf>
    <xf numFmtId="2" fontId="3" fillId="4" borderId="18" xfId="3" applyNumberFormat="1" applyBorder="1" applyAlignment="1">
      <alignment horizontal="center"/>
    </xf>
    <xf numFmtId="2" fontId="3" fillId="4" borderId="21" xfId="3" applyNumberFormat="1" applyBorder="1" applyAlignment="1">
      <alignment horizontal="center"/>
    </xf>
    <xf numFmtId="0" fontId="0" fillId="0" borderId="13" xfId="0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4" fillId="0" borderId="18" xfId="0" applyFont="1" applyFill="1" applyBorder="1" applyAlignment="1">
      <alignment horizontal="center" vertical="center" wrapText="1"/>
    </xf>
    <xf numFmtId="3" fontId="0" fillId="7" borderId="20" xfId="0" applyNumberFormat="1" applyFill="1" applyBorder="1" applyAlignment="1">
      <alignment horizontal="center"/>
    </xf>
    <xf numFmtId="2" fontId="3" fillId="4" borderId="20" xfId="3" applyNumberFormat="1" applyBorder="1" applyAlignment="1">
      <alignment horizontal="center"/>
    </xf>
    <xf numFmtId="4" fontId="3" fillId="4" borderId="25" xfId="3" applyNumberFormat="1" applyBorder="1" applyAlignment="1">
      <alignment horizontal="center"/>
    </xf>
    <xf numFmtId="4" fontId="3" fillId="4" borderId="20" xfId="3" applyNumberFormat="1" applyBorder="1" applyAlignment="1">
      <alignment horizontal="center"/>
    </xf>
    <xf numFmtId="4" fontId="3" fillId="4" borderId="13" xfId="3" applyNumberFormat="1" applyBorder="1" applyAlignment="1">
      <alignment horizontal="center"/>
    </xf>
    <xf numFmtId="0" fontId="4" fillId="0" borderId="18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4" fontId="3" fillId="4" borderId="21" xfId="3" applyNumberFormat="1" applyBorder="1" applyAlignment="1">
      <alignment horizontal="center"/>
    </xf>
    <xf numFmtId="4" fontId="1" fillId="2" borderId="20" xfId="1" applyNumberFormat="1" applyBorder="1" applyAlignment="1">
      <alignment horizontal="center"/>
    </xf>
    <xf numFmtId="4" fontId="2" fillId="3" borderId="21" xfId="2" applyNumberFormat="1" applyBorder="1" applyAlignment="1">
      <alignment horizontal="center"/>
    </xf>
    <xf numFmtId="0" fontId="4" fillId="0" borderId="34" xfId="0" applyFont="1" applyFill="1" applyBorder="1" applyAlignment="1">
      <alignment horizontal="center"/>
    </xf>
    <xf numFmtId="4" fontId="2" fillId="3" borderId="35" xfId="2" applyNumberFormat="1" applyBorder="1" applyAlignment="1">
      <alignment horizontal="center"/>
    </xf>
    <xf numFmtId="3" fontId="0" fillId="0" borderId="0" xfId="0" applyNumberFormat="1" applyFill="1" applyBorder="1" applyAlignment="1">
      <alignment horizontal="center"/>
    </xf>
    <xf numFmtId="0" fontId="0" fillId="0" borderId="0" xfId="0" applyFill="1" applyBorder="1"/>
    <xf numFmtId="0" fontId="4" fillId="0" borderId="0" xfId="0" applyFont="1" applyFill="1" applyBorder="1"/>
    <xf numFmtId="4" fontId="1" fillId="0" borderId="0" xfId="1" applyNumberFormat="1" applyFill="1" applyBorder="1" applyAlignment="1">
      <alignment horizontal="center"/>
    </xf>
    <xf numFmtId="165" fontId="3" fillId="0" borderId="0" xfId="3" applyNumberFormat="1" applyFill="1" applyBorder="1" applyAlignment="1">
      <alignment horizontal="center"/>
    </xf>
    <xf numFmtId="164" fontId="2" fillId="0" borderId="0" xfId="2" applyNumberFormat="1" applyFill="1" applyBorder="1" applyAlignment="1">
      <alignment horizontal="center"/>
    </xf>
    <xf numFmtId="10" fontId="1" fillId="2" borderId="13" xfId="1" applyNumberFormat="1" applyBorder="1" applyAlignment="1">
      <alignment horizontal="center"/>
    </xf>
    <xf numFmtId="0" fontId="0" fillId="0" borderId="0" xfId="0" applyFill="1" applyBorder="1" applyAlignment="1">
      <alignment vertical="center"/>
    </xf>
    <xf numFmtId="0" fontId="0" fillId="0" borderId="18" xfId="0" applyBorder="1" applyAlignment="1">
      <alignment horizontal="center" wrapText="1"/>
    </xf>
    <xf numFmtId="3" fontId="0" fillId="0" borderId="18" xfId="0" applyNumberFormat="1" applyBorder="1" applyAlignment="1">
      <alignment horizontal="center"/>
    </xf>
    <xf numFmtId="0" fontId="4" fillId="0" borderId="19" xfId="0" applyFont="1" applyBorder="1"/>
    <xf numFmtId="0" fontId="4" fillId="0" borderId="20" xfId="0" applyFont="1" applyBorder="1"/>
    <xf numFmtId="9" fontId="2" fillId="3" borderId="13" xfId="4" applyFont="1" applyFill="1" applyBorder="1" applyAlignment="1">
      <alignment horizontal="center"/>
    </xf>
    <xf numFmtId="0" fontId="4" fillId="0" borderId="17" xfId="0" applyFont="1" applyBorder="1"/>
    <xf numFmtId="0" fontId="4" fillId="0" borderId="38" xfId="0" applyFont="1" applyBorder="1"/>
    <xf numFmtId="3" fontId="0" fillId="0" borderId="21" xfId="0" applyNumberFormat="1" applyBorder="1" applyAlignment="1">
      <alignment horizontal="center"/>
    </xf>
    <xf numFmtId="0" fontId="4" fillId="0" borderId="0" xfId="0" applyFont="1" applyFill="1" applyBorder="1" applyAlignment="1"/>
    <xf numFmtId="164" fontId="2" fillId="3" borderId="25" xfId="2" applyNumberFormat="1" applyBorder="1" applyAlignment="1">
      <alignment horizontal="center"/>
    </xf>
    <xf numFmtId="164" fontId="1" fillId="2" borderId="25" xfId="1" applyNumberFormat="1" applyBorder="1" applyAlignment="1">
      <alignment horizontal="center"/>
    </xf>
    <xf numFmtId="4" fontId="2" fillId="3" borderId="20" xfId="2" applyNumberFormat="1" applyBorder="1" applyAlignment="1">
      <alignment horizontal="center"/>
    </xf>
    <xf numFmtId="10" fontId="1" fillId="2" borderId="25" xfId="1" applyNumberFormat="1" applyBorder="1" applyAlignment="1">
      <alignment horizontal="center"/>
    </xf>
    <xf numFmtId="10" fontId="2" fillId="3" borderId="25" xfId="2" applyNumberFormat="1" applyBorder="1" applyAlignment="1">
      <alignment horizontal="center"/>
    </xf>
    <xf numFmtId="9" fontId="6" fillId="7" borderId="18" xfId="4" applyFont="1" applyFill="1" applyBorder="1" applyAlignment="1">
      <alignment horizontal="center"/>
    </xf>
    <xf numFmtId="10" fontId="3" fillId="4" borderId="25" xfId="3" applyNumberFormat="1" applyBorder="1" applyAlignment="1">
      <alignment horizontal="center"/>
    </xf>
    <xf numFmtId="0" fontId="0" fillId="0" borderId="21" xfId="0" applyFont="1" applyBorder="1" applyAlignment="1">
      <alignment vertical="center"/>
    </xf>
    <xf numFmtId="0" fontId="0" fillId="7" borderId="38" xfId="0" applyFill="1" applyBorder="1" applyAlignment="1">
      <alignment horizontal="center"/>
    </xf>
    <xf numFmtId="0" fontId="0" fillId="7" borderId="25" xfId="0" applyFill="1" applyBorder="1" applyAlignment="1">
      <alignment horizontal="center"/>
    </xf>
    <xf numFmtId="0" fontId="0" fillId="7" borderId="39" xfId="0" applyFill="1" applyBorder="1" applyAlignment="1">
      <alignment horizontal="center"/>
    </xf>
    <xf numFmtId="10" fontId="3" fillId="4" borderId="18" xfId="3" applyNumberFormat="1" applyBorder="1" applyAlignment="1">
      <alignment horizontal="center" vertical="center"/>
    </xf>
    <xf numFmtId="3" fontId="0" fillId="0" borderId="24" xfId="0" applyNumberFormat="1" applyFill="1" applyBorder="1" applyAlignment="1">
      <alignment horizontal="center" vertical="center"/>
    </xf>
    <xf numFmtId="3" fontId="0" fillId="0" borderId="15" xfId="0" applyNumberFormat="1" applyFill="1" applyBorder="1" applyAlignment="1">
      <alignment horizontal="center"/>
    </xf>
    <xf numFmtId="4" fontId="1" fillId="2" borderId="13" xfId="1" applyNumberFormat="1" applyBorder="1" applyAlignment="1">
      <alignment horizontal="center" vertical="center"/>
    </xf>
    <xf numFmtId="4" fontId="2" fillId="3" borderId="13" xfId="2" applyNumberFormat="1" applyBorder="1" applyAlignment="1">
      <alignment horizontal="center" vertical="center"/>
    </xf>
    <xf numFmtId="10" fontId="2" fillId="3" borderId="13" xfId="2" applyNumberFormat="1" applyBorder="1" applyAlignment="1">
      <alignment horizontal="center"/>
    </xf>
    <xf numFmtId="0" fontId="0" fillId="7" borderId="41" xfId="0" applyFill="1" applyBorder="1" applyAlignment="1">
      <alignment horizontal="center"/>
    </xf>
    <xf numFmtId="9" fontId="2" fillId="3" borderId="34" xfId="2" applyNumberFormat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0" fontId="4" fillId="0" borderId="17" xfId="0" applyFont="1" applyFill="1" applyBorder="1" applyAlignment="1">
      <alignment horizontal="left" wrapText="1"/>
    </xf>
    <xf numFmtId="0" fontId="0" fillId="0" borderId="11" xfId="0" applyBorder="1"/>
    <xf numFmtId="4" fontId="1" fillId="2" borderId="13" xfId="1" applyNumberFormat="1" applyBorder="1" applyAlignment="1">
      <alignment horizontal="center"/>
    </xf>
    <xf numFmtId="4" fontId="2" fillId="3" borderId="13" xfId="2" applyNumberFormat="1" applyBorder="1" applyAlignment="1">
      <alignment horizontal="center"/>
    </xf>
    <xf numFmtId="9" fontId="6" fillId="7" borderId="18" xfId="2" applyNumberFormat="1" applyFont="1" applyFill="1" applyBorder="1" applyAlignment="1">
      <alignment horizontal="center"/>
    </xf>
    <xf numFmtId="2" fontId="1" fillId="2" borderId="20" xfId="1" applyNumberFormat="1" applyBorder="1" applyAlignment="1">
      <alignment horizontal="center"/>
    </xf>
    <xf numFmtId="2" fontId="2" fillId="3" borderId="20" xfId="2" applyNumberFormat="1" applyBorder="1" applyAlignment="1">
      <alignment horizontal="center"/>
    </xf>
    <xf numFmtId="9" fontId="6" fillId="7" borderId="13" xfId="2" applyNumberFormat="1" applyFont="1" applyFill="1" applyBorder="1" applyAlignment="1">
      <alignment horizontal="center"/>
    </xf>
    <xf numFmtId="2" fontId="7" fillId="3" borderId="25" xfId="2" applyNumberFormat="1" applyFont="1" applyBorder="1" applyAlignment="1">
      <alignment horizontal="center"/>
    </xf>
    <xf numFmtId="0" fontId="0" fillId="7" borderId="32" xfId="0" applyFill="1" applyBorder="1" applyAlignment="1">
      <alignment horizontal="center"/>
    </xf>
    <xf numFmtId="0" fontId="0" fillId="7" borderId="13" xfId="0" applyFill="1" applyBorder="1"/>
    <xf numFmtId="3" fontId="0" fillId="7" borderId="13" xfId="0" applyNumberFormat="1" applyFill="1" applyBorder="1" applyAlignment="1">
      <alignment horizontal="center" vertical="center"/>
    </xf>
    <xf numFmtId="3" fontId="0" fillId="7" borderId="13" xfId="0" applyNumberFormat="1" applyFill="1" applyBorder="1" applyAlignment="1">
      <alignment vertical="center"/>
    </xf>
    <xf numFmtId="0" fontId="0" fillId="7" borderId="13" xfId="0" applyFill="1" applyBorder="1" applyAlignment="1">
      <alignment horizontal="center" vertical="center"/>
    </xf>
    <xf numFmtId="3" fontId="0" fillId="0" borderId="13" xfId="0" applyNumberFormat="1" applyFill="1" applyBorder="1" applyAlignment="1">
      <alignment horizontal="center" vertical="center"/>
    </xf>
    <xf numFmtId="3" fontId="0" fillId="0" borderId="25" xfId="0" applyNumberFormat="1" applyFill="1" applyBorder="1" applyAlignment="1">
      <alignment horizontal="center" vertical="center"/>
    </xf>
    <xf numFmtId="3" fontId="0" fillId="7" borderId="20" xfId="0" applyNumberFormat="1" applyFill="1" applyBorder="1" applyAlignment="1">
      <alignment horizontal="center" vertical="center"/>
    </xf>
    <xf numFmtId="0" fontId="0" fillId="7" borderId="20" xfId="0" applyFont="1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3" fontId="0" fillId="0" borderId="20" xfId="0" applyNumberFormat="1" applyFill="1" applyBorder="1" applyAlignment="1">
      <alignment horizontal="center" vertical="center"/>
    </xf>
    <xf numFmtId="3" fontId="0" fillId="8" borderId="24" xfId="0" applyNumberFormat="1" applyFill="1" applyBorder="1" applyAlignment="1">
      <alignment horizontal="center" vertical="center"/>
    </xf>
    <xf numFmtId="3" fontId="3" fillId="4" borderId="25" xfId="3" applyNumberFormat="1" applyBorder="1" applyAlignment="1">
      <alignment horizontal="center"/>
    </xf>
    <xf numFmtId="3" fontId="2" fillId="3" borderId="13" xfId="2" applyNumberFormat="1" applyBorder="1" applyAlignment="1">
      <alignment horizontal="center"/>
    </xf>
    <xf numFmtId="3" fontId="1" fillId="2" borderId="13" xfId="1" applyNumberFormat="1" applyBorder="1" applyAlignment="1">
      <alignment horizontal="center"/>
    </xf>
    <xf numFmtId="0" fontId="4" fillId="0" borderId="14" xfId="0" applyFont="1" applyBorder="1"/>
    <xf numFmtId="3" fontId="3" fillId="4" borderId="15" xfId="3" applyNumberFormat="1" applyBorder="1" applyAlignment="1">
      <alignment horizontal="center"/>
    </xf>
    <xf numFmtId="0" fontId="8" fillId="7" borderId="42" xfId="0" applyFont="1" applyFill="1" applyBorder="1" applyAlignment="1">
      <alignment horizontal="center"/>
    </xf>
    <xf numFmtId="0" fontId="0" fillId="7" borderId="18" xfId="0" applyFill="1" applyBorder="1" applyAlignment="1">
      <alignment horizontal="center" vertical="center"/>
    </xf>
    <xf numFmtId="0" fontId="0" fillId="7" borderId="17" xfId="0" applyFill="1" applyBorder="1" applyAlignment="1">
      <alignment horizontal="left"/>
    </xf>
    <xf numFmtId="3" fontId="0" fillId="7" borderId="18" xfId="0" applyNumberFormat="1" applyFill="1" applyBorder="1" applyAlignment="1">
      <alignment vertical="center"/>
    </xf>
    <xf numFmtId="3" fontId="0" fillId="7" borderId="18" xfId="0" applyNumberFormat="1" applyFill="1" applyBorder="1" applyAlignment="1">
      <alignment horizontal="center" vertical="center"/>
    </xf>
    <xf numFmtId="0" fontId="0" fillId="0" borderId="17" xfId="0" applyFill="1" applyBorder="1" applyAlignment="1">
      <alignment horizontal="left"/>
    </xf>
    <xf numFmtId="3" fontId="0" fillId="0" borderId="18" xfId="0" applyNumberFormat="1" applyFill="1" applyBorder="1" applyAlignment="1">
      <alignment horizontal="center" vertical="center"/>
    </xf>
    <xf numFmtId="0" fontId="0" fillId="0" borderId="19" xfId="0" applyFill="1" applyBorder="1" applyAlignment="1">
      <alignment horizontal="left"/>
    </xf>
    <xf numFmtId="3" fontId="0" fillId="0" borderId="21" xfId="0" applyNumberFormat="1" applyFill="1" applyBorder="1" applyAlignment="1">
      <alignment horizontal="center" vertical="center"/>
    </xf>
    <xf numFmtId="0" fontId="4" fillId="0" borderId="40" xfId="0" applyFont="1" applyFill="1" applyBorder="1" applyAlignment="1">
      <alignment horizontal="left"/>
    </xf>
    <xf numFmtId="0" fontId="0" fillId="8" borderId="40" xfId="0" applyFill="1" applyBorder="1" applyAlignment="1">
      <alignment horizontal="left"/>
    </xf>
    <xf numFmtId="3" fontId="0" fillId="8" borderId="29" xfId="0" applyNumberFormat="1" applyFill="1" applyBorder="1" applyAlignment="1">
      <alignment horizontal="center" vertical="center"/>
    </xf>
    <xf numFmtId="0" fontId="0" fillId="0" borderId="38" xfId="0" applyFill="1" applyBorder="1" applyAlignment="1">
      <alignment horizontal="left"/>
    </xf>
    <xf numFmtId="3" fontId="0" fillId="0" borderId="39" xfId="0" applyNumberFormat="1" applyFill="1" applyBorder="1" applyAlignment="1">
      <alignment horizontal="center" vertical="center"/>
    </xf>
    <xf numFmtId="0" fontId="0" fillId="7" borderId="19" xfId="0" applyFont="1" applyFill="1" applyBorder="1" applyAlignment="1">
      <alignment horizontal="left" wrapText="1"/>
    </xf>
    <xf numFmtId="0" fontId="0" fillId="0" borderId="21" xfId="0" applyBorder="1" applyAlignment="1">
      <alignment horizontal="center" vertical="center"/>
    </xf>
    <xf numFmtId="3" fontId="3" fillId="4" borderId="43" xfId="3" applyNumberFormat="1" applyBorder="1" applyAlignment="1">
      <alignment horizontal="center"/>
    </xf>
    <xf numFmtId="0" fontId="0" fillId="7" borderId="17" xfId="0" applyFill="1" applyBorder="1"/>
    <xf numFmtId="0" fontId="8" fillId="7" borderId="17" xfId="0" applyFont="1" applyFill="1" applyBorder="1" applyAlignment="1">
      <alignment horizontal="center"/>
    </xf>
    <xf numFmtId="0" fontId="8" fillId="7" borderId="38" xfId="0" applyFont="1" applyFill="1" applyBorder="1" applyAlignment="1">
      <alignment horizontal="center"/>
    </xf>
    <xf numFmtId="3" fontId="0" fillId="7" borderId="18" xfId="0" applyNumberFormat="1" applyFill="1" applyBorder="1" applyAlignment="1">
      <alignment horizontal="center"/>
    </xf>
    <xf numFmtId="0" fontId="0" fillId="7" borderId="19" xfId="0" applyFill="1" applyBorder="1"/>
    <xf numFmtId="3" fontId="3" fillId="4" borderId="39" xfId="3" applyNumberFormat="1" applyBorder="1" applyAlignment="1">
      <alignment horizontal="center"/>
    </xf>
    <xf numFmtId="3" fontId="2" fillId="3" borderId="18" xfId="2" applyNumberFormat="1" applyBorder="1" applyAlignment="1">
      <alignment horizontal="center"/>
    </xf>
    <xf numFmtId="4" fontId="2" fillId="3" borderId="18" xfId="2" applyNumberFormat="1" applyBorder="1" applyAlignment="1">
      <alignment horizontal="center"/>
    </xf>
    <xf numFmtId="0" fontId="4" fillId="0" borderId="19" xfId="0" applyFont="1" applyFill="1" applyBorder="1"/>
    <xf numFmtId="4" fontId="1" fillId="2" borderId="21" xfId="1" applyNumberFormat="1" applyBorder="1" applyAlignment="1">
      <alignment horizontal="center"/>
    </xf>
    <xf numFmtId="3" fontId="1" fillId="2" borderId="18" xfId="1" applyNumberFormat="1" applyBorder="1" applyAlignment="1">
      <alignment horizontal="center"/>
    </xf>
    <xf numFmtId="8" fontId="3" fillId="4" borderId="18" xfId="3" applyNumberFormat="1" applyBorder="1" applyAlignment="1">
      <alignment horizontal="center"/>
    </xf>
    <xf numFmtId="8" fontId="3" fillId="4" borderId="21" xfId="3" applyNumberFormat="1" applyBorder="1" applyAlignment="1">
      <alignment horizontal="center"/>
    </xf>
    <xf numFmtId="0" fontId="0" fillId="0" borderId="10" xfId="0" applyBorder="1" applyAlignment="1">
      <alignment horizontal="center"/>
    </xf>
    <xf numFmtId="9" fontId="3" fillId="4" borderId="20" xfId="3" applyNumberFormat="1" applyBorder="1" applyAlignment="1">
      <alignment horizontal="center"/>
    </xf>
    <xf numFmtId="0" fontId="4" fillId="0" borderId="11" xfId="0" applyFont="1" applyBorder="1" applyAlignment="1">
      <alignment horizontal="left"/>
    </xf>
    <xf numFmtId="0" fontId="3" fillId="4" borderId="21" xfId="3" applyBorder="1" applyAlignment="1">
      <alignment horizontal="center"/>
    </xf>
    <xf numFmtId="167" fontId="3" fillId="4" borderId="21" xfId="3" applyNumberFormat="1" applyBorder="1" applyAlignment="1">
      <alignment horizontal="center"/>
    </xf>
    <xf numFmtId="3" fontId="3" fillId="4" borderId="25" xfId="3" applyNumberFormat="1" applyBorder="1" applyAlignment="1">
      <alignment horizontal="center" vertical="center"/>
    </xf>
    <xf numFmtId="3" fontId="3" fillId="4" borderId="39" xfId="3" applyNumberFormat="1" applyBorder="1" applyAlignment="1">
      <alignment horizontal="center" vertical="center"/>
    </xf>
    <xf numFmtId="2" fontId="0" fillId="7" borderId="20" xfId="0" applyNumberFormat="1" applyFill="1" applyBorder="1" applyAlignment="1">
      <alignment horizontal="center"/>
    </xf>
    <xf numFmtId="0" fontId="4" fillId="0" borderId="0" xfId="0" applyFont="1" applyBorder="1"/>
    <xf numFmtId="4" fontId="3" fillId="0" borderId="0" xfId="3" applyNumberFormat="1" applyFill="1" applyBorder="1" applyAlignment="1">
      <alignment horizontal="center"/>
    </xf>
    <xf numFmtId="0" fontId="4" fillId="0" borderId="38" xfId="0" applyFont="1" applyFill="1" applyBorder="1" applyAlignment="1">
      <alignment horizontal="left"/>
    </xf>
    <xf numFmtId="166" fontId="0" fillId="0" borderId="25" xfId="0" applyNumberFormat="1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0" fillId="7" borderId="19" xfId="0" applyFont="1" applyFill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4" fontId="0" fillId="7" borderId="20" xfId="0" applyNumberFormat="1" applyFill="1" applyBorder="1" applyAlignment="1">
      <alignment horizontal="center"/>
    </xf>
    <xf numFmtId="0" fontId="0" fillId="7" borderId="18" xfId="0" applyFill="1" applyBorder="1" applyAlignment="1">
      <alignment horizontal="center" wrapText="1"/>
    </xf>
    <xf numFmtId="0" fontId="0" fillId="7" borderId="17" xfId="0" applyFill="1" applyBorder="1" applyAlignment="1">
      <alignment horizontal="center" vertical="center"/>
    </xf>
    <xf numFmtId="164" fontId="3" fillId="4" borderId="18" xfId="3" applyNumberFormat="1" applyBorder="1" applyAlignment="1">
      <alignment horizontal="center"/>
    </xf>
    <xf numFmtId="0" fontId="0" fillId="8" borderId="32" xfId="0" applyFill="1" applyBorder="1" applyAlignment="1"/>
    <xf numFmtId="0" fontId="0" fillId="8" borderId="29" xfId="0" applyFill="1" applyBorder="1" applyAlignment="1"/>
    <xf numFmtId="0" fontId="0" fillId="8" borderId="30" xfId="0" applyFill="1" applyBorder="1" applyAlignment="1"/>
    <xf numFmtId="0" fontId="4" fillId="0" borderId="23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164" fontId="6" fillId="11" borderId="25" xfId="2" applyNumberFormat="1" applyFont="1" applyFill="1" applyBorder="1" applyAlignment="1">
      <alignment horizontal="center"/>
    </xf>
    <xf numFmtId="164" fontId="6" fillId="11" borderId="25" xfId="1" applyNumberFormat="1" applyFont="1" applyFill="1" applyBorder="1" applyAlignment="1">
      <alignment horizontal="center"/>
    </xf>
    <xf numFmtId="4" fontId="6" fillId="11" borderId="20" xfId="1" applyNumberFormat="1" applyFont="1" applyFill="1" applyBorder="1" applyAlignment="1">
      <alignment horizontal="center"/>
    </xf>
    <xf numFmtId="4" fontId="6" fillId="11" borderId="20" xfId="2" applyNumberFormat="1" applyFont="1" applyFill="1" applyBorder="1" applyAlignment="1">
      <alignment horizontal="center"/>
    </xf>
    <xf numFmtId="168" fontId="0" fillId="7" borderId="25" xfId="0" applyNumberFormat="1" applyFill="1" applyBorder="1" applyAlignment="1">
      <alignment horizontal="center"/>
    </xf>
    <xf numFmtId="0" fontId="0" fillId="0" borderId="32" xfId="0" applyBorder="1" applyAlignment="1"/>
    <xf numFmtId="0" fontId="0" fillId="0" borderId="29" xfId="0" applyBorder="1" applyAlignment="1"/>
    <xf numFmtId="0" fontId="0" fillId="0" borderId="30" xfId="0" applyBorder="1" applyAlignment="1"/>
    <xf numFmtId="169" fontId="0" fillId="0" borderId="25" xfId="0" applyNumberFormat="1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0" xfId="0" applyAlignment="1">
      <alignment horizontal="center"/>
    </xf>
    <xf numFmtId="2" fontId="3" fillId="4" borderId="13" xfId="3" applyNumberFormat="1" applyBorder="1"/>
    <xf numFmtId="0" fontId="4" fillId="0" borderId="0" xfId="0" applyFont="1" applyBorder="1" applyAlignment="1">
      <alignment horizontal="center"/>
    </xf>
    <xf numFmtId="0" fontId="4" fillId="0" borderId="13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3" fillId="4" borderId="13" xfId="3" applyBorder="1" applyAlignment="1">
      <alignment horizontal="left"/>
    </xf>
    <xf numFmtId="2" fontId="0" fillId="0" borderId="13" xfId="0" applyNumberFormat="1" applyFill="1" applyBorder="1"/>
    <xf numFmtId="9" fontId="0" fillId="7" borderId="13" xfId="0" applyNumberFormat="1" applyFill="1" applyBorder="1"/>
    <xf numFmtId="0" fontId="0" fillId="0" borderId="46" xfId="0" applyBorder="1"/>
    <xf numFmtId="0" fontId="0" fillId="0" borderId="47" xfId="0" applyBorder="1"/>
    <xf numFmtId="2" fontId="0" fillId="0" borderId="47" xfId="0" applyNumberFormat="1" applyBorder="1"/>
    <xf numFmtId="0" fontId="0" fillId="0" borderId="0" xfId="0" applyAlignment="1">
      <alignment horizontal="right"/>
    </xf>
    <xf numFmtId="0" fontId="0" fillId="7" borderId="13" xfId="0" applyFill="1" applyBorder="1" applyAlignment="1">
      <alignment horizontal="right"/>
    </xf>
    <xf numFmtId="0" fontId="0" fillId="0" borderId="42" xfId="0" applyBorder="1"/>
    <xf numFmtId="0" fontId="3" fillId="4" borderId="13" xfId="3" applyBorder="1"/>
    <xf numFmtId="0" fontId="4" fillId="0" borderId="13" xfId="0" applyFont="1" applyBorder="1"/>
    <xf numFmtId="0" fontId="2" fillId="3" borderId="13" xfId="2" applyBorder="1"/>
    <xf numFmtId="0" fontId="2" fillId="3" borderId="13" xfId="2" applyBorder="1" applyAlignment="1">
      <alignment horizontal="center"/>
    </xf>
    <xf numFmtId="0" fontId="3" fillId="4" borderId="13" xfId="3" applyBorder="1" applyAlignment="1">
      <alignment horizontal="center"/>
    </xf>
    <xf numFmtId="0" fontId="0" fillId="0" borderId="13" xfId="0" applyBorder="1" applyAlignment="1">
      <alignment horizontal="right"/>
    </xf>
    <xf numFmtId="9" fontId="0" fillId="7" borderId="13" xfId="0" applyNumberFormat="1" applyFill="1" applyBorder="1" applyAlignment="1">
      <alignment horizontal="center"/>
    </xf>
    <xf numFmtId="0" fontId="1" fillId="2" borderId="13" xfId="1" applyBorder="1"/>
    <xf numFmtId="0" fontId="6" fillId="7" borderId="13" xfId="2" applyFont="1" applyFill="1" applyBorder="1" applyAlignment="1">
      <alignment horizontal="center"/>
    </xf>
    <xf numFmtId="0" fontId="0" fillId="0" borderId="48" xfId="0" applyBorder="1"/>
    <xf numFmtId="9" fontId="0" fillId="7" borderId="13" xfId="4" applyFont="1" applyFill="1" applyBorder="1" applyAlignment="1">
      <alignment horizontal="center"/>
    </xf>
    <xf numFmtId="0" fontId="4" fillId="7" borderId="13" xfId="0" applyFont="1" applyFill="1" applyBorder="1" applyAlignment="1">
      <alignment horizontal="center"/>
    </xf>
    <xf numFmtId="0" fontId="4" fillId="7" borderId="13" xfId="0" applyFont="1" applyFill="1" applyBorder="1" applyAlignment="1">
      <alignment horizontal="right"/>
    </xf>
    <xf numFmtId="164" fontId="3" fillId="4" borderId="13" xfId="3" applyNumberFormat="1" applyBorder="1" applyAlignment="1">
      <alignment horizontal="center"/>
    </xf>
    <xf numFmtId="0" fontId="6" fillId="0" borderId="13" xfId="3" applyFont="1" applyFill="1" applyBorder="1" applyAlignment="1">
      <alignment horizontal="center"/>
    </xf>
    <xf numFmtId="0" fontId="0" fillId="0" borderId="13" xfId="0" applyFill="1" applyBorder="1" applyAlignment="1">
      <alignment horizontal="right"/>
    </xf>
    <xf numFmtId="0" fontId="0" fillId="0" borderId="34" xfId="0" applyBorder="1"/>
    <xf numFmtId="0" fontId="6" fillId="7" borderId="13" xfId="3" applyFont="1" applyFill="1" applyBorder="1" applyAlignment="1">
      <alignment horizontal="center"/>
    </xf>
    <xf numFmtId="0" fontId="6" fillId="7" borderId="13" xfId="0" applyFont="1" applyFill="1" applyBorder="1" applyAlignment="1">
      <alignment horizontal="left"/>
    </xf>
    <xf numFmtId="0" fontId="11" fillId="0" borderId="0" xfId="0" applyFont="1" applyFill="1"/>
    <xf numFmtId="0" fontId="0" fillId="7" borderId="13" xfId="0" applyFill="1" applyBorder="1" applyAlignment="1">
      <alignment horizontal="left"/>
    </xf>
    <xf numFmtId="0" fontId="4" fillId="7" borderId="13" xfId="0" applyFont="1" applyFill="1" applyBorder="1"/>
    <xf numFmtId="9" fontId="3" fillId="4" borderId="13" xfId="3" applyNumberFormat="1" applyBorder="1"/>
    <xf numFmtId="9" fontId="1" fillId="2" borderId="13" xfId="1" applyNumberFormat="1" applyBorder="1"/>
    <xf numFmtId="0" fontId="7" fillId="0" borderId="0" xfId="2" applyFont="1" applyFill="1"/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10" fillId="10" borderId="13" xfId="0" applyFont="1" applyFill="1" applyBorder="1" applyAlignment="1">
      <alignment horizontal="center" vertic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4" fillId="5" borderId="26" xfId="0" applyFont="1" applyFill="1" applyBorder="1" applyAlignment="1">
      <alignment horizontal="center"/>
    </xf>
    <xf numFmtId="0" fontId="4" fillId="5" borderId="27" xfId="0" applyFont="1" applyFill="1" applyBorder="1" applyAlignment="1">
      <alignment horizontal="center"/>
    </xf>
    <xf numFmtId="0" fontId="4" fillId="5" borderId="28" xfId="0" applyFont="1" applyFill="1" applyBorder="1" applyAlignment="1">
      <alignment horizontal="center"/>
    </xf>
    <xf numFmtId="0" fontId="0" fillId="6" borderId="26" xfId="0" applyFill="1" applyBorder="1" applyAlignment="1">
      <alignment horizontal="center"/>
    </xf>
    <xf numFmtId="0" fontId="0" fillId="6" borderId="27" xfId="0" applyFill="1" applyBorder="1" applyAlignment="1">
      <alignment horizontal="center"/>
    </xf>
    <xf numFmtId="0" fontId="0" fillId="6" borderId="28" xfId="0" applyFill="1" applyBorder="1" applyAlignment="1">
      <alignment horizontal="center"/>
    </xf>
    <xf numFmtId="4" fontId="3" fillId="4" borderId="32" xfId="3" applyNumberFormat="1" applyBorder="1" applyAlignment="1">
      <alignment horizontal="center" vertical="center"/>
    </xf>
    <xf numFmtId="4" fontId="3" fillId="4" borderId="30" xfId="3" applyNumberForma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4" fontId="3" fillId="4" borderId="31" xfId="3" applyNumberFormat="1" applyBorder="1" applyAlignment="1">
      <alignment horizontal="center" vertical="center"/>
    </xf>
    <xf numFmtId="4" fontId="3" fillId="4" borderId="33" xfId="3" applyNumberFormat="1" applyBorder="1" applyAlignment="1">
      <alignment horizontal="center" vertic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4" fillId="0" borderId="25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10" fontId="1" fillId="2" borderId="39" xfId="1" applyNumberFormat="1" applyBorder="1" applyAlignment="1">
      <alignment horizontal="center" vertical="center"/>
    </xf>
    <xf numFmtId="10" fontId="1" fillId="2" borderId="21" xfId="1" applyNumberFormat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9" fillId="9" borderId="45" xfId="0" applyFont="1" applyFill="1" applyBorder="1" applyAlignment="1">
      <alignment horizontal="center" vertical="center" textRotation="90"/>
    </xf>
    <xf numFmtId="0" fontId="9" fillId="9" borderId="44" xfId="0" applyFont="1" applyFill="1" applyBorder="1" applyAlignment="1">
      <alignment horizontal="center" vertical="center" textRotation="90"/>
    </xf>
    <xf numFmtId="0" fontId="0" fillId="0" borderId="31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33" xfId="0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0" fillId="0" borderId="29" xfId="0" applyFill="1" applyBorder="1" applyAlignment="1">
      <alignment horizontal="center"/>
    </xf>
    <xf numFmtId="0" fontId="4" fillId="0" borderId="23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0" fillId="8" borderId="32" xfId="0" applyFill="1" applyBorder="1" applyAlignment="1">
      <alignment horizontal="center"/>
    </xf>
    <xf numFmtId="0" fontId="0" fillId="8" borderId="29" xfId="0" applyFill="1" applyBorder="1" applyAlignment="1">
      <alignment horizontal="center"/>
    </xf>
    <xf numFmtId="0" fontId="0" fillId="8" borderId="30" xfId="0" applyFill="1" applyBorder="1" applyAlignment="1">
      <alignment horizontal="center"/>
    </xf>
    <xf numFmtId="10" fontId="3" fillId="8" borderId="32" xfId="3" applyNumberFormat="1" applyFill="1" applyBorder="1" applyAlignment="1">
      <alignment horizontal="center" vertical="center"/>
    </xf>
    <xf numFmtId="10" fontId="3" fillId="8" borderId="30" xfId="3" applyNumberFormat="1" applyFill="1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4" fillId="0" borderId="1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0" fontId="1" fillId="2" borderId="16" xfId="1" applyNumberFormat="1" applyBorder="1" applyAlignment="1">
      <alignment horizontal="center" vertical="center"/>
    </xf>
    <xf numFmtId="10" fontId="1" fillId="2" borderId="18" xfId="1" applyNumberFormat="1" applyBorder="1" applyAlignment="1">
      <alignment horizontal="center" vertical="center"/>
    </xf>
    <xf numFmtId="0" fontId="0" fillId="0" borderId="30" xfId="0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33" xfId="0" applyBorder="1" applyAlignment="1">
      <alignment horizontal="center"/>
    </xf>
    <xf numFmtId="166" fontId="3" fillId="4" borderId="25" xfId="3" applyNumberFormat="1" applyBorder="1" applyAlignment="1">
      <alignment horizontal="center"/>
    </xf>
    <xf numFmtId="166" fontId="3" fillId="4" borderId="39" xfId="3" applyNumberFormat="1" applyBorder="1" applyAlignment="1">
      <alignment horizontal="center"/>
    </xf>
    <xf numFmtId="166" fontId="3" fillId="4" borderId="20" xfId="3" applyNumberFormat="1" applyBorder="1" applyAlignment="1">
      <alignment horizontal="center"/>
    </xf>
    <xf numFmtId="166" fontId="3" fillId="4" borderId="21" xfId="3" applyNumberFormat="1" applyBorder="1" applyAlignment="1">
      <alignment horizontal="center"/>
    </xf>
    <xf numFmtId="4" fontId="3" fillId="4" borderId="35" xfId="3" applyNumberFormat="1" applyBorder="1" applyAlignment="1">
      <alignment horizontal="center"/>
    </xf>
    <xf numFmtId="4" fontId="3" fillId="4" borderId="36" xfId="3" applyNumberFormat="1" applyBorder="1" applyAlignment="1">
      <alignment horizontal="center"/>
    </xf>
    <xf numFmtId="4" fontId="3" fillId="4" borderId="37" xfId="3" applyNumberFormat="1" applyBorder="1" applyAlignment="1">
      <alignment horizontal="center"/>
    </xf>
    <xf numFmtId="0" fontId="0" fillId="0" borderId="32" xfId="0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4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7" borderId="13" xfId="0" applyFill="1" applyBorder="1" applyAlignment="1">
      <alignment horizontal="center" vertical="center"/>
    </xf>
    <xf numFmtId="0" fontId="4" fillId="7" borderId="13" xfId="0" applyFont="1" applyFill="1" applyBorder="1" applyAlignment="1">
      <alignment horizontal="center"/>
    </xf>
    <xf numFmtId="0" fontId="0" fillId="0" borderId="13" xfId="0" applyFont="1" applyBorder="1"/>
    <xf numFmtId="0" fontId="4" fillId="0" borderId="0" xfId="0" quotePrefix="1" applyFont="1" applyAlignment="1">
      <alignment horizontal="center"/>
    </xf>
    <xf numFmtId="0" fontId="0" fillId="0" borderId="13" xfId="0" applyFill="1" applyBorder="1"/>
    <xf numFmtId="0" fontId="6" fillId="7" borderId="13" xfId="1" applyFont="1" applyFill="1" applyBorder="1" applyAlignment="1">
      <alignment horizontal="center"/>
    </xf>
    <xf numFmtId="0" fontId="0" fillId="0" borderId="31" xfId="0" applyFill="1" applyBorder="1"/>
    <xf numFmtId="0" fontId="3" fillId="4" borderId="31" xfId="3" applyBorder="1"/>
    <xf numFmtId="166" fontId="3" fillId="4" borderId="13" xfId="3" applyNumberFormat="1" applyBorder="1" applyAlignment="1">
      <alignment horizontal="center"/>
    </xf>
    <xf numFmtId="0" fontId="0" fillId="0" borderId="13" xfId="0" applyFill="1" applyBorder="1" applyAlignment="1">
      <alignment wrapText="1"/>
    </xf>
    <xf numFmtId="0" fontId="4" fillId="0" borderId="13" xfId="0" quotePrefix="1" applyFont="1" applyBorder="1" applyAlignment="1">
      <alignment horizontal="center"/>
    </xf>
  </cellXfs>
  <cellStyles count="5">
    <cellStyle name="Gut" xfId="1" builtinId="26"/>
    <cellStyle name="Neutral" xfId="3" builtinId="28"/>
    <cellStyle name="Prozent" xfId="4" builtinId="5"/>
    <cellStyle name="Schlecht" xfId="2" builtinId="27"/>
    <cellStyle name="Standard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4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47624</xdr:colOff>
      <xdr:row>22</xdr:row>
      <xdr:rowOff>42824</xdr:rowOff>
    </xdr:from>
    <xdr:to>
      <xdr:col>8</xdr:col>
      <xdr:colOff>751447</xdr:colOff>
      <xdr:row>36</xdr:row>
      <xdr:rowOff>190130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C4A760A8-FD0B-49A2-87BF-8063D751D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4" y="4233824"/>
          <a:ext cx="7809473" cy="28143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19050</xdr:colOff>
      <xdr:row>6</xdr:row>
      <xdr:rowOff>19050</xdr:rowOff>
    </xdr:from>
    <xdr:to>
      <xdr:col>9</xdr:col>
      <xdr:colOff>275629</xdr:colOff>
      <xdr:row>7</xdr:row>
      <xdr:rowOff>153227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BC66B24E-4651-4F80-BDD4-DA93B19599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10025" y="1162050"/>
          <a:ext cx="4066579" cy="324677"/>
        </a:xfrm>
        <a:prstGeom prst="rect">
          <a:avLst/>
        </a:prstGeom>
      </xdr:spPr>
    </xdr:pic>
    <xdr:clientData/>
  </xdr:twoCellAnchor>
  <xdr:twoCellAnchor editAs="oneCell">
    <xdr:from>
      <xdr:col>0</xdr:col>
      <xdr:colOff>114299</xdr:colOff>
      <xdr:row>20</xdr:row>
      <xdr:rowOff>68360</xdr:rowOff>
    </xdr:from>
    <xdr:to>
      <xdr:col>8</xdr:col>
      <xdr:colOff>694301</xdr:colOff>
      <xdr:row>36</xdr:row>
      <xdr:rowOff>142456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5A378CB2-015E-4C24-AA61-4FFB9C8C1F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299" y="3878360"/>
          <a:ext cx="7618977" cy="31220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</xdr:colOff>
      <xdr:row>6</xdr:row>
      <xdr:rowOff>9525</xdr:rowOff>
    </xdr:from>
    <xdr:to>
      <xdr:col>9</xdr:col>
      <xdr:colOff>266104</xdr:colOff>
      <xdr:row>7</xdr:row>
      <xdr:rowOff>143702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A55579C-98C5-48CF-9B67-73541540D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1152525"/>
          <a:ext cx="4066579" cy="324677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9</xdr:row>
      <xdr:rowOff>38100</xdr:rowOff>
    </xdr:from>
    <xdr:to>
      <xdr:col>10</xdr:col>
      <xdr:colOff>722856</xdr:colOff>
      <xdr:row>20</xdr:row>
      <xdr:rowOff>161648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62C48192-AC3E-4D71-B3CA-AF3129DE8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0" y="1752600"/>
          <a:ext cx="8352381" cy="221904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38100</xdr:colOff>
      <xdr:row>5</xdr:row>
      <xdr:rowOff>19050</xdr:rowOff>
    </xdr:from>
    <xdr:to>
      <xdr:col>5</xdr:col>
      <xdr:colOff>609004</xdr:colOff>
      <xdr:row>6</xdr:row>
      <xdr:rowOff>153227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AE83CDED-A6E9-4F40-A797-FEBF332168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05200" y="971550"/>
          <a:ext cx="4066579" cy="324677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15</xdr:row>
      <xdr:rowOff>114300</xdr:rowOff>
    </xdr:from>
    <xdr:to>
      <xdr:col>6</xdr:col>
      <xdr:colOff>503805</xdr:colOff>
      <xdr:row>22</xdr:row>
      <xdr:rowOff>28419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A34F859B-555A-4D02-B7AC-61B86EEC6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" y="2971800"/>
          <a:ext cx="8161905" cy="124761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19050</xdr:colOff>
      <xdr:row>7</xdr:row>
      <xdr:rowOff>66677</xdr:rowOff>
    </xdr:from>
    <xdr:to>
      <xdr:col>7</xdr:col>
      <xdr:colOff>38100</xdr:colOff>
      <xdr:row>10</xdr:row>
      <xdr:rowOff>161697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97BC587F-6F72-43D6-9A99-FF8412622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52825" y="1400177"/>
          <a:ext cx="2305050" cy="666520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5</xdr:row>
      <xdr:rowOff>19050</xdr:rowOff>
    </xdr:from>
    <xdr:to>
      <xdr:col>9</xdr:col>
      <xdr:colOff>275629</xdr:colOff>
      <xdr:row>6</xdr:row>
      <xdr:rowOff>153227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E3F5ADFC-DF68-49FF-B593-8F3CEE38D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52825" y="971550"/>
          <a:ext cx="4066579" cy="324677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23</xdr:row>
      <xdr:rowOff>66521</xdr:rowOff>
    </xdr:from>
    <xdr:to>
      <xdr:col>9</xdr:col>
      <xdr:colOff>484746</xdr:colOff>
      <xdr:row>44</xdr:row>
      <xdr:rowOff>94715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55705921-796B-4338-86C6-E9B1D78311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200" y="4448021"/>
          <a:ext cx="7752321" cy="402869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333375</xdr:colOff>
      <xdr:row>9</xdr:row>
      <xdr:rowOff>83736</xdr:rowOff>
    </xdr:from>
    <xdr:to>
      <xdr:col>12</xdr:col>
      <xdr:colOff>294682</xdr:colOff>
      <xdr:row>17</xdr:row>
      <xdr:rowOff>28880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9E327402-929D-4780-889D-70EA93AC7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05525" y="1798236"/>
          <a:ext cx="3771307" cy="1469144"/>
        </a:xfrm>
        <a:prstGeom prst="rect">
          <a:avLst/>
        </a:prstGeom>
      </xdr:spPr>
    </xdr:pic>
    <xdr:clientData/>
  </xdr:twoCellAnchor>
  <xdr:twoCellAnchor editAs="oneCell">
    <xdr:from>
      <xdr:col>0</xdr:col>
      <xdr:colOff>21807</xdr:colOff>
      <xdr:row>18</xdr:row>
      <xdr:rowOff>47624</xdr:rowOff>
    </xdr:from>
    <xdr:to>
      <xdr:col>9</xdr:col>
      <xdr:colOff>675237</xdr:colOff>
      <xdr:row>32</xdr:row>
      <xdr:rowOff>152037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495CD483-C1FF-4D32-A930-B0E50AD94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807" y="3476624"/>
          <a:ext cx="7949580" cy="277141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142874</xdr:colOff>
      <xdr:row>2</xdr:row>
      <xdr:rowOff>61729</xdr:rowOff>
    </xdr:from>
    <xdr:to>
      <xdr:col>11</xdr:col>
      <xdr:colOff>261085</xdr:colOff>
      <xdr:row>14</xdr:row>
      <xdr:rowOff>19050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5AB85037-B4A8-4364-88C5-1654E6FDD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5176319" y="-780716"/>
          <a:ext cx="2243321" cy="4690211"/>
        </a:xfrm>
        <a:prstGeom prst="rect">
          <a:avLst/>
        </a:prstGeom>
      </xdr:spPr>
    </xdr:pic>
    <xdr:clientData/>
  </xdr:twoCellAnchor>
  <xdr:twoCellAnchor editAs="oneCell">
    <xdr:from>
      <xdr:col>0</xdr:col>
      <xdr:colOff>66674</xdr:colOff>
      <xdr:row>15</xdr:row>
      <xdr:rowOff>95402</xdr:rowOff>
    </xdr:from>
    <xdr:to>
      <xdr:col>10</xdr:col>
      <xdr:colOff>8485</xdr:colOff>
      <xdr:row>33</xdr:row>
      <xdr:rowOff>113825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A0AB99B1-504F-476D-A922-2013F3DE7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4" y="2952902"/>
          <a:ext cx="7561811" cy="344742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57149</xdr:colOff>
      <xdr:row>2</xdr:row>
      <xdr:rowOff>9526</xdr:rowOff>
    </xdr:from>
    <xdr:to>
      <xdr:col>9</xdr:col>
      <xdr:colOff>570822</xdr:colOff>
      <xdr:row>16</xdr:row>
      <xdr:rowOff>14962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757F7991-7087-404E-9F32-A41606D9E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57624" y="390526"/>
          <a:ext cx="5085673" cy="2672436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18</xdr:row>
      <xdr:rowOff>161925</xdr:rowOff>
    </xdr:from>
    <xdr:to>
      <xdr:col>8</xdr:col>
      <xdr:colOff>637145</xdr:colOff>
      <xdr:row>27</xdr:row>
      <xdr:rowOff>18854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31FCAB2B-CFA1-47C7-8997-69A916B82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3590925"/>
          <a:ext cx="8238095" cy="157142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47624</xdr:colOff>
      <xdr:row>15</xdr:row>
      <xdr:rowOff>40528</xdr:rowOff>
    </xdr:from>
    <xdr:to>
      <xdr:col>8</xdr:col>
      <xdr:colOff>132322</xdr:colOff>
      <xdr:row>22</xdr:row>
      <xdr:rowOff>37921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43F7D409-EE7C-4776-84E3-12A6AE7D0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4" y="2898028"/>
          <a:ext cx="7657073" cy="1330893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1</xdr:row>
      <xdr:rowOff>57150</xdr:rowOff>
    </xdr:from>
    <xdr:to>
      <xdr:col>9</xdr:col>
      <xdr:colOff>199348</xdr:colOff>
      <xdr:row>14</xdr:row>
      <xdr:rowOff>57882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22740543-7096-4977-80EA-EA93009DA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9525" y="247650"/>
          <a:ext cx="4714198" cy="247723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5</xdr:row>
      <xdr:rowOff>109576</xdr:rowOff>
    </xdr:from>
    <xdr:to>
      <xdr:col>8</xdr:col>
      <xdr:colOff>608573</xdr:colOff>
      <xdr:row>8</xdr:row>
      <xdr:rowOff>190414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DB976AF4-99B1-493A-90BC-49868FBDD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1062076"/>
          <a:ext cx="7818998" cy="652338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7</xdr:row>
      <xdr:rowOff>48471</xdr:rowOff>
    </xdr:from>
    <xdr:to>
      <xdr:col>5</xdr:col>
      <xdr:colOff>637156</xdr:colOff>
      <xdr:row>16</xdr:row>
      <xdr:rowOff>114063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950EEC31-2D2C-46FE-863B-9C7E11FFBD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1381971"/>
          <a:ext cx="7657081" cy="178009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6</xdr:row>
      <xdr:rowOff>121987</xdr:rowOff>
    </xdr:from>
    <xdr:to>
      <xdr:col>3</xdr:col>
      <xdr:colOff>656207</xdr:colOff>
      <xdr:row>12</xdr:row>
      <xdr:rowOff>114146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663794AF-9904-4C4B-ADEA-026387F97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1264987"/>
          <a:ext cx="7523732" cy="1135159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10</xdr:row>
      <xdr:rowOff>24035</xdr:rowOff>
    </xdr:from>
    <xdr:to>
      <xdr:col>7</xdr:col>
      <xdr:colOff>85725</xdr:colOff>
      <xdr:row>23</xdr:row>
      <xdr:rowOff>69612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A6AC436-576D-4220-8690-F037EA83E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1929035"/>
          <a:ext cx="7496175" cy="252207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14</xdr:row>
      <xdr:rowOff>72979</xdr:rowOff>
    </xdr:from>
    <xdr:to>
      <xdr:col>6</xdr:col>
      <xdr:colOff>65105</xdr:colOff>
      <xdr:row>24</xdr:row>
      <xdr:rowOff>38100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20A66FFD-3174-4241-BCAA-3CD5F8D604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2739979"/>
          <a:ext cx="7542230" cy="1870121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28574</xdr:colOff>
      <xdr:row>14</xdr:row>
      <xdr:rowOff>79699</xdr:rowOff>
    </xdr:from>
    <xdr:to>
      <xdr:col>6</xdr:col>
      <xdr:colOff>465687</xdr:colOff>
      <xdr:row>18</xdr:row>
      <xdr:rowOff>133239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D06B3DBE-CD81-4007-A9BB-429B956FB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4" y="2746699"/>
          <a:ext cx="7638013" cy="81554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18</xdr:row>
      <xdr:rowOff>134778</xdr:rowOff>
    </xdr:from>
    <xdr:to>
      <xdr:col>6</xdr:col>
      <xdr:colOff>504825</xdr:colOff>
      <xdr:row>23</xdr:row>
      <xdr:rowOff>155103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85D598A6-38C4-4AE3-9502-16D185436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0" y="3563778"/>
          <a:ext cx="7667625" cy="972825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1</xdr:row>
      <xdr:rowOff>19050</xdr:rowOff>
    </xdr:from>
    <xdr:to>
      <xdr:col>6</xdr:col>
      <xdr:colOff>485406</xdr:colOff>
      <xdr:row>13</xdr:row>
      <xdr:rowOff>149613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B4B7899F-3032-4449-8050-92CE227CE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72050" y="209550"/>
          <a:ext cx="2714256" cy="24165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347-6C5A-45D2-A3F7-AC61734E8128}">
  <sheetPr>
    <tabColor theme="7" tint="-0.249977111117893"/>
  </sheetPr>
  <dimension ref="A1:J58"/>
  <sheetViews>
    <sheetView topLeftCell="A21" workbookViewId="0">
      <selection activeCell="E50" sqref="E50"/>
    </sheetView>
  </sheetViews>
  <sheetFormatPr baseColWidth="10" defaultRowHeight="15" x14ac:dyDescent="0.25"/>
  <cols>
    <col min="1" max="7" width="17.7109375" customWidth="1"/>
    <col min="8" max="8" width="19.28515625" bestFit="1" customWidth="1"/>
    <col min="9" max="11" width="17.7109375" customWidth="1"/>
  </cols>
  <sheetData>
    <row r="1" spans="1:10" ht="30.75" customHeight="1" x14ac:dyDescent="0.25">
      <c r="A1" s="241" t="s">
        <v>137</v>
      </c>
      <c r="B1" s="241"/>
      <c r="C1" s="241"/>
      <c r="D1" s="241"/>
      <c r="E1" s="241"/>
      <c r="F1" s="241"/>
      <c r="G1" s="241"/>
      <c r="H1" s="241"/>
      <c r="I1" s="241"/>
      <c r="J1" s="241"/>
    </row>
    <row r="3" spans="1:10" ht="15.75" thickBot="1" x14ac:dyDescent="0.3"/>
    <row r="4" spans="1:10" x14ac:dyDescent="0.25">
      <c r="A4" s="242" t="s">
        <v>10</v>
      </c>
      <c r="B4" s="243"/>
      <c r="C4" s="243"/>
      <c r="D4" s="244"/>
    </row>
    <row r="5" spans="1:10" x14ac:dyDescent="0.25">
      <c r="A5" s="40" t="s">
        <v>11</v>
      </c>
      <c r="B5" s="30" t="s">
        <v>12</v>
      </c>
      <c r="C5" s="33" t="s">
        <v>17</v>
      </c>
      <c r="D5" s="42" t="s">
        <v>22</v>
      </c>
    </row>
    <row r="6" spans="1:10" x14ac:dyDescent="0.25">
      <c r="A6" s="34">
        <v>0.06</v>
      </c>
      <c r="B6" s="31" t="s">
        <v>13</v>
      </c>
      <c r="C6" s="32">
        <v>4</v>
      </c>
      <c r="D6" s="181">
        <f>(((1+(A6/C6))^C6)-1)*100</f>
        <v>6.136355062499943</v>
      </c>
      <c r="F6">
        <f>((3/50*4+1)^4)*100</f>
        <v>236.42137600000001</v>
      </c>
    </row>
    <row r="7" spans="1:10" x14ac:dyDescent="0.25">
      <c r="A7" s="35">
        <v>0.18</v>
      </c>
      <c r="B7" s="31" t="s">
        <v>14</v>
      </c>
      <c r="C7" s="33">
        <v>12</v>
      </c>
      <c r="D7" s="50">
        <f t="shared" ref="D7:D8" si="0">(((1+(A7/C7))^C7)-1)*100</f>
        <v>19.561817146153327</v>
      </c>
      <c r="F7">
        <f>((3/50*4)^4-1)*100</f>
        <v>-99.668224000000009</v>
      </c>
    </row>
    <row r="8" spans="1:10" x14ac:dyDescent="0.25">
      <c r="A8" s="35">
        <v>0.12</v>
      </c>
      <c r="B8" s="31" t="s">
        <v>15</v>
      </c>
      <c r="C8" s="33">
        <v>365</v>
      </c>
      <c r="D8" s="50">
        <f t="shared" si="0"/>
        <v>12.747461563839412</v>
      </c>
      <c r="F8">
        <f>((3/50*4+1)^4-1)*100</f>
        <v>136.42137600000001</v>
      </c>
    </row>
    <row r="9" spans="1:10" ht="15.75" thickBot="1" x14ac:dyDescent="0.3">
      <c r="A9" s="36">
        <v>0.14000000000000001</v>
      </c>
      <c r="B9" s="37" t="s">
        <v>16</v>
      </c>
      <c r="C9" s="38" t="s">
        <v>18</v>
      </c>
      <c r="D9" s="51">
        <f>(EXP(A9)-1)*100</f>
        <v>15.027379885722736</v>
      </c>
      <c r="F9">
        <f>((53/50)^4-1)*100</f>
        <v>26.247696000000033</v>
      </c>
    </row>
    <row r="11" spans="1:10" x14ac:dyDescent="0.25">
      <c r="F11">
        <f>(EXP(0.06)-1)*100</f>
        <v>6.1836546545359639</v>
      </c>
    </row>
    <row r="12" spans="1:10" ht="15.75" thickBot="1" x14ac:dyDescent="0.3"/>
    <row r="13" spans="1:10" x14ac:dyDescent="0.25">
      <c r="A13" s="245" t="s">
        <v>60</v>
      </c>
      <c r="B13" s="246"/>
      <c r="C13" s="246"/>
      <c r="D13" s="247"/>
    </row>
    <row r="14" spans="1:10" x14ac:dyDescent="0.25">
      <c r="A14" s="35" t="s">
        <v>1</v>
      </c>
      <c r="B14" s="31" t="s">
        <v>56</v>
      </c>
      <c r="C14" s="31" t="s">
        <v>55</v>
      </c>
      <c r="D14" s="48" t="s">
        <v>61</v>
      </c>
    </row>
    <row r="15" spans="1:10" x14ac:dyDescent="0.25">
      <c r="A15" s="35">
        <v>0</v>
      </c>
      <c r="B15" s="47">
        <v>-110</v>
      </c>
      <c r="C15" s="47">
        <v>-140</v>
      </c>
      <c r="D15" s="92">
        <v>0.12</v>
      </c>
    </row>
    <row r="16" spans="1:10" x14ac:dyDescent="0.25">
      <c r="A16" s="35">
        <v>1</v>
      </c>
      <c r="B16" s="47">
        <v>135</v>
      </c>
      <c r="C16" s="47">
        <v>140</v>
      </c>
      <c r="D16" s="182"/>
    </row>
    <row r="17" spans="1:5" x14ac:dyDescent="0.25">
      <c r="A17" s="35">
        <v>2</v>
      </c>
      <c r="B17" s="47">
        <v>70</v>
      </c>
      <c r="C17" s="47">
        <v>60</v>
      </c>
      <c r="D17" s="183"/>
    </row>
    <row r="18" spans="1:5" ht="15.75" thickBot="1" x14ac:dyDescent="0.3">
      <c r="A18" s="95" t="s">
        <v>52</v>
      </c>
      <c r="B18" s="191">
        <f>IRR(B15:B17)*100</f>
        <v>62.007226479465658</v>
      </c>
      <c r="C18" s="191">
        <f>IRR(C15:C17)*100</f>
        <v>32.375447104791412</v>
      </c>
      <c r="D18" s="184"/>
    </row>
    <row r="19" spans="1:5" x14ac:dyDescent="0.25">
      <c r="A19" s="84" t="s">
        <v>58</v>
      </c>
      <c r="B19" s="187">
        <f>(NPV(D15,B16:B17))/(B15*-1)</f>
        <v>1.6030844155844155</v>
      </c>
      <c r="C19" s="188">
        <f>(NPV(D15,C16:C17))/(C15*-1)</f>
        <v>1.23451166180758</v>
      </c>
      <c r="D19" s="185"/>
    </row>
    <row r="20" spans="1:5" ht="15.75" thickBot="1" x14ac:dyDescent="0.3">
      <c r="A20" s="80" t="s">
        <v>59</v>
      </c>
      <c r="B20" s="189">
        <f>NPV(D15,B16:B17)+B15</f>
        <v>66.339285714285694</v>
      </c>
      <c r="C20" s="190">
        <f>NPV(D15,C16:C17)+C15</f>
        <v>32.831632653061206</v>
      </c>
      <c r="D20" s="186"/>
    </row>
    <row r="22" spans="1:5" ht="15.75" thickBot="1" x14ac:dyDescent="0.3"/>
    <row r="23" spans="1:5" x14ac:dyDescent="0.25">
      <c r="A23" s="245" t="s">
        <v>97</v>
      </c>
      <c r="B23" s="246"/>
      <c r="C23" s="246"/>
      <c r="D23" s="247"/>
    </row>
    <row r="24" spans="1:5" x14ac:dyDescent="0.25">
      <c r="A24" s="35" t="s">
        <v>1</v>
      </c>
      <c r="B24" s="31" t="s">
        <v>95</v>
      </c>
      <c r="C24" s="31" t="s">
        <v>96</v>
      </c>
      <c r="D24" s="116" t="s">
        <v>93</v>
      </c>
    </row>
    <row r="25" spans="1:5" x14ac:dyDescent="0.25">
      <c r="A25" s="35">
        <v>0</v>
      </c>
      <c r="B25" s="47">
        <v>-110</v>
      </c>
      <c r="C25" s="47">
        <v>-140</v>
      </c>
      <c r="D25" s="97">
        <v>0.12</v>
      </c>
    </row>
    <row r="26" spans="1:5" x14ac:dyDescent="0.25">
      <c r="A26" s="35">
        <v>1</v>
      </c>
      <c r="B26" s="47">
        <v>135</v>
      </c>
      <c r="C26" s="47">
        <v>140</v>
      </c>
      <c r="D26" s="116" t="s">
        <v>101</v>
      </c>
      <c r="E26">
        <f>B26/(1+B29)</f>
        <v>126.5625</v>
      </c>
    </row>
    <row r="27" spans="1:5" x14ac:dyDescent="0.25">
      <c r="A27" s="35">
        <v>2</v>
      </c>
      <c r="B27" s="47">
        <v>70</v>
      </c>
      <c r="C27" s="47">
        <v>60</v>
      </c>
      <c r="D27" s="97">
        <v>0.05</v>
      </c>
      <c r="E27">
        <f>B27/(1+B29)</f>
        <v>65.625</v>
      </c>
    </row>
    <row r="28" spans="1:5" ht="15.75" thickBot="1" x14ac:dyDescent="0.3">
      <c r="A28" s="176" t="s">
        <v>100</v>
      </c>
      <c r="B28" s="177" t="s">
        <v>99</v>
      </c>
      <c r="C28" s="177" t="s">
        <v>98</v>
      </c>
      <c r="D28" s="192"/>
    </row>
    <row r="29" spans="1:5" x14ac:dyDescent="0.25">
      <c r="A29" s="173" t="s">
        <v>103</v>
      </c>
      <c r="B29" s="195">
        <f>((1+D25)/(1+D27))-1</f>
        <v>6.6666666666666652E-2</v>
      </c>
      <c r="C29" s="175" t="s">
        <v>102</v>
      </c>
      <c r="D29" s="193"/>
    </row>
    <row r="30" spans="1:5" ht="15.75" thickBot="1" x14ac:dyDescent="0.3">
      <c r="A30" s="81" t="s">
        <v>59</v>
      </c>
      <c r="B30" s="89">
        <f>NPV(B29,B26:B27)+B25</f>
        <v>78.0859375</v>
      </c>
      <c r="C30" s="66">
        <f>NPV(D25,C26:C27)+C25</f>
        <v>32.831632653061206</v>
      </c>
      <c r="D30" s="194"/>
    </row>
    <row r="34" spans="1:3" ht="15.75" thickBot="1" x14ac:dyDescent="0.3"/>
    <row r="35" spans="1:3" x14ac:dyDescent="0.25">
      <c r="A35" s="238" t="s">
        <v>91</v>
      </c>
      <c r="B35" s="239"/>
      <c r="C35" s="240"/>
    </row>
    <row r="36" spans="1:3" x14ac:dyDescent="0.25">
      <c r="A36" s="30"/>
      <c r="B36" s="31" t="s">
        <v>81</v>
      </c>
      <c r="C36" s="48" t="s">
        <v>82</v>
      </c>
    </row>
    <row r="37" spans="1:3" x14ac:dyDescent="0.25">
      <c r="A37" s="150" t="s">
        <v>83</v>
      </c>
      <c r="B37" s="47">
        <v>287000</v>
      </c>
      <c r="C37" s="153">
        <v>215000</v>
      </c>
    </row>
    <row r="38" spans="1:3" x14ac:dyDescent="0.25">
      <c r="A38" s="150" t="s">
        <v>85</v>
      </c>
      <c r="B38" s="47">
        <v>7500</v>
      </c>
      <c r="C38" s="153">
        <v>13500</v>
      </c>
    </row>
    <row r="39" spans="1:3" x14ac:dyDescent="0.25">
      <c r="A39" s="150" t="s">
        <v>84</v>
      </c>
      <c r="B39" s="31">
        <v>2</v>
      </c>
      <c r="C39" s="48">
        <v>3</v>
      </c>
    </row>
    <row r="40" spans="1:3" x14ac:dyDescent="0.25">
      <c r="A40" s="150" t="s">
        <v>86</v>
      </c>
      <c r="B40" s="47">
        <v>0</v>
      </c>
      <c r="C40" s="153">
        <v>0</v>
      </c>
    </row>
    <row r="41" spans="1:3" x14ac:dyDescent="0.25">
      <c r="A41" s="150" t="s">
        <v>76</v>
      </c>
      <c r="B41" s="31">
        <v>0</v>
      </c>
      <c r="C41" s="48">
        <v>0</v>
      </c>
    </row>
    <row r="42" spans="1:3" ht="15.75" thickBot="1" x14ac:dyDescent="0.3">
      <c r="A42" s="154" t="s">
        <v>88</v>
      </c>
      <c r="B42" s="37">
        <v>0.11</v>
      </c>
      <c r="C42" s="49">
        <v>0.11</v>
      </c>
    </row>
    <row r="43" spans="1:3" x14ac:dyDescent="0.25">
      <c r="A43" s="84" t="s">
        <v>89</v>
      </c>
      <c r="B43" s="128">
        <f>B40*(1-B41)</f>
        <v>0</v>
      </c>
      <c r="C43" s="155">
        <f>C40*(1-C41)</f>
        <v>0</v>
      </c>
    </row>
    <row r="44" spans="1:3" x14ac:dyDescent="0.25">
      <c r="A44" s="83" t="s">
        <v>87</v>
      </c>
      <c r="B44" s="130">
        <f>-B38*(1-B41)+B41*(B37/B39)</f>
        <v>-7500</v>
      </c>
      <c r="C44" s="156">
        <f>-C38*(1-C41)+C41*(C37/C39)</f>
        <v>-13500</v>
      </c>
    </row>
    <row r="45" spans="1:3" x14ac:dyDescent="0.25">
      <c r="A45" s="83" t="s">
        <v>59</v>
      </c>
      <c r="B45" s="109">
        <f>-B37+B44*((1-(1+B42)^-B39)/B42)+(B43/(1+B42)^3)</f>
        <v>-299843.92500608717</v>
      </c>
      <c r="C45" s="157">
        <f>-C37+C44*((1-(1+C42)^-C39)/C42)+(C43/(1+C42)^3)</f>
        <v>-247990.14865851976</v>
      </c>
    </row>
    <row r="46" spans="1:3" ht="15.75" thickBot="1" x14ac:dyDescent="0.3">
      <c r="A46" s="158" t="s">
        <v>90</v>
      </c>
      <c r="B46" s="89">
        <f>B45/((1-(1+B42)^-B39)/B42)</f>
        <v>-175088.9573459714</v>
      </c>
      <c r="C46" s="159">
        <f>C45/((1-(1+C42)^-C39)/C42)</f>
        <v>-101480.80996977944</v>
      </c>
    </row>
    <row r="51" spans="1:9" ht="15.75" thickBot="1" x14ac:dyDescent="0.3"/>
    <row r="52" spans="1:9" x14ac:dyDescent="0.25">
      <c r="A52" s="196" t="s">
        <v>109</v>
      </c>
      <c r="B52" s="197" t="s">
        <v>110</v>
      </c>
      <c r="C52" s="197" t="s">
        <v>111</v>
      </c>
      <c r="D52" s="197" t="s">
        <v>118</v>
      </c>
      <c r="E52" s="197" t="s">
        <v>112</v>
      </c>
      <c r="F52" s="197" t="s">
        <v>128</v>
      </c>
      <c r="G52" s="197" t="s">
        <v>113</v>
      </c>
      <c r="H52" s="198" t="s">
        <v>114</v>
      </c>
    </row>
    <row r="53" spans="1:9" x14ac:dyDescent="0.25">
      <c r="A53" s="35">
        <v>1100</v>
      </c>
      <c r="B53" s="31">
        <v>1.5</v>
      </c>
      <c r="C53" s="31">
        <v>2.2000000000000002</v>
      </c>
      <c r="D53" s="31">
        <v>1.1000000000000001</v>
      </c>
      <c r="E53" s="31">
        <v>0.15</v>
      </c>
      <c r="F53" s="31">
        <v>0.09</v>
      </c>
      <c r="G53" s="31">
        <v>0.5</v>
      </c>
      <c r="H53" s="48">
        <v>0.45</v>
      </c>
    </row>
    <row r="54" spans="1:9" x14ac:dyDescent="0.25">
      <c r="A54" s="35" t="s">
        <v>1</v>
      </c>
      <c r="B54" s="31" t="s">
        <v>50</v>
      </c>
      <c r="C54" s="31" t="s">
        <v>115</v>
      </c>
      <c r="D54" s="117"/>
      <c r="E54" s="10"/>
      <c r="F54" s="10"/>
      <c r="G54" s="10"/>
      <c r="H54" s="11"/>
    </row>
    <row r="55" spans="1:9" x14ac:dyDescent="0.25">
      <c r="A55" s="35">
        <v>0</v>
      </c>
      <c r="B55" s="32">
        <f>A53*B53</f>
        <v>1650</v>
      </c>
      <c r="C55" s="32">
        <f>-B55*G53</f>
        <v>-825</v>
      </c>
      <c r="D55" s="32">
        <f>B55+C55</f>
        <v>825</v>
      </c>
      <c r="E55" s="10"/>
      <c r="F55" s="10"/>
      <c r="G55" s="10"/>
      <c r="H55" s="11"/>
      <c r="I55">
        <f>1.5*1000</f>
        <v>1500</v>
      </c>
    </row>
    <row r="56" spans="1:9" x14ac:dyDescent="0.25">
      <c r="A56" s="35">
        <v>1</v>
      </c>
      <c r="B56" s="32">
        <f>-E53*A53</f>
        <v>-165</v>
      </c>
      <c r="C56" s="32">
        <f>B56*H53</f>
        <v>-74.25</v>
      </c>
      <c r="D56" s="32">
        <f t="shared" ref="D56:D57" si="1">B56+C56</f>
        <v>-239.25</v>
      </c>
      <c r="E56" s="10"/>
      <c r="F56" s="10"/>
      <c r="G56" s="10"/>
      <c r="H56" s="11"/>
      <c r="I56">
        <f>-1.5*1100+825</f>
        <v>-825</v>
      </c>
    </row>
    <row r="57" spans="1:9" x14ac:dyDescent="0.25">
      <c r="A57" s="35">
        <v>2</v>
      </c>
      <c r="B57" s="32">
        <f>-(D53*A53)-(F53*A53)</f>
        <v>-1309</v>
      </c>
      <c r="C57" s="32">
        <f>-C55-C56</f>
        <v>899.25</v>
      </c>
      <c r="D57" s="32">
        <f t="shared" si="1"/>
        <v>-409.75</v>
      </c>
      <c r="E57" s="28"/>
      <c r="F57" s="10"/>
      <c r="G57" s="10"/>
      <c r="H57" s="11"/>
      <c r="I57">
        <f>1.5*1100-825</f>
        <v>825</v>
      </c>
    </row>
    <row r="58" spans="1:9" ht="15.75" thickBot="1" x14ac:dyDescent="0.3">
      <c r="A58" s="163"/>
      <c r="B58" s="29"/>
      <c r="C58" s="29"/>
      <c r="D58" s="164">
        <f>IRR(D55:D57)</f>
        <v>-0.13549206629336508</v>
      </c>
      <c r="E58" s="165" t="s">
        <v>116</v>
      </c>
      <c r="F58" s="108"/>
      <c r="G58" s="108"/>
      <c r="H58" s="21"/>
      <c r="I58">
        <f>1.5*1100-825</f>
        <v>825</v>
      </c>
    </row>
  </sheetData>
  <mergeCells count="5">
    <mergeCell ref="A35:C35"/>
    <mergeCell ref="A1:J1"/>
    <mergeCell ref="A4:D4"/>
    <mergeCell ref="A13:D13"/>
    <mergeCell ref="A23:D23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CA969-2ADA-427E-8DF6-027D18D3871F}">
  <sheetPr>
    <tabColor theme="7"/>
  </sheetPr>
  <dimension ref="A1:K26"/>
  <sheetViews>
    <sheetView zoomScale="85" zoomScaleNormal="85" workbookViewId="0">
      <selection activeCell="E50" sqref="E50"/>
    </sheetView>
  </sheetViews>
  <sheetFormatPr baseColWidth="10" defaultRowHeight="15" x14ac:dyDescent="0.25"/>
  <cols>
    <col min="1" max="1" width="18.85546875" bestFit="1" customWidth="1"/>
    <col min="2" max="2" width="22.28515625" customWidth="1"/>
    <col min="3" max="3" width="23.28515625" customWidth="1"/>
    <col min="4" max="5" width="23.140625" bestFit="1" customWidth="1"/>
    <col min="6" max="6" width="20.42578125" customWidth="1"/>
    <col min="7" max="7" width="15.28515625" bestFit="1" customWidth="1"/>
    <col min="8" max="8" width="23.85546875" bestFit="1" customWidth="1"/>
    <col min="9" max="9" width="15.28515625" customWidth="1"/>
    <col min="10" max="10" width="18" bestFit="1" customWidth="1"/>
    <col min="11" max="11" width="28.28515625" bestFit="1" customWidth="1"/>
  </cols>
  <sheetData>
    <row r="1" spans="1:9" x14ac:dyDescent="0.25">
      <c r="A1" s="242" t="s">
        <v>10</v>
      </c>
      <c r="B1" s="243"/>
      <c r="C1" s="243"/>
      <c r="D1" s="244"/>
      <c r="E1" s="26"/>
      <c r="F1" s="242" t="s">
        <v>10</v>
      </c>
      <c r="G1" s="243"/>
      <c r="H1" s="243"/>
      <c r="I1" s="244"/>
    </row>
    <row r="2" spans="1:9" x14ac:dyDescent="0.25">
      <c r="A2" s="40" t="s">
        <v>11</v>
      </c>
      <c r="B2" s="30" t="s">
        <v>12</v>
      </c>
      <c r="C2" s="33" t="s">
        <v>17</v>
      </c>
      <c r="D2" s="42" t="s">
        <v>22</v>
      </c>
      <c r="F2" s="40" t="s">
        <v>126</v>
      </c>
      <c r="G2" s="33" t="s">
        <v>127</v>
      </c>
      <c r="H2" s="33" t="s">
        <v>105</v>
      </c>
      <c r="I2" s="42" t="s">
        <v>22</v>
      </c>
    </row>
    <row r="3" spans="1:9" ht="15.75" thickBot="1" x14ac:dyDescent="0.3">
      <c r="A3" s="34">
        <v>0.08</v>
      </c>
      <c r="B3" s="31" t="s">
        <v>13</v>
      </c>
      <c r="C3" s="32">
        <v>4</v>
      </c>
      <c r="D3" s="50">
        <f>(((1+(A3/C3))^C3)-1)*100</f>
        <v>8.2432159999999968</v>
      </c>
      <c r="F3" s="64">
        <v>100</v>
      </c>
      <c r="G3" s="38">
        <v>135</v>
      </c>
      <c r="H3" s="38">
        <v>2.2999999999999998</v>
      </c>
      <c r="I3" s="166">
        <f>((G3/F3)^(1/H3)-1)*F3</f>
        <v>13.937544565102389</v>
      </c>
    </row>
    <row r="4" spans="1:9" x14ac:dyDescent="0.25">
      <c r="A4" s="35">
        <v>0.18</v>
      </c>
      <c r="B4" s="31" t="s">
        <v>14</v>
      </c>
      <c r="C4" s="33">
        <v>12</v>
      </c>
      <c r="D4" s="50">
        <f t="shared" ref="D4:D5" si="0">(((1+(A4/C4))^C4)-1)*100</f>
        <v>19.561817146153327</v>
      </c>
    </row>
    <row r="5" spans="1:9" x14ac:dyDescent="0.25">
      <c r="A5" s="35">
        <v>0.12</v>
      </c>
      <c r="B5" s="31" t="s">
        <v>15</v>
      </c>
      <c r="C5" s="33">
        <v>365</v>
      </c>
      <c r="D5" s="50">
        <f t="shared" si="0"/>
        <v>12.747461563839412</v>
      </c>
    </row>
    <row r="6" spans="1:9" ht="15.75" thickBot="1" x14ac:dyDescent="0.3">
      <c r="A6" s="36">
        <v>0.14000000000000001</v>
      </c>
      <c r="B6" s="37" t="s">
        <v>16</v>
      </c>
      <c r="C6" s="38" t="s">
        <v>18</v>
      </c>
      <c r="D6" s="51">
        <f>(EXP(A6)-1)*100</f>
        <v>15.027379885722736</v>
      </c>
    </row>
    <row r="7" spans="1:9" ht="15.75" thickBot="1" x14ac:dyDescent="0.3"/>
    <row r="8" spans="1:9" x14ac:dyDescent="0.25">
      <c r="A8" s="242" t="s">
        <v>20</v>
      </c>
      <c r="B8" s="243"/>
      <c r="C8" s="243"/>
      <c r="D8" s="244"/>
    </row>
    <row r="9" spans="1:9" x14ac:dyDescent="0.25">
      <c r="A9" s="41" t="s">
        <v>21</v>
      </c>
      <c r="B9" s="33" t="s">
        <v>17</v>
      </c>
      <c r="C9" s="30" t="s">
        <v>12</v>
      </c>
      <c r="D9" s="39" t="s">
        <v>22</v>
      </c>
    </row>
    <row r="10" spans="1:9" x14ac:dyDescent="0.25">
      <c r="A10" s="43">
        <f>(B10*((1+D10)^(1/B10)-1))*100</f>
        <v>10.047613649857956</v>
      </c>
      <c r="B10" s="32">
        <v>2</v>
      </c>
      <c r="C10" s="31" t="s">
        <v>23</v>
      </c>
      <c r="D10" s="48">
        <v>0.10299999999999999</v>
      </c>
    </row>
    <row r="11" spans="1:9" x14ac:dyDescent="0.25">
      <c r="A11" s="43">
        <f t="shared" ref="A11:A12" si="1">(B11*((1+D11)^(1/B11)-1))*100</f>
        <v>9.0177851188028235</v>
      </c>
      <c r="B11" s="33">
        <v>12</v>
      </c>
      <c r="C11" s="31" t="s">
        <v>14</v>
      </c>
      <c r="D11" s="48">
        <v>9.4E-2</v>
      </c>
    </row>
    <row r="12" spans="1:9" x14ac:dyDescent="0.25">
      <c r="A12" s="43">
        <f t="shared" si="1"/>
        <v>6.9572562922340708</v>
      </c>
      <c r="B12" s="33">
        <v>52</v>
      </c>
      <c r="C12" s="31" t="s">
        <v>24</v>
      </c>
      <c r="D12" s="48">
        <v>7.1999999999999995E-2</v>
      </c>
    </row>
    <row r="13" spans="1:9" ht="15.75" thickBot="1" x14ac:dyDescent="0.3">
      <c r="A13" s="44">
        <f>(LN(1+D13))*100</f>
        <v>14.755756435761469</v>
      </c>
      <c r="B13" s="38" t="s">
        <v>25</v>
      </c>
      <c r="C13" s="37" t="s">
        <v>16</v>
      </c>
      <c r="D13" s="49">
        <v>0.159</v>
      </c>
    </row>
    <row r="14" spans="1:9" ht="15.75" thickBot="1" x14ac:dyDescent="0.3"/>
    <row r="15" spans="1:9" x14ac:dyDescent="0.25">
      <c r="A15" s="248" t="s">
        <v>26</v>
      </c>
      <c r="B15" s="249"/>
      <c r="C15" s="249"/>
      <c r="D15" s="249"/>
      <c r="E15" s="249"/>
      <c r="F15" s="249"/>
      <c r="G15" s="249"/>
      <c r="H15" s="249"/>
      <c r="I15" s="250"/>
    </row>
    <row r="16" spans="1:9" ht="30" x14ac:dyDescent="0.25">
      <c r="A16" s="56" t="s">
        <v>31</v>
      </c>
      <c r="B16" s="52" t="s">
        <v>32</v>
      </c>
      <c r="C16" s="52" t="s">
        <v>27</v>
      </c>
      <c r="D16" s="53" t="s">
        <v>28</v>
      </c>
      <c r="E16" s="54" t="s">
        <v>30</v>
      </c>
      <c r="F16" s="54" t="s">
        <v>29</v>
      </c>
      <c r="G16" s="55" t="s">
        <v>33</v>
      </c>
      <c r="H16" s="55" t="s">
        <v>35</v>
      </c>
      <c r="I16" s="57" t="s">
        <v>34</v>
      </c>
    </row>
    <row r="17" spans="1:11" x14ac:dyDescent="0.25">
      <c r="A17" s="35">
        <v>14</v>
      </c>
      <c r="B17" s="31">
        <v>4</v>
      </c>
      <c r="C17" s="31">
        <v>8.5000000000000006E-2</v>
      </c>
      <c r="D17" s="47">
        <v>35000</v>
      </c>
      <c r="E17" s="255">
        <f>D17*((1-(1/(1+C17))^B17)/C17)</f>
        <v>114645.88294848989</v>
      </c>
      <c r="F17" s="60">
        <f>E17/(1+C17)^A17</f>
        <v>36588.291359917501</v>
      </c>
      <c r="G17" s="255">
        <f>F17+F18</f>
        <v>67668.408890480903</v>
      </c>
      <c r="H17" s="253">
        <v>15</v>
      </c>
      <c r="I17" s="251">
        <f>G17/((1-(1/(1+C17))^H17)/C17)</f>
        <v>8148.6610205359193</v>
      </c>
    </row>
    <row r="18" spans="1:11" ht="15.75" thickBot="1" x14ac:dyDescent="0.3">
      <c r="A18" s="36">
        <v>16</v>
      </c>
      <c r="B18" s="37">
        <v>4</v>
      </c>
      <c r="C18" s="37">
        <v>8.5000000000000006E-2</v>
      </c>
      <c r="D18" s="58">
        <v>35000</v>
      </c>
      <c r="E18" s="256"/>
      <c r="F18" s="61">
        <f>E17/(1+C18)^A18</f>
        <v>31080.117530563402</v>
      </c>
      <c r="G18" s="256"/>
      <c r="H18" s="254"/>
      <c r="I18" s="252"/>
    </row>
    <row r="19" spans="1:11" ht="15.75" thickBot="1" x14ac:dyDescent="0.3"/>
    <row r="20" spans="1:11" x14ac:dyDescent="0.25">
      <c r="A20" s="248" t="s">
        <v>36</v>
      </c>
      <c r="B20" s="249"/>
      <c r="C20" s="249"/>
      <c r="D20" s="249"/>
      <c r="E20" s="249"/>
      <c r="F20" s="249"/>
      <c r="G20" s="249"/>
      <c r="H20" s="249"/>
      <c r="I20" s="249"/>
      <c r="J20" s="249"/>
      <c r="K20" s="250"/>
    </row>
    <row r="21" spans="1:11" x14ac:dyDescent="0.25">
      <c r="A21" s="35" t="s">
        <v>38</v>
      </c>
      <c r="B21" s="31" t="s">
        <v>39</v>
      </c>
      <c r="C21" s="31" t="s">
        <v>45</v>
      </c>
      <c r="D21" s="31" t="s">
        <v>40</v>
      </c>
      <c r="E21" s="31" t="s">
        <v>41</v>
      </c>
      <c r="F21" s="31" t="s">
        <v>42</v>
      </c>
      <c r="G21" s="31" t="s">
        <v>44</v>
      </c>
      <c r="H21" s="46" t="s">
        <v>43</v>
      </c>
      <c r="I21" s="46" t="s">
        <v>46</v>
      </c>
      <c r="J21" s="68" t="s">
        <v>47</v>
      </c>
      <c r="K21" s="63" t="s">
        <v>48</v>
      </c>
    </row>
    <row r="22" spans="1:11" ht="15.75" thickBot="1" x14ac:dyDescent="0.3">
      <c r="A22" s="36">
        <v>3</v>
      </c>
      <c r="B22" s="58">
        <v>38000</v>
      </c>
      <c r="C22" s="58">
        <v>26000</v>
      </c>
      <c r="D22" s="37">
        <v>1</v>
      </c>
      <c r="E22" s="37">
        <v>520</v>
      </c>
      <c r="F22" s="37">
        <v>0.08</v>
      </c>
      <c r="G22" s="37">
        <v>12</v>
      </c>
      <c r="H22" s="66">
        <f>D22+E22*(1-(1/(1+F22/G22)^(G22*A22)))/(F22/G22)</f>
        <v>16595.13886527517</v>
      </c>
      <c r="I22" s="61">
        <f>C22/((1+(F22/G22))^(G22*A22))</f>
        <v>20468.620378241609</v>
      </c>
      <c r="J22" s="69">
        <f>B22-I22</f>
        <v>17531.379621758391</v>
      </c>
      <c r="K22" s="65">
        <f>(B22-H22)*(1+(F22/G22))^(G22*A22)</f>
        <v>27189.247698122334</v>
      </c>
    </row>
    <row r="23" spans="1:11" ht="15.75" thickBot="1" x14ac:dyDescent="0.3"/>
    <row r="24" spans="1:11" x14ac:dyDescent="0.25">
      <c r="A24" s="248" t="s">
        <v>119</v>
      </c>
      <c r="B24" s="249"/>
      <c r="C24" s="249"/>
      <c r="D24" s="249"/>
      <c r="E24" s="249"/>
      <c r="F24" s="249"/>
      <c r="G24" s="249"/>
      <c r="H24" s="250"/>
      <c r="I24" s="26"/>
      <c r="J24" s="26"/>
      <c r="K24" s="26"/>
    </row>
    <row r="25" spans="1:11" x14ac:dyDescent="0.25">
      <c r="A25" s="35" t="s">
        <v>37</v>
      </c>
      <c r="B25" s="31" t="s">
        <v>120</v>
      </c>
      <c r="C25" s="31" t="s">
        <v>121</v>
      </c>
      <c r="D25" s="31" t="s">
        <v>122</v>
      </c>
      <c r="E25" s="31" t="s">
        <v>44</v>
      </c>
      <c r="F25" s="31" t="s">
        <v>123</v>
      </c>
      <c r="G25" s="32" t="s">
        <v>19</v>
      </c>
      <c r="H25" s="39" t="s">
        <v>124</v>
      </c>
    </row>
    <row r="26" spans="1:11" ht="15.75" thickBot="1" x14ac:dyDescent="0.3">
      <c r="A26" s="36">
        <v>26000</v>
      </c>
      <c r="B26" s="37">
        <v>3900</v>
      </c>
      <c r="C26" s="37">
        <v>0.15</v>
      </c>
      <c r="D26" s="37">
        <f>A26+B26</f>
        <v>29900</v>
      </c>
      <c r="E26" s="37">
        <v>12</v>
      </c>
      <c r="F26" s="170">
        <f>D26/E26</f>
        <v>2491.6666666666665</v>
      </c>
      <c r="G26" s="59">
        <f>F26*((1-(1/(1+H26))^E26)/H26)</f>
        <v>25999.999995252125</v>
      </c>
      <c r="H26" s="167">
        <v>2.2185466532041301E-2</v>
      </c>
      <c r="I26" t="s">
        <v>125</v>
      </c>
    </row>
  </sheetData>
  <mergeCells count="10">
    <mergeCell ref="A24:H24"/>
    <mergeCell ref="F1:I1"/>
    <mergeCell ref="I17:I18"/>
    <mergeCell ref="H17:H18"/>
    <mergeCell ref="A15:I15"/>
    <mergeCell ref="A20:K20"/>
    <mergeCell ref="A1:D1"/>
    <mergeCell ref="A8:D8"/>
    <mergeCell ref="G17:G18"/>
    <mergeCell ref="E17:E18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AC6DC-F82D-48DD-A308-AB05970D5780}">
  <sheetPr>
    <tabColor theme="7"/>
  </sheetPr>
  <dimension ref="A1:L58"/>
  <sheetViews>
    <sheetView topLeftCell="D1" zoomScale="85" zoomScaleNormal="85" workbookViewId="0">
      <selection activeCell="J11" sqref="J11"/>
    </sheetView>
  </sheetViews>
  <sheetFormatPr baseColWidth="10" defaultRowHeight="15" x14ac:dyDescent="0.25"/>
  <cols>
    <col min="1" max="1" width="24" customWidth="1"/>
    <col min="2" max="2" width="18" bestFit="1" customWidth="1"/>
    <col min="3" max="3" width="20.28515625" bestFit="1" customWidth="1"/>
    <col min="4" max="4" width="17.28515625" customWidth="1"/>
    <col min="5" max="5" width="23" customWidth="1"/>
    <col min="6" max="6" width="20.5703125" customWidth="1"/>
    <col min="7" max="7" width="15.140625" bestFit="1" customWidth="1"/>
    <col min="9" max="9" width="12.5703125" customWidth="1"/>
    <col min="10" max="10" width="13.42578125" customWidth="1"/>
    <col min="11" max="11" width="12.28515625" customWidth="1"/>
    <col min="12" max="12" width="12.85546875" customWidth="1"/>
    <col min="14" max="14" width="11.85546875" customWidth="1"/>
  </cols>
  <sheetData>
    <row r="1" spans="1:12" ht="15.75" thickBot="1" x14ac:dyDescent="0.3">
      <c r="A1" s="245" t="s">
        <v>51</v>
      </c>
      <c r="B1" s="246"/>
      <c r="C1" s="246"/>
      <c r="D1" s="246"/>
      <c r="E1" s="247"/>
      <c r="F1" s="77"/>
      <c r="G1" s="77"/>
      <c r="H1" s="267" t="s">
        <v>130</v>
      </c>
      <c r="I1" s="257" t="s">
        <v>8</v>
      </c>
      <c r="J1" s="258"/>
      <c r="K1" s="258"/>
      <c r="L1" s="259"/>
    </row>
    <row r="2" spans="1:12" ht="30.75" thickBot="1" x14ac:dyDescent="0.3">
      <c r="A2" s="35" t="s">
        <v>1</v>
      </c>
      <c r="B2" s="31" t="s">
        <v>56</v>
      </c>
      <c r="C2" s="31" t="s">
        <v>55</v>
      </c>
      <c r="D2" s="31" t="s">
        <v>54</v>
      </c>
      <c r="E2" s="78" t="s">
        <v>57</v>
      </c>
      <c r="F2" s="27"/>
      <c r="G2" s="27"/>
      <c r="H2" s="267"/>
      <c r="I2" s="3" t="s">
        <v>0</v>
      </c>
      <c r="J2" s="2"/>
      <c r="K2" s="2"/>
      <c r="L2" s="4"/>
    </row>
    <row r="3" spans="1:12" ht="15.75" thickBot="1" x14ac:dyDescent="0.3">
      <c r="A3" s="35">
        <v>0</v>
      </c>
      <c r="B3" s="47">
        <v>-750000</v>
      </c>
      <c r="C3" s="47">
        <v>-2100000</v>
      </c>
      <c r="D3" s="82">
        <v>0.14000000000000001</v>
      </c>
      <c r="E3" s="79">
        <f>(B3-C3)*-1</f>
        <v>-1350000</v>
      </c>
      <c r="F3" s="27"/>
      <c r="G3" s="70"/>
      <c r="H3" s="267"/>
      <c r="I3" s="8" t="s">
        <v>1</v>
      </c>
      <c r="J3" s="6" t="s">
        <v>2</v>
      </c>
      <c r="K3" s="6" t="s">
        <v>3</v>
      </c>
      <c r="L3" s="7" t="s">
        <v>7</v>
      </c>
    </row>
    <row r="4" spans="1:12" ht="15.75" thickBot="1" x14ac:dyDescent="0.3">
      <c r="A4" s="35">
        <v>1</v>
      </c>
      <c r="B4" s="47">
        <v>310000</v>
      </c>
      <c r="C4" s="47">
        <v>1200000</v>
      </c>
      <c r="D4" s="269"/>
      <c r="E4" s="79">
        <f>(B4-C4)*-1</f>
        <v>890000</v>
      </c>
      <c r="F4" s="27"/>
      <c r="G4" s="70"/>
      <c r="H4" s="267"/>
      <c r="I4" s="8">
        <v>0</v>
      </c>
      <c r="J4" s="9">
        <v>-40000</v>
      </c>
      <c r="K4" s="9">
        <v>-15000</v>
      </c>
      <c r="L4" s="7">
        <v>0.1</v>
      </c>
    </row>
    <row r="5" spans="1:12" ht="15.75" thickBot="1" x14ac:dyDescent="0.3">
      <c r="A5" s="35">
        <v>2</v>
      </c>
      <c r="B5" s="47">
        <v>430000</v>
      </c>
      <c r="C5" s="47">
        <v>760000</v>
      </c>
      <c r="D5" s="270"/>
      <c r="E5" s="79">
        <f>(B5-C5)*-1</f>
        <v>330000</v>
      </c>
      <c r="F5" s="27"/>
      <c r="G5" s="70"/>
      <c r="H5" s="267"/>
      <c r="I5" s="8">
        <v>1</v>
      </c>
      <c r="J5" s="9">
        <v>21000</v>
      </c>
      <c r="K5" s="9">
        <v>8500</v>
      </c>
      <c r="L5" s="7"/>
    </row>
    <row r="6" spans="1:12" ht="15.75" thickBot="1" x14ac:dyDescent="0.3">
      <c r="A6" s="36">
        <v>3</v>
      </c>
      <c r="B6" s="58">
        <v>330000</v>
      </c>
      <c r="C6" s="58">
        <v>850000</v>
      </c>
      <c r="D6" s="271"/>
      <c r="E6" s="85">
        <f>(B6-C6)*-1</f>
        <v>520000</v>
      </c>
      <c r="F6" s="27"/>
      <c r="G6" s="70"/>
      <c r="H6" s="267"/>
      <c r="I6" s="8">
        <v>2</v>
      </c>
      <c r="J6" s="9">
        <v>21000</v>
      </c>
      <c r="K6" s="9">
        <v>8500</v>
      </c>
      <c r="L6" s="7"/>
    </row>
    <row r="7" spans="1:12" ht="15.75" thickBot="1" x14ac:dyDescent="0.3">
      <c r="A7" s="84" t="s">
        <v>52</v>
      </c>
      <c r="B7" s="90">
        <f>IRR(B3:B6)</f>
        <v>0.19825397766337138</v>
      </c>
      <c r="C7" s="91">
        <f>IRR(C3:C6)</f>
        <v>0.17364132141229272</v>
      </c>
      <c r="D7" s="260" t="s">
        <v>53</v>
      </c>
      <c r="E7" s="262">
        <f>IRR(E3:E6)</f>
        <v>0.15775942042748325</v>
      </c>
      <c r="F7" s="27"/>
      <c r="G7" s="71"/>
      <c r="H7" s="267"/>
      <c r="I7" s="8">
        <v>3</v>
      </c>
      <c r="J7" s="9">
        <v>21000</v>
      </c>
      <c r="K7" s="9">
        <v>8500</v>
      </c>
      <c r="L7" s="7"/>
    </row>
    <row r="8" spans="1:12" ht="15.75" thickBot="1" x14ac:dyDescent="0.3">
      <c r="A8" s="80" t="s">
        <v>59</v>
      </c>
      <c r="B8" s="89">
        <f>NPV(D3,B4:B6)+B3</f>
        <v>75541.462150297128</v>
      </c>
      <c r="C8" s="66">
        <f>NPV(D3,C4:C6)+C3</f>
        <v>111152.68935650866</v>
      </c>
      <c r="D8" s="261"/>
      <c r="E8" s="263"/>
      <c r="F8" s="72"/>
      <c r="G8" s="71"/>
      <c r="H8" s="267"/>
      <c r="I8" s="5"/>
      <c r="J8" s="10"/>
      <c r="K8" s="10"/>
      <c r="L8" s="11"/>
    </row>
    <row r="9" spans="1:12" ht="15.75" thickBot="1" x14ac:dyDescent="0.3">
      <c r="F9" s="73"/>
      <c r="G9" s="71"/>
      <c r="H9" s="267"/>
      <c r="I9" s="5"/>
      <c r="J9" s="1"/>
      <c r="K9" s="1"/>
      <c r="L9" s="4"/>
    </row>
    <row r="10" spans="1:12" ht="15.75" thickBot="1" x14ac:dyDescent="0.3">
      <c r="F10" s="74"/>
      <c r="G10" s="71"/>
      <c r="H10" s="267"/>
      <c r="I10" s="12" t="s">
        <v>4</v>
      </c>
      <c r="J10" s="13">
        <f>J4+(J5/(1+L4))+(J6/(1+L4)^2)+(J7/(1+L4)^3)</f>
        <v>12223.891810668661</v>
      </c>
      <c r="K10" s="14">
        <f>K4+(K5/(1+L4))+(K6/(1+L4)^2)+(K7/(1+L4)^3)</f>
        <v>6138.2419233658866</v>
      </c>
      <c r="L10" s="11"/>
    </row>
    <row r="11" spans="1:12" ht="15.75" thickBot="1" x14ac:dyDescent="0.3">
      <c r="A11" s="245" t="s">
        <v>60</v>
      </c>
      <c r="B11" s="246"/>
      <c r="C11" s="246"/>
      <c r="D11" s="247"/>
      <c r="E11" s="86"/>
      <c r="F11" s="75"/>
      <c r="G11" s="71"/>
      <c r="H11" s="267"/>
      <c r="I11" s="15"/>
      <c r="J11" s="16"/>
      <c r="K11" s="17"/>
      <c r="L11" s="11"/>
    </row>
    <row r="12" spans="1:12" ht="15.75" thickBot="1" x14ac:dyDescent="0.3">
      <c r="A12" s="35" t="s">
        <v>1</v>
      </c>
      <c r="B12" s="31" t="s">
        <v>56</v>
      </c>
      <c r="C12" s="31" t="s">
        <v>55</v>
      </c>
      <c r="D12" s="48" t="s">
        <v>61</v>
      </c>
      <c r="H12" s="267"/>
      <c r="I12" s="15" t="s">
        <v>5</v>
      </c>
      <c r="J12" s="22">
        <f>IRR(J4:J7)</f>
        <v>0.26667918605493846</v>
      </c>
      <c r="K12" s="23">
        <f>IRR(K4:K7)</f>
        <v>0.32065009026333469</v>
      </c>
      <c r="L12" s="11"/>
    </row>
    <row r="13" spans="1:12" ht="15.75" thickBot="1" x14ac:dyDescent="0.3">
      <c r="A13" s="35">
        <v>0</v>
      </c>
      <c r="B13" s="47">
        <v>-40000</v>
      </c>
      <c r="C13" s="47">
        <v>-15000</v>
      </c>
      <c r="D13" s="92">
        <v>0.1</v>
      </c>
      <c r="H13" s="267"/>
      <c r="I13" s="5"/>
      <c r="J13" s="10"/>
      <c r="K13" s="10"/>
      <c r="L13" s="11"/>
    </row>
    <row r="14" spans="1:12" ht="15.75" thickBot="1" x14ac:dyDescent="0.3">
      <c r="A14" s="35">
        <v>1</v>
      </c>
      <c r="B14" s="47">
        <v>21000</v>
      </c>
      <c r="C14" s="47">
        <v>8500</v>
      </c>
      <c r="D14" s="276"/>
      <c r="H14" s="267"/>
      <c r="I14" s="18" t="s">
        <v>6</v>
      </c>
      <c r="J14" s="19">
        <f>((J5/(1+L4))+(J6/(1+L4)^2)+(J7/(1+L4)^3))/(J4*-1)</f>
        <v>1.3055972952667165</v>
      </c>
      <c r="K14" s="20">
        <f>((K5/(1+L4))+(K6/(1+L4)^2)+(K7/(1+L4)^3))/(K4*-1)</f>
        <v>1.4092161282243925</v>
      </c>
      <c r="L14" s="21"/>
    </row>
    <row r="15" spans="1:12" ht="15.75" thickBot="1" x14ac:dyDescent="0.3">
      <c r="A15" s="35">
        <v>2</v>
      </c>
      <c r="B15" s="47">
        <v>21000</v>
      </c>
      <c r="C15" s="47">
        <v>8500</v>
      </c>
      <c r="D15" s="277"/>
      <c r="H15" s="268"/>
    </row>
    <row r="16" spans="1:12" ht="15.75" thickBot="1" x14ac:dyDescent="0.3">
      <c r="A16" s="36">
        <v>3</v>
      </c>
      <c r="B16" s="58">
        <v>21000</v>
      </c>
      <c r="C16" s="58">
        <v>8500</v>
      </c>
      <c r="D16" s="278"/>
      <c r="H16" s="268"/>
    </row>
    <row r="17" spans="1:11" ht="15.75" thickBot="1" x14ac:dyDescent="0.3">
      <c r="A17" s="84" t="s">
        <v>58</v>
      </c>
      <c r="B17" s="87">
        <f>(NPV(D13,B14:B16))/(B13*-1)</f>
        <v>1.3055972952667165</v>
      </c>
      <c r="C17" s="88">
        <f>(NPV(D13,C14:C16))/(C13*-1)</f>
        <v>1.4092161282243927</v>
      </c>
      <c r="D17" s="274"/>
      <c r="H17" s="267"/>
      <c r="I17" s="264" t="s">
        <v>9</v>
      </c>
      <c r="J17" s="265"/>
      <c r="K17" s="266"/>
    </row>
    <row r="18" spans="1:11" ht="15.75" thickBot="1" x14ac:dyDescent="0.3">
      <c r="A18" s="80" t="s">
        <v>59</v>
      </c>
      <c r="B18" s="66">
        <f>NPV(D13,B14:B16)+B13</f>
        <v>12223.891810668661</v>
      </c>
      <c r="C18" s="89">
        <f>NPV(D13,C14:C16)+C13</f>
        <v>6138.2419233658911</v>
      </c>
      <c r="D18" s="275"/>
      <c r="H18" s="267"/>
      <c r="I18" s="3" t="s">
        <v>0</v>
      </c>
      <c r="J18" s="2"/>
      <c r="K18" s="4"/>
    </row>
    <row r="19" spans="1:11" ht="15.75" thickBot="1" x14ac:dyDescent="0.3">
      <c r="H19" s="267"/>
      <c r="I19" s="8" t="s">
        <v>1</v>
      </c>
      <c r="J19" s="6" t="s">
        <v>2</v>
      </c>
      <c r="K19" s="7" t="s">
        <v>7</v>
      </c>
    </row>
    <row r="20" spans="1:11" ht="15.75" thickBot="1" x14ac:dyDescent="0.3">
      <c r="H20" s="267"/>
      <c r="I20" s="8">
        <v>0</v>
      </c>
      <c r="J20" s="9">
        <v>8000</v>
      </c>
      <c r="K20" s="7">
        <v>0.1</v>
      </c>
    </row>
    <row r="21" spans="1:11" ht="15.75" thickBot="1" x14ac:dyDescent="0.3">
      <c r="A21" s="245" t="s">
        <v>49</v>
      </c>
      <c r="B21" s="246"/>
      <c r="C21" s="247"/>
      <c r="D21" s="86"/>
      <c r="E21" s="86"/>
      <c r="H21" s="267"/>
      <c r="I21" s="8">
        <v>1</v>
      </c>
      <c r="J21" s="9">
        <v>-4400</v>
      </c>
      <c r="K21" s="7"/>
    </row>
    <row r="22" spans="1:11" ht="15.75" thickBot="1" x14ac:dyDescent="0.3">
      <c r="A22" s="95" t="s">
        <v>1</v>
      </c>
      <c r="B22" s="96" t="s">
        <v>56</v>
      </c>
      <c r="C22" s="97" t="s">
        <v>61</v>
      </c>
      <c r="H22" s="267"/>
      <c r="I22" s="8">
        <v>2</v>
      </c>
      <c r="J22" s="9">
        <v>-2700</v>
      </c>
      <c r="K22" s="7"/>
    </row>
    <row r="23" spans="1:11" ht="15.75" thickBot="1" x14ac:dyDescent="0.3">
      <c r="A23" s="35">
        <v>0</v>
      </c>
      <c r="B23" s="47">
        <v>-32000000</v>
      </c>
      <c r="C23" s="92">
        <v>0.1</v>
      </c>
      <c r="H23" s="267"/>
      <c r="I23" s="8">
        <v>3</v>
      </c>
      <c r="J23" s="9">
        <v>-1900</v>
      </c>
      <c r="K23" s="7"/>
    </row>
    <row r="24" spans="1:11" ht="15.75" thickBot="1" x14ac:dyDescent="0.3">
      <c r="A24" s="35">
        <v>1</v>
      </c>
      <c r="B24" s="47">
        <v>57000000</v>
      </c>
      <c r="C24" s="272"/>
      <c r="H24" s="267"/>
      <c r="I24" s="8">
        <v>4</v>
      </c>
      <c r="J24" s="10">
        <v>-1500</v>
      </c>
      <c r="K24" s="11"/>
    </row>
    <row r="25" spans="1:11" ht="15.75" thickBot="1" x14ac:dyDescent="0.3">
      <c r="A25" s="35">
        <v>2</v>
      </c>
      <c r="B25" s="47">
        <v>-9000000</v>
      </c>
      <c r="C25" s="273"/>
      <c r="H25" s="267"/>
      <c r="I25" s="5"/>
      <c r="J25" s="1"/>
      <c r="K25" s="4"/>
    </row>
    <row r="26" spans="1:11" ht="15.75" thickBot="1" x14ac:dyDescent="0.3">
      <c r="A26" s="84" t="s">
        <v>52</v>
      </c>
      <c r="B26" s="93">
        <f>IRR(B23:B25)</f>
        <v>0.60614082136595493</v>
      </c>
      <c r="C26" s="98">
        <v>-0.82489999999999997</v>
      </c>
      <c r="H26" s="267"/>
      <c r="I26" s="12" t="s">
        <v>4</v>
      </c>
      <c r="J26" s="14">
        <f>J20+(J21/(1+K20))+(J22/(1+K20)^2)+(J23/(1+K20)^3)+(J23/(1+K20)^4)</f>
        <v>-956.62864558431625</v>
      </c>
      <c r="K26" s="11"/>
    </row>
    <row r="27" spans="1:11" ht="15.75" thickBot="1" x14ac:dyDescent="0.3">
      <c r="A27" s="80" t="s">
        <v>59</v>
      </c>
      <c r="B27" s="66">
        <f>NPV(C23,B24:B25)+B23</f>
        <v>12380165.2892562</v>
      </c>
      <c r="C27" s="94"/>
      <c r="H27" s="267"/>
      <c r="I27" s="15"/>
      <c r="J27" s="16"/>
      <c r="K27" s="11"/>
    </row>
    <row r="28" spans="1:11" ht="15.75" thickBot="1" x14ac:dyDescent="0.3">
      <c r="H28" s="267"/>
      <c r="I28" s="15" t="s">
        <v>5</v>
      </c>
      <c r="J28" s="24">
        <f>IRR(J20:J24)</f>
        <v>0.14806848670728434</v>
      </c>
      <c r="K28" s="11"/>
    </row>
    <row r="29" spans="1:11" ht="15.75" thickBot="1" x14ac:dyDescent="0.3">
      <c r="H29" s="267"/>
      <c r="I29" s="5"/>
      <c r="J29" s="10"/>
      <c r="K29" s="11"/>
    </row>
    <row r="30" spans="1:11" ht="15.75" thickBot="1" x14ac:dyDescent="0.3">
      <c r="A30" s="245" t="s">
        <v>62</v>
      </c>
      <c r="B30" s="246"/>
      <c r="C30" s="246"/>
      <c r="D30" s="246"/>
      <c r="E30" s="247"/>
      <c r="H30" s="267"/>
      <c r="I30" s="18" t="s">
        <v>6</v>
      </c>
      <c r="J30" s="25">
        <f>((J21/(1+K20))+(J22/(1+K20)^2)+(J23/(1+K20)^3)+(J24/(1+K20)^3))/(J20*-1)</f>
        <v>1.0982344102178812</v>
      </c>
      <c r="K30" s="21"/>
    </row>
    <row r="31" spans="1:11" ht="30" x14ac:dyDescent="0.25">
      <c r="A31" s="35" t="s">
        <v>1</v>
      </c>
      <c r="B31" s="31" t="s">
        <v>56</v>
      </c>
      <c r="C31" s="31" t="s">
        <v>55</v>
      </c>
      <c r="D31" s="104" t="s">
        <v>61</v>
      </c>
      <c r="E31" s="78" t="s">
        <v>57</v>
      </c>
    </row>
    <row r="32" spans="1:11" x14ac:dyDescent="0.25">
      <c r="A32" s="35">
        <v>0</v>
      </c>
      <c r="B32" s="47">
        <v>-600</v>
      </c>
      <c r="C32" s="47">
        <v>-1900</v>
      </c>
      <c r="D32" s="105">
        <v>0.1</v>
      </c>
      <c r="E32" s="79">
        <f>(B32-C32)*-1</f>
        <v>-1300</v>
      </c>
    </row>
    <row r="33" spans="1:7" x14ac:dyDescent="0.25">
      <c r="A33" s="35">
        <v>1</v>
      </c>
      <c r="B33" s="47">
        <v>700</v>
      </c>
      <c r="C33" s="47">
        <v>1400</v>
      </c>
      <c r="D33" s="269"/>
      <c r="E33" s="79">
        <f>(B33-C33)*-1</f>
        <v>700</v>
      </c>
    </row>
    <row r="34" spans="1:7" x14ac:dyDescent="0.25">
      <c r="A34" s="35">
        <v>2</v>
      </c>
      <c r="B34" s="47">
        <v>150</v>
      </c>
      <c r="C34" s="47">
        <v>900</v>
      </c>
      <c r="D34" s="270"/>
      <c r="E34" s="79">
        <f>(B34-C34)*-1</f>
        <v>750</v>
      </c>
    </row>
    <row r="35" spans="1:7" ht="15.75" thickBot="1" x14ac:dyDescent="0.3">
      <c r="A35" s="36">
        <v>3</v>
      </c>
      <c r="B35" s="58">
        <v>100</v>
      </c>
      <c r="C35" s="58">
        <v>400</v>
      </c>
      <c r="D35" s="271"/>
      <c r="E35" s="85">
        <f>(B35-C35)*-1</f>
        <v>300</v>
      </c>
    </row>
    <row r="36" spans="1:7" x14ac:dyDescent="0.25">
      <c r="A36" s="106" t="s">
        <v>64</v>
      </c>
      <c r="B36" s="100" t="s">
        <v>65</v>
      </c>
      <c r="C36" s="100" t="s">
        <v>131</v>
      </c>
      <c r="D36" s="284" t="s">
        <v>53</v>
      </c>
      <c r="E36" s="286">
        <f>IRR(E32:E35)</f>
        <v>0.18776089016171893</v>
      </c>
    </row>
    <row r="37" spans="1:7" x14ac:dyDescent="0.25">
      <c r="A37" s="107" t="s">
        <v>66</v>
      </c>
      <c r="B37" s="101">
        <f>600/700</f>
        <v>0.8571428571428571</v>
      </c>
      <c r="C37" s="102">
        <f>1+(1900-1400)/900</f>
        <v>1.5555555555555556</v>
      </c>
      <c r="D37" s="285"/>
      <c r="E37" s="287"/>
    </row>
    <row r="38" spans="1:7" x14ac:dyDescent="0.25">
      <c r="A38" s="83" t="s">
        <v>52</v>
      </c>
      <c r="B38" s="76">
        <f>IRR(B32:B35)</f>
        <v>0.42433933359001164</v>
      </c>
      <c r="C38" s="103">
        <f>IRR(C32:C35)</f>
        <v>0.25034658800894349</v>
      </c>
      <c r="D38" s="285"/>
      <c r="E38" s="287"/>
    </row>
    <row r="39" spans="1:7" ht="15.75" thickBot="1" x14ac:dyDescent="0.3">
      <c r="A39" s="80" t="s">
        <v>59</v>
      </c>
      <c r="B39" s="89">
        <f>NPV(D32,B33:B35)+B32</f>
        <v>235.46205860255441</v>
      </c>
      <c r="C39" s="66">
        <f>NPV(D32,C33:C35)+C32</f>
        <v>417.05484598046542</v>
      </c>
      <c r="D39" s="261"/>
      <c r="E39" s="263"/>
    </row>
    <row r="41" spans="1:7" ht="15.75" thickBot="1" x14ac:dyDescent="0.3"/>
    <row r="42" spans="1:7" x14ac:dyDescent="0.25">
      <c r="A42" s="238" t="s">
        <v>62</v>
      </c>
      <c r="B42" s="239"/>
      <c r="C42" s="239"/>
      <c r="D42" s="239"/>
      <c r="E42" s="239"/>
      <c r="F42" s="239"/>
      <c r="G42" s="240"/>
    </row>
    <row r="43" spans="1:7" x14ac:dyDescent="0.25">
      <c r="A43" s="35" t="s">
        <v>1</v>
      </c>
      <c r="B43" s="31" t="s">
        <v>56</v>
      </c>
      <c r="C43" s="31" t="s">
        <v>61</v>
      </c>
      <c r="D43" s="31" t="s">
        <v>55</v>
      </c>
      <c r="E43" s="31" t="s">
        <v>61</v>
      </c>
      <c r="F43" s="31" t="s">
        <v>67</v>
      </c>
      <c r="G43" s="48" t="s">
        <v>61</v>
      </c>
    </row>
    <row r="44" spans="1:7" x14ac:dyDescent="0.25">
      <c r="A44" s="35">
        <v>0</v>
      </c>
      <c r="B44" s="47">
        <v>-280000</v>
      </c>
      <c r="C44" s="114">
        <v>0.1</v>
      </c>
      <c r="D44" s="47">
        <v>-390000</v>
      </c>
      <c r="E44" s="114">
        <v>0.2</v>
      </c>
      <c r="F44" s="47">
        <v>-230000</v>
      </c>
      <c r="G44" s="111">
        <v>0.15</v>
      </c>
    </row>
    <row r="45" spans="1:7" x14ac:dyDescent="0.25">
      <c r="A45" s="35">
        <v>1</v>
      </c>
      <c r="B45" s="47">
        <v>190000</v>
      </c>
      <c r="C45" s="269"/>
      <c r="D45" s="47">
        <v>270000</v>
      </c>
      <c r="E45" s="269"/>
      <c r="F45" s="47">
        <v>160000</v>
      </c>
      <c r="G45" s="272"/>
    </row>
    <row r="46" spans="1:7" ht="15.75" thickBot="1" x14ac:dyDescent="0.3">
      <c r="A46" s="36">
        <v>2</v>
      </c>
      <c r="B46" s="58">
        <v>170000</v>
      </c>
      <c r="C46" s="271"/>
      <c r="D46" s="58">
        <v>240000</v>
      </c>
      <c r="E46" s="271"/>
      <c r="F46" s="58">
        <v>190000</v>
      </c>
      <c r="G46" s="288"/>
    </row>
    <row r="47" spans="1:7" x14ac:dyDescent="0.25">
      <c r="A47" s="84" t="s">
        <v>52</v>
      </c>
      <c r="B47" s="91">
        <f>IRR(B44:B46)</f>
        <v>0.18914314530648535</v>
      </c>
      <c r="C47" s="289"/>
      <c r="D47" s="93">
        <f>IRR(D44:D46)</f>
        <v>0.20359603113876745</v>
      </c>
      <c r="E47" s="289"/>
      <c r="F47" s="90">
        <f>IRR(F44:F46)</f>
        <v>0.3210012732869294</v>
      </c>
      <c r="G47" s="281"/>
    </row>
    <row r="48" spans="1:7" x14ac:dyDescent="0.25">
      <c r="A48" s="83" t="s">
        <v>59</v>
      </c>
      <c r="B48" s="62">
        <f>NPV(C44,B45:B46)+B44</f>
        <v>33223.140495867701</v>
      </c>
      <c r="C48" s="290"/>
      <c r="D48" s="110">
        <f>NPV(E44,D45:D46)+D44</f>
        <v>1666.6666666666861</v>
      </c>
      <c r="E48" s="290"/>
      <c r="F48" s="109">
        <f>NPV(G44,F45:F46)+F44</f>
        <v>52797.731568998133</v>
      </c>
      <c r="G48" s="282"/>
    </row>
    <row r="49" spans="1:7" ht="15.75" thickBot="1" x14ac:dyDescent="0.3">
      <c r="A49" s="80" t="s">
        <v>63</v>
      </c>
      <c r="B49" s="112">
        <f>1+(ABS(B44)-B45)/B46</f>
        <v>1.5294117647058822</v>
      </c>
      <c r="C49" s="291"/>
      <c r="D49" s="59">
        <f>1+(ABS(D44)-D45)/D46</f>
        <v>1.5</v>
      </c>
      <c r="E49" s="291"/>
      <c r="F49" s="113">
        <f>1+(ABS(F44)-F45)/F46</f>
        <v>1.368421052631579</v>
      </c>
      <c r="G49" s="283"/>
    </row>
    <row r="51" spans="1:7" ht="15.75" thickBot="1" x14ac:dyDescent="0.3"/>
    <row r="52" spans="1:7" x14ac:dyDescent="0.25">
      <c r="A52" s="245" t="s">
        <v>49</v>
      </c>
      <c r="B52" s="246"/>
      <c r="C52" s="247"/>
    </row>
    <row r="53" spans="1:7" x14ac:dyDescent="0.25">
      <c r="A53" s="95" t="s">
        <v>1</v>
      </c>
      <c r="B53" s="96" t="s">
        <v>56</v>
      </c>
      <c r="C53" s="97" t="s">
        <v>61</v>
      </c>
    </row>
    <row r="54" spans="1:7" x14ac:dyDescent="0.25">
      <c r="A54" s="35">
        <v>0</v>
      </c>
      <c r="B54" s="47">
        <v>20000</v>
      </c>
      <c r="C54" s="92">
        <v>0.1</v>
      </c>
    </row>
    <row r="55" spans="1:7" x14ac:dyDescent="0.25">
      <c r="A55" s="35">
        <v>1</v>
      </c>
      <c r="B55" s="47">
        <v>-26000</v>
      </c>
      <c r="C55" s="272"/>
    </row>
    <row r="56" spans="1:7" x14ac:dyDescent="0.25">
      <c r="A56" s="35">
        <v>2</v>
      </c>
      <c r="B56" s="47">
        <v>13000</v>
      </c>
      <c r="C56" s="273"/>
    </row>
    <row r="57" spans="1:7" x14ac:dyDescent="0.25">
      <c r="A57" s="84" t="s">
        <v>52</v>
      </c>
      <c r="B57" s="115" t="s">
        <v>68</v>
      </c>
      <c r="C57" s="279"/>
    </row>
    <row r="58" spans="1:7" ht="15.75" thickBot="1" x14ac:dyDescent="0.3">
      <c r="A58" s="80" t="s">
        <v>59</v>
      </c>
      <c r="B58" s="66">
        <f>NPV(C54,B55:B56)+B54</f>
        <v>7107.4380165289258</v>
      </c>
      <c r="C58" s="280"/>
    </row>
  </sheetData>
  <mergeCells count="26">
    <mergeCell ref="A52:C52"/>
    <mergeCell ref="C55:C56"/>
    <mergeCell ref="C57:C58"/>
    <mergeCell ref="G47:G49"/>
    <mergeCell ref="A30:E30"/>
    <mergeCell ref="D33:D35"/>
    <mergeCell ref="D36:D39"/>
    <mergeCell ref="E36:E39"/>
    <mergeCell ref="A42:G42"/>
    <mergeCell ref="G45:G46"/>
    <mergeCell ref="E45:E46"/>
    <mergeCell ref="C45:C46"/>
    <mergeCell ref="E47:E49"/>
    <mergeCell ref="C47:C49"/>
    <mergeCell ref="I1:L1"/>
    <mergeCell ref="A1:E1"/>
    <mergeCell ref="D7:D8"/>
    <mergeCell ref="E7:E8"/>
    <mergeCell ref="I17:K17"/>
    <mergeCell ref="H1:H30"/>
    <mergeCell ref="D4:D6"/>
    <mergeCell ref="C24:C25"/>
    <mergeCell ref="A21:C21"/>
    <mergeCell ref="D17:D18"/>
    <mergeCell ref="A11:D11"/>
    <mergeCell ref="D14:D16"/>
  </mergeCells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177CE-A085-4FCB-984F-9E81E6CBBEE4}">
  <sheetPr>
    <tabColor theme="7"/>
  </sheetPr>
  <dimension ref="A1:G60"/>
  <sheetViews>
    <sheetView workbookViewId="0">
      <selection activeCell="E50" sqref="E50"/>
    </sheetView>
  </sheetViews>
  <sheetFormatPr baseColWidth="10" defaultRowHeight="15" x14ac:dyDescent="0.25"/>
  <cols>
    <col min="1" max="1" width="30.140625" customWidth="1"/>
    <col min="2" max="2" width="16.5703125" customWidth="1"/>
    <col min="3" max="3" width="15.28515625" bestFit="1" customWidth="1"/>
    <col min="4" max="4" width="20.85546875" bestFit="1" customWidth="1"/>
    <col min="7" max="7" width="14.28515625" customWidth="1"/>
  </cols>
  <sheetData>
    <row r="1" spans="1:7" ht="15.75" thickBot="1" x14ac:dyDescent="0.3"/>
    <row r="2" spans="1:7" x14ac:dyDescent="0.25">
      <c r="A2" s="245" t="s">
        <v>75</v>
      </c>
      <c r="B2" s="246"/>
      <c r="C2" s="246"/>
      <c r="D2" s="246"/>
      <c r="E2" s="246"/>
      <c r="F2" s="247"/>
    </row>
    <row r="3" spans="1:7" x14ac:dyDescent="0.25">
      <c r="A3" s="35" t="s">
        <v>70</v>
      </c>
      <c r="B3" s="31">
        <v>0</v>
      </c>
      <c r="C3" s="120">
        <v>1</v>
      </c>
      <c r="D3" s="120">
        <v>2</v>
      </c>
      <c r="E3" s="120">
        <v>3</v>
      </c>
      <c r="F3" s="134">
        <v>4</v>
      </c>
    </row>
    <row r="4" spans="1:7" x14ac:dyDescent="0.25">
      <c r="A4" s="135" t="s">
        <v>69</v>
      </c>
      <c r="B4" s="118">
        <v>-16000</v>
      </c>
      <c r="C4" s="119"/>
      <c r="D4" s="119"/>
      <c r="E4" s="119"/>
      <c r="F4" s="136"/>
    </row>
    <row r="5" spans="1:7" x14ac:dyDescent="0.25">
      <c r="A5" s="135" t="s">
        <v>71</v>
      </c>
      <c r="B5" s="118"/>
      <c r="C5" s="118">
        <v>8500</v>
      </c>
      <c r="D5" s="120">
        <v>9000</v>
      </c>
      <c r="E5" s="120">
        <v>9500</v>
      </c>
      <c r="F5" s="134">
        <v>7000</v>
      </c>
    </row>
    <row r="6" spans="1:7" x14ac:dyDescent="0.25">
      <c r="A6" s="135" t="s">
        <v>72</v>
      </c>
      <c r="B6" s="118"/>
      <c r="C6" s="118">
        <v>1900</v>
      </c>
      <c r="D6" s="120">
        <v>2000</v>
      </c>
      <c r="E6" s="120">
        <v>2200</v>
      </c>
      <c r="F6" s="134">
        <v>1700</v>
      </c>
    </row>
    <row r="7" spans="1:7" x14ac:dyDescent="0.25">
      <c r="A7" s="135" t="s">
        <v>73</v>
      </c>
      <c r="B7" s="118"/>
      <c r="C7" s="118">
        <v>4000</v>
      </c>
      <c r="D7" s="118">
        <v>4000</v>
      </c>
      <c r="E7" s="118">
        <v>4000</v>
      </c>
      <c r="F7" s="137">
        <v>4000</v>
      </c>
    </row>
    <row r="8" spans="1:7" x14ac:dyDescent="0.25">
      <c r="A8" s="138" t="s">
        <v>78</v>
      </c>
      <c r="B8" s="121"/>
      <c r="C8" s="121">
        <f>C5-C6-C7</f>
        <v>2600</v>
      </c>
      <c r="D8" s="121">
        <f>D5-D6-D7</f>
        <v>3000</v>
      </c>
      <c r="E8" s="121">
        <f t="shared" ref="E8:F8" si="0">E5-E6-E7</f>
        <v>3300</v>
      </c>
      <c r="F8" s="139">
        <f t="shared" si="0"/>
        <v>1300</v>
      </c>
    </row>
    <row r="9" spans="1:7" ht="15.75" thickBot="1" x14ac:dyDescent="0.3">
      <c r="A9" s="140" t="s">
        <v>77</v>
      </c>
      <c r="B9" s="126"/>
      <c r="C9" s="126">
        <f>C8*$G$9</f>
        <v>884.00000000000011</v>
      </c>
      <c r="D9" s="126">
        <f t="shared" ref="D9:F9" si="1">D8*$G$9</f>
        <v>1020.0000000000001</v>
      </c>
      <c r="E9" s="126">
        <f t="shared" si="1"/>
        <v>1122</v>
      </c>
      <c r="F9" s="141">
        <f t="shared" si="1"/>
        <v>442.00000000000006</v>
      </c>
      <c r="G9" s="133">
        <v>0.34</v>
      </c>
    </row>
    <row r="10" spans="1:7" x14ac:dyDescent="0.25">
      <c r="A10" s="142" t="s">
        <v>92</v>
      </c>
      <c r="B10" s="99"/>
      <c r="C10" s="168">
        <f>C8-C9</f>
        <v>1716</v>
      </c>
      <c r="D10" s="168">
        <f t="shared" ref="D10:F10" si="2">D8-D9</f>
        <v>1980</v>
      </c>
      <c r="E10" s="168">
        <f t="shared" si="2"/>
        <v>2178</v>
      </c>
      <c r="F10" s="169">
        <f t="shared" si="2"/>
        <v>858</v>
      </c>
    </row>
    <row r="11" spans="1:7" x14ac:dyDescent="0.25">
      <c r="A11" s="143"/>
      <c r="B11" s="127"/>
      <c r="C11" s="127"/>
      <c r="D11" s="127"/>
      <c r="E11" s="127"/>
      <c r="F11" s="144"/>
    </row>
    <row r="12" spans="1:7" x14ac:dyDescent="0.25">
      <c r="A12" s="145" t="s">
        <v>80</v>
      </c>
      <c r="B12" s="122"/>
      <c r="C12" s="122">
        <f>C10+C7</f>
        <v>5716</v>
      </c>
      <c r="D12" s="122">
        <f t="shared" ref="D12:F12" si="3">D10+D7</f>
        <v>5980</v>
      </c>
      <c r="E12" s="122">
        <f t="shared" si="3"/>
        <v>6178</v>
      </c>
      <c r="F12" s="146">
        <f t="shared" si="3"/>
        <v>4858</v>
      </c>
    </row>
    <row r="13" spans="1:7" ht="15.75" thickBot="1" x14ac:dyDescent="0.3">
      <c r="A13" s="147" t="s">
        <v>74</v>
      </c>
      <c r="B13" s="123">
        <v>-200</v>
      </c>
      <c r="C13" s="123">
        <v>-250</v>
      </c>
      <c r="D13" s="124">
        <v>-300</v>
      </c>
      <c r="E13" s="125">
        <v>-200</v>
      </c>
      <c r="F13" s="148">
        <f>ABS(SUM(B13:E13))</f>
        <v>950</v>
      </c>
      <c r="G13" t="s">
        <v>129</v>
      </c>
    </row>
    <row r="14" spans="1:7" x14ac:dyDescent="0.25">
      <c r="A14" s="131" t="s">
        <v>79</v>
      </c>
      <c r="B14" s="132">
        <v>-16200</v>
      </c>
      <c r="C14" s="132">
        <f>C12+C13</f>
        <v>5466</v>
      </c>
      <c r="D14" s="132">
        <f t="shared" ref="D14:E14" si="4">D12+D13</f>
        <v>5680</v>
      </c>
      <c r="E14" s="132">
        <f t="shared" si="4"/>
        <v>5978</v>
      </c>
      <c r="F14" s="149">
        <f>F12+F13</f>
        <v>5808</v>
      </c>
      <c r="G14" s="151" t="s">
        <v>93</v>
      </c>
    </row>
    <row r="15" spans="1:7" ht="15.75" thickBot="1" x14ac:dyDescent="0.3">
      <c r="A15" s="80" t="s">
        <v>59</v>
      </c>
      <c r="B15" s="296">
        <f>NPV(G15,C14:F14)+B14</f>
        <v>1154.5296881507675</v>
      </c>
      <c r="C15" s="297"/>
      <c r="D15" s="297"/>
      <c r="E15" s="297"/>
      <c r="F15" s="298"/>
      <c r="G15" s="152">
        <v>0.12</v>
      </c>
    </row>
    <row r="16" spans="1:7" x14ac:dyDescent="0.25">
      <c r="A16" s="171"/>
      <c r="B16" s="172"/>
      <c r="C16" s="172"/>
      <c r="D16" s="172"/>
      <c r="E16" s="172"/>
      <c r="F16" s="172"/>
    </row>
    <row r="17" spans="1:4" ht="15.75" thickBot="1" x14ac:dyDescent="0.3">
      <c r="B17" s="70"/>
      <c r="C17" s="70"/>
    </row>
    <row r="18" spans="1:4" x14ac:dyDescent="0.25">
      <c r="A18" s="238" t="s">
        <v>91</v>
      </c>
      <c r="B18" s="239"/>
      <c r="C18" s="240"/>
      <c r="D18" s="45"/>
    </row>
    <row r="19" spans="1:4" x14ac:dyDescent="0.25">
      <c r="A19" s="30"/>
      <c r="B19" s="31" t="s">
        <v>81</v>
      </c>
      <c r="C19" s="48" t="s">
        <v>82</v>
      </c>
    </row>
    <row r="20" spans="1:4" x14ac:dyDescent="0.25">
      <c r="A20" s="150" t="s">
        <v>83</v>
      </c>
      <c r="B20" s="47">
        <v>270000</v>
      </c>
      <c r="C20" s="153">
        <v>370000</v>
      </c>
    </row>
    <row r="21" spans="1:4" x14ac:dyDescent="0.25">
      <c r="A21" s="150" t="s">
        <v>85</v>
      </c>
      <c r="B21" s="47">
        <v>45000</v>
      </c>
      <c r="C21" s="153">
        <v>48000</v>
      </c>
    </row>
    <row r="22" spans="1:4" x14ac:dyDescent="0.25">
      <c r="A22" s="150" t="s">
        <v>84</v>
      </c>
      <c r="B22" s="31">
        <v>3</v>
      </c>
      <c r="C22" s="48">
        <v>5</v>
      </c>
    </row>
    <row r="23" spans="1:4" x14ac:dyDescent="0.25">
      <c r="A23" s="150" t="s">
        <v>86</v>
      </c>
      <c r="B23" s="47">
        <v>20000</v>
      </c>
      <c r="C23" s="153">
        <v>20000</v>
      </c>
    </row>
    <row r="24" spans="1:4" x14ac:dyDescent="0.25">
      <c r="A24" s="150" t="s">
        <v>76</v>
      </c>
      <c r="B24" s="31">
        <v>0.35</v>
      </c>
      <c r="C24" s="48">
        <v>0.35</v>
      </c>
    </row>
    <row r="25" spans="1:4" ht="15.75" thickBot="1" x14ac:dyDescent="0.3">
      <c r="A25" s="154" t="s">
        <v>88</v>
      </c>
      <c r="B25" s="37">
        <v>0.12</v>
      </c>
      <c r="C25" s="49">
        <v>0.12</v>
      </c>
    </row>
    <row r="26" spans="1:4" x14ac:dyDescent="0.25">
      <c r="A26" s="84" t="s">
        <v>89</v>
      </c>
      <c r="B26" s="128">
        <f>B23*(1-B24)</f>
        <v>13000</v>
      </c>
      <c r="C26" s="155">
        <f>C23*(1-C24)</f>
        <v>13000</v>
      </c>
    </row>
    <row r="27" spans="1:4" x14ac:dyDescent="0.25">
      <c r="A27" s="83" t="s">
        <v>87</v>
      </c>
      <c r="B27" s="130">
        <f>-B21*(1-B24)+B24*(B20/B22)</f>
        <v>2249.9999999999964</v>
      </c>
      <c r="C27" s="156">
        <f>-C21*(1-C24)+C24*(C20/C22)</f>
        <v>-5300</v>
      </c>
    </row>
    <row r="28" spans="1:4" x14ac:dyDescent="0.25">
      <c r="A28" s="83" t="s">
        <v>59</v>
      </c>
      <c r="B28" s="109">
        <f>-B20+B27*((1-(1+B25)^-B22)/B25)+(B26/(1+B25)^3)</f>
        <v>-255342.7364249271</v>
      </c>
      <c r="C28" s="157">
        <f>-C20+C27*((1-(1+C25)^-C22)/C25)+(C26/(1+C25)^3)</f>
        <v>-379852.17065085424</v>
      </c>
    </row>
    <row r="29" spans="1:4" ht="15.75" thickBot="1" x14ac:dyDescent="0.3">
      <c r="A29" s="158" t="s">
        <v>90</v>
      </c>
      <c r="B29" s="89">
        <f>B28/((1-(1+B25)^-B22)/B25)</f>
        <v>-106311.68800379318</v>
      </c>
      <c r="C29" s="159">
        <f>C28/((1-(1+C25)^-C22)/C25)</f>
        <v>-105374.68883747897</v>
      </c>
    </row>
    <row r="31" spans="1:4" ht="15.75" thickBot="1" x14ac:dyDescent="0.3"/>
    <row r="32" spans="1:4" x14ac:dyDescent="0.25">
      <c r="A32" s="238" t="s">
        <v>94</v>
      </c>
      <c r="B32" s="239"/>
      <c r="C32" s="240"/>
    </row>
    <row r="33" spans="1:4" x14ac:dyDescent="0.25">
      <c r="A33" s="30"/>
      <c r="B33" s="31" t="s">
        <v>95</v>
      </c>
      <c r="C33" s="48" t="s">
        <v>96</v>
      </c>
    </row>
    <row r="34" spans="1:4" x14ac:dyDescent="0.25">
      <c r="A34" s="150" t="s">
        <v>83</v>
      </c>
      <c r="B34" s="47">
        <v>360000</v>
      </c>
      <c r="C34" s="153">
        <v>480000</v>
      </c>
    </row>
    <row r="35" spans="1:4" x14ac:dyDescent="0.25">
      <c r="A35" s="150" t="s">
        <v>85</v>
      </c>
      <c r="B35" s="47">
        <v>105000</v>
      </c>
      <c r="C35" s="153">
        <v>65000</v>
      </c>
    </row>
    <row r="36" spans="1:4" x14ac:dyDescent="0.25">
      <c r="A36" s="150" t="s">
        <v>84</v>
      </c>
      <c r="B36" s="31">
        <v>4</v>
      </c>
      <c r="C36" s="48">
        <v>6</v>
      </c>
    </row>
    <row r="37" spans="1:4" x14ac:dyDescent="0.25">
      <c r="A37" s="150" t="s">
        <v>86</v>
      </c>
      <c r="B37" s="47">
        <v>0</v>
      </c>
      <c r="C37" s="153">
        <v>0</v>
      </c>
    </row>
    <row r="38" spans="1:4" x14ac:dyDescent="0.25">
      <c r="A38" s="150" t="s">
        <v>76</v>
      </c>
      <c r="B38" s="31">
        <v>0.34</v>
      </c>
      <c r="C38" s="48">
        <v>0.34</v>
      </c>
    </row>
    <row r="39" spans="1:4" ht="15.75" thickBot="1" x14ac:dyDescent="0.3">
      <c r="A39" s="154" t="s">
        <v>88</v>
      </c>
      <c r="B39" s="37">
        <v>0.11</v>
      </c>
      <c r="C39" s="49">
        <v>0.11</v>
      </c>
    </row>
    <row r="40" spans="1:4" x14ac:dyDescent="0.25">
      <c r="A40" s="84" t="s">
        <v>89</v>
      </c>
      <c r="B40" s="128">
        <f>B37*(1-B38)</f>
        <v>0</v>
      </c>
      <c r="C40" s="155">
        <f>C37*(1-C38)</f>
        <v>0</v>
      </c>
    </row>
    <row r="41" spans="1:4" x14ac:dyDescent="0.25">
      <c r="A41" s="83" t="s">
        <v>87</v>
      </c>
      <c r="B41" s="129">
        <f>-B35*(1-B38)+B38*(B34/B36)</f>
        <v>-38699.999999999985</v>
      </c>
      <c r="C41" s="160">
        <f>-C35*(1-C38)+C38*(C34/C36)</f>
        <v>-15699.999999999989</v>
      </c>
    </row>
    <row r="42" spans="1:4" ht="15.75" thickBot="1" x14ac:dyDescent="0.3">
      <c r="A42" s="80" t="s">
        <v>59</v>
      </c>
      <c r="B42" s="66">
        <f>-B34+B41*((1-(1+B39)^-B36)/B39)+(B40/(1+B39)^3)</f>
        <v>-480064.64818716806</v>
      </c>
      <c r="C42" s="67">
        <f>-C34+C41*((1-(1+C39)^-C36)/C39)+(C40/(1+C39)^3)</f>
        <v>-546419.44430369057</v>
      </c>
    </row>
    <row r="44" spans="1:4" ht="15.75" thickBot="1" x14ac:dyDescent="0.3"/>
    <row r="45" spans="1:4" x14ac:dyDescent="0.25">
      <c r="A45" s="245" t="s">
        <v>97</v>
      </c>
      <c r="B45" s="246"/>
      <c r="C45" s="246"/>
      <c r="D45" s="247"/>
    </row>
    <row r="46" spans="1:4" x14ac:dyDescent="0.25">
      <c r="A46" s="35" t="s">
        <v>1</v>
      </c>
      <c r="B46" s="31" t="s">
        <v>95</v>
      </c>
      <c r="C46" s="31" t="s">
        <v>96</v>
      </c>
      <c r="D46" s="116" t="s">
        <v>93</v>
      </c>
    </row>
    <row r="47" spans="1:4" x14ac:dyDescent="0.25">
      <c r="A47" s="35">
        <v>0</v>
      </c>
      <c r="B47" s="47">
        <v>-50000</v>
      </c>
      <c r="C47" s="47">
        <v>-65000</v>
      </c>
      <c r="D47" s="97">
        <v>0.15</v>
      </c>
    </row>
    <row r="48" spans="1:4" x14ac:dyDescent="0.25">
      <c r="A48" s="35">
        <v>1</v>
      </c>
      <c r="B48" s="47">
        <v>30000</v>
      </c>
      <c r="C48" s="47">
        <v>29000</v>
      </c>
      <c r="D48" s="116" t="s">
        <v>101</v>
      </c>
    </row>
    <row r="49" spans="1:4" x14ac:dyDescent="0.25">
      <c r="A49" s="35">
        <v>2</v>
      </c>
      <c r="B49" s="31">
        <v>25000</v>
      </c>
      <c r="C49" s="31">
        <v>38000</v>
      </c>
      <c r="D49" s="97">
        <v>0.04</v>
      </c>
    </row>
    <row r="50" spans="1:4" x14ac:dyDescent="0.25">
      <c r="A50" s="35">
        <v>3</v>
      </c>
      <c r="B50" s="47">
        <v>20000</v>
      </c>
      <c r="C50" s="47">
        <v>41000</v>
      </c>
      <c r="D50" s="299"/>
    </row>
    <row r="51" spans="1:4" ht="15.75" thickBot="1" x14ac:dyDescent="0.3">
      <c r="A51" s="176" t="s">
        <v>100</v>
      </c>
      <c r="B51" s="177" t="s">
        <v>99</v>
      </c>
      <c r="C51" s="177" t="s">
        <v>98</v>
      </c>
      <c r="D51" s="282"/>
    </row>
    <row r="52" spans="1:4" x14ac:dyDescent="0.25">
      <c r="A52" s="173" t="s">
        <v>103</v>
      </c>
      <c r="B52" s="174">
        <f>((1+D47)/(1+D49))-1</f>
        <v>0.10576923076923062</v>
      </c>
      <c r="C52" s="175" t="s">
        <v>102</v>
      </c>
      <c r="D52" s="282"/>
    </row>
    <row r="53" spans="1:4" ht="15.75" thickBot="1" x14ac:dyDescent="0.3">
      <c r="A53" s="81" t="s">
        <v>59</v>
      </c>
      <c r="B53" s="89">
        <f>NPV(B52,B48:B50)+B47</f>
        <v>12368.886331881331</v>
      </c>
      <c r="C53" s="66">
        <f>NPV(D47,C48:C50)+C47</f>
        <v>15909.016191337243</v>
      </c>
      <c r="D53" s="283"/>
    </row>
    <row r="55" spans="1:4" ht="15.75" thickBot="1" x14ac:dyDescent="0.3"/>
    <row r="56" spans="1:4" x14ac:dyDescent="0.25">
      <c r="A56" s="238" t="s">
        <v>135</v>
      </c>
      <c r="B56" s="239"/>
      <c r="C56" s="239"/>
      <c r="D56" s="240"/>
    </row>
    <row r="57" spans="1:4" ht="30" x14ac:dyDescent="0.25">
      <c r="A57" s="180" t="s">
        <v>93</v>
      </c>
      <c r="B57" s="120" t="s">
        <v>132</v>
      </c>
      <c r="C57" s="120" t="s">
        <v>17</v>
      </c>
      <c r="D57" s="179" t="s">
        <v>134</v>
      </c>
    </row>
    <row r="58" spans="1:4" ht="15.75" thickBot="1" x14ac:dyDescent="0.3">
      <c r="A58" s="36">
        <v>7.0000000000000007E-2</v>
      </c>
      <c r="B58" s="178">
        <v>0.02</v>
      </c>
      <c r="C58" s="37">
        <v>4</v>
      </c>
      <c r="D58" s="49">
        <v>2</v>
      </c>
    </row>
    <row r="59" spans="1:4" x14ac:dyDescent="0.25">
      <c r="A59" s="173" t="s">
        <v>133</v>
      </c>
      <c r="B59" s="292">
        <f>((1+B58)^D58)-1</f>
        <v>4.0399999999999991E-2</v>
      </c>
      <c r="C59" s="292"/>
      <c r="D59" s="293"/>
    </row>
    <row r="60" spans="1:4" ht="15.75" thickBot="1" x14ac:dyDescent="0.3">
      <c r="A60" s="80" t="s">
        <v>136</v>
      </c>
      <c r="B60" s="294">
        <f>(((1+A58/C58)^C58/(1+B59)-1))*100</f>
        <v>3.0237438763036195</v>
      </c>
      <c r="C60" s="294"/>
      <c r="D60" s="295"/>
    </row>
  </sheetData>
  <mergeCells count="9">
    <mergeCell ref="B59:D59"/>
    <mergeCell ref="B60:D60"/>
    <mergeCell ref="A32:C32"/>
    <mergeCell ref="A45:D45"/>
    <mergeCell ref="A2:F2"/>
    <mergeCell ref="A18:C18"/>
    <mergeCell ref="B15:F15"/>
    <mergeCell ref="D50:D53"/>
    <mergeCell ref="A56:D56"/>
  </mergeCells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A15BA-5BD0-4A9F-B851-C66C18268095}">
  <sheetPr>
    <tabColor theme="7"/>
  </sheetPr>
  <dimension ref="A1:H23"/>
  <sheetViews>
    <sheetView workbookViewId="0">
      <selection activeCell="E50" sqref="E50"/>
    </sheetView>
  </sheetViews>
  <sheetFormatPr baseColWidth="10" defaultRowHeight="15" x14ac:dyDescent="0.25"/>
  <cols>
    <col min="2" max="2" width="14.140625" bestFit="1" customWidth="1"/>
    <col min="3" max="3" width="21" bestFit="1" customWidth="1"/>
    <col min="4" max="4" width="13.85546875" bestFit="1" customWidth="1"/>
    <col min="5" max="5" width="17.5703125" customWidth="1"/>
    <col min="6" max="6" width="17.140625" bestFit="1" customWidth="1"/>
    <col min="7" max="7" width="12.7109375" bestFit="1" customWidth="1"/>
    <col min="8" max="8" width="19.28515625" bestFit="1" customWidth="1"/>
  </cols>
  <sheetData>
    <row r="1" spans="1:8" x14ac:dyDescent="0.25">
      <c r="A1" s="245" t="s">
        <v>108</v>
      </c>
      <c r="B1" s="246"/>
      <c r="C1" s="246"/>
      <c r="D1" s="246"/>
      <c r="E1" s="246"/>
      <c r="F1" s="246"/>
      <c r="G1" s="246"/>
      <c r="H1" s="247"/>
    </row>
    <row r="2" spans="1:8" x14ac:dyDescent="0.25">
      <c r="A2" s="35" t="s">
        <v>109</v>
      </c>
      <c r="B2" s="31" t="s">
        <v>110</v>
      </c>
      <c r="C2" s="31" t="s">
        <v>111</v>
      </c>
      <c r="D2" s="31" t="s">
        <v>117</v>
      </c>
      <c r="E2" s="31" t="s">
        <v>112</v>
      </c>
      <c r="F2" s="31" t="s">
        <v>128</v>
      </c>
      <c r="G2" s="31" t="s">
        <v>113</v>
      </c>
      <c r="H2" s="48" t="s">
        <v>114</v>
      </c>
    </row>
    <row r="3" spans="1:8" x14ac:dyDescent="0.25">
      <c r="A3" s="35">
        <v>1000</v>
      </c>
      <c r="B3" s="31">
        <v>1</v>
      </c>
      <c r="C3" s="31">
        <v>0.6</v>
      </c>
      <c r="D3" s="31">
        <v>1.1000000000000001</v>
      </c>
      <c r="E3" s="31">
        <v>0.1</v>
      </c>
      <c r="F3" s="31">
        <v>0.08</v>
      </c>
      <c r="G3" s="31">
        <v>0.6</v>
      </c>
      <c r="H3" s="48">
        <v>0.4</v>
      </c>
    </row>
    <row r="4" spans="1:8" x14ac:dyDescent="0.25">
      <c r="A4" s="35" t="s">
        <v>1</v>
      </c>
      <c r="B4" s="31" t="s">
        <v>50</v>
      </c>
      <c r="C4" s="31" t="s">
        <v>115</v>
      </c>
      <c r="D4" s="117"/>
      <c r="E4" s="10"/>
      <c r="F4" s="10"/>
      <c r="G4" s="10"/>
      <c r="H4" s="11"/>
    </row>
    <row r="5" spans="1:8" x14ac:dyDescent="0.25">
      <c r="A5" s="35">
        <v>0</v>
      </c>
      <c r="B5" s="32">
        <f>-A3*B3</f>
        <v>-1000</v>
      </c>
      <c r="C5" s="32">
        <f>A3*(1-G3)</f>
        <v>400</v>
      </c>
      <c r="D5" s="32">
        <f>B5+C5</f>
        <v>-600</v>
      </c>
      <c r="E5" s="10"/>
      <c r="F5" s="10"/>
      <c r="G5" s="10"/>
      <c r="H5" s="11"/>
    </row>
    <row r="6" spans="1:8" x14ac:dyDescent="0.25">
      <c r="A6" s="35">
        <v>1</v>
      </c>
      <c r="B6" s="32">
        <f>E3*A3</f>
        <v>100</v>
      </c>
      <c r="C6" s="32">
        <f>-H3*B6</f>
        <v>-40</v>
      </c>
      <c r="D6" s="32">
        <f t="shared" ref="D6:D7" si="0">B6+C6</f>
        <v>60</v>
      </c>
      <c r="E6" s="10"/>
      <c r="F6" s="10"/>
      <c r="G6" s="10"/>
      <c r="H6" s="11"/>
    </row>
    <row r="7" spans="1:8" x14ac:dyDescent="0.25">
      <c r="A7" s="35">
        <v>2</v>
      </c>
      <c r="B7" s="32">
        <f>(D3*A3)+(F3*A3)</f>
        <v>1180</v>
      </c>
      <c r="C7" s="32">
        <f>-C5-C6</f>
        <v>-360</v>
      </c>
      <c r="D7" s="32">
        <f t="shared" si="0"/>
        <v>820</v>
      </c>
      <c r="E7" s="28"/>
      <c r="F7" s="10"/>
      <c r="G7" s="10"/>
      <c r="H7" s="11"/>
    </row>
    <row r="8" spans="1:8" ht="15.75" thickBot="1" x14ac:dyDescent="0.3">
      <c r="A8" s="163"/>
      <c r="B8" s="29"/>
      <c r="C8" s="29"/>
      <c r="D8" s="164">
        <f>IRR(D5:D7)</f>
        <v>0.22011395456454008</v>
      </c>
      <c r="E8" s="165" t="s">
        <v>116</v>
      </c>
      <c r="F8" s="108"/>
      <c r="G8" s="108"/>
      <c r="H8" s="21"/>
    </row>
    <row r="9" spans="1:8" x14ac:dyDescent="0.25">
      <c r="A9" s="95" t="s">
        <v>109</v>
      </c>
      <c r="B9" s="96" t="s">
        <v>110</v>
      </c>
      <c r="C9" s="96" t="s">
        <v>111</v>
      </c>
      <c r="D9" s="96" t="s">
        <v>118</v>
      </c>
      <c r="E9" s="96" t="s">
        <v>112</v>
      </c>
      <c r="F9" s="96" t="s">
        <v>128</v>
      </c>
      <c r="G9" s="96" t="s">
        <v>113</v>
      </c>
      <c r="H9" s="97" t="s">
        <v>114</v>
      </c>
    </row>
    <row r="10" spans="1:8" x14ac:dyDescent="0.25">
      <c r="A10" s="35">
        <v>1000</v>
      </c>
      <c r="B10" s="31">
        <v>1</v>
      </c>
      <c r="C10" s="31">
        <v>0.6</v>
      </c>
      <c r="D10" s="31">
        <v>0.6</v>
      </c>
      <c r="E10" s="31">
        <v>0.1</v>
      </c>
      <c r="F10" s="31">
        <v>0.08</v>
      </c>
      <c r="G10" s="31">
        <v>0.6</v>
      </c>
      <c r="H10" s="48">
        <v>0.4</v>
      </c>
    </row>
    <row r="11" spans="1:8" x14ac:dyDescent="0.25">
      <c r="A11" s="35" t="s">
        <v>1</v>
      </c>
      <c r="B11" s="31" t="s">
        <v>50</v>
      </c>
      <c r="C11" s="31" t="s">
        <v>115</v>
      </c>
      <c r="D11" s="117"/>
      <c r="E11" s="10"/>
      <c r="F11" s="10"/>
      <c r="G11" s="10"/>
      <c r="H11" s="11"/>
    </row>
    <row r="12" spans="1:8" x14ac:dyDescent="0.25">
      <c r="A12" s="35">
        <v>0</v>
      </c>
      <c r="B12" s="32">
        <f>A10*B10</f>
        <v>1000</v>
      </c>
      <c r="C12" s="32">
        <f>-B12*G10</f>
        <v>-600</v>
      </c>
      <c r="D12" s="32">
        <f>B12+C12</f>
        <v>400</v>
      </c>
      <c r="E12" s="10"/>
      <c r="F12" s="10"/>
      <c r="G12" s="10"/>
      <c r="H12" s="11"/>
    </row>
    <row r="13" spans="1:8" x14ac:dyDescent="0.25">
      <c r="A13" s="35">
        <v>1</v>
      </c>
      <c r="B13" s="32">
        <f>-E10*A10</f>
        <v>-100</v>
      </c>
      <c r="C13" s="32">
        <f>B13*H10</f>
        <v>-40</v>
      </c>
      <c r="D13" s="32">
        <f t="shared" ref="D13:D14" si="1">B13+C13</f>
        <v>-140</v>
      </c>
      <c r="E13" s="10"/>
      <c r="F13" s="10"/>
      <c r="G13" s="10"/>
      <c r="H13" s="11"/>
    </row>
    <row r="14" spans="1:8" x14ac:dyDescent="0.25">
      <c r="A14" s="35">
        <v>2</v>
      </c>
      <c r="B14" s="32">
        <f>-(D10*A10)-(F10*A10)</f>
        <v>-680</v>
      </c>
      <c r="C14" s="32">
        <f>-C12-C13</f>
        <v>640</v>
      </c>
      <c r="D14" s="32">
        <f t="shared" si="1"/>
        <v>-40</v>
      </c>
      <c r="E14" s="28"/>
      <c r="F14" s="10"/>
      <c r="G14" s="10"/>
      <c r="H14" s="11"/>
    </row>
    <row r="15" spans="1:8" ht="15.75" thickBot="1" x14ac:dyDescent="0.3">
      <c r="A15" s="163"/>
      <c r="B15" s="29"/>
      <c r="C15" s="29"/>
      <c r="D15" s="164">
        <f>IRR(D12:D14)</f>
        <v>-0.46357919262997593</v>
      </c>
      <c r="E15" s="165" t="s">
        <v>116</v>
      </c>
      <c r="F15" s="108"/>
      <c r="G15" s="108"/>
      <c r="H15" s="21"/>
    </row>
    <row r="18" spans="1:4" ht="15.75" thickBot="1" x14ac:dyDescent="0.3"/>
    <row r="19" spans="1:4" x14ac:dyDescent="0.25">
      <c r="A19" s="245" t="s">
        <v>104</v>
      </c>
      <c r="B19" s="246"/>
      <c r="C19" s="246"/>
      <c r="D19" s="247"/>
    </row>
    <row r="20" spans="1:4" x14ac:dyDescent="0.25">
      <c r="A20" s="35" t="s">
        <v>105</v>
      </c>
      <c r="B20" s="31" t="s">
        <v>107</v>
      </c>
      <c r="C20" s="31" t="s">
        <v>106</v>
      </c>
      <c r="D20" s="39" t="s">
        <v>19</v>
      </c>
    </row>
    <row r="21" spans="1:4" x14ac:dyDescent="0.25">
      <c r="A21" s="35">
        <v>10</v>
      </c>
      <c r="B21" s="31">
        <v>1000</v>
      </c>
      <c r="C21" s="31">
        <v>0.05</v>
      </c>
      <c r="D21" s="161">
        <f>NPV(C21,B21*A21)</f>
        <v>9523.8095238095229</v>
      </c>
    </row>
    <row r="22" spans="1:4" x14ac:dyDescent="0.25">
      <c r="A22" s="35">
        <v>10</v>
      </c>
      <c r="B22" s="31">
        <v>1000</v>
      </c>
      <c r="C22" s="31">
        <v>0.1</v>
      </c>
      <c r="D22" s="161">
        <f t="shared" ref="D22:D23" si="2">NPV(C22,B22*A22)</f>
        <v>9090.9090909090901</v>
      </c>
    </row>
    <row r="23" spans="1:4" ht="15.75" thickBot="1" x14ac:dyDescent="0.3">
      <c r="A23" s="36">
        <v>10</v>
      </c>
      <c r="B23" s="37">
        <v>1000</v>
      </c>
      <c r="C23" s="37">
        <v>0.15</v>
      </c>
      <c r="D23" s="162">
        <f t="shared" si="2"/>
        <v>8695.652173913044</v>
      </c>
    </row>
  </sheetData>
  <mergeCells count="2">
    <mergeCell ref="A19:D19"/>
    <mergeCell ref="A1:H1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06EC6-A720-47E4-921F-E6D63E53E8A2}">
  <dimension ref="A1:F21"/>
  <sheetViews>
    <sheetView workbookViewId="0">
      <selection activeCell="A25" sqref="A25"/>
    </sheetView>
  </sheetViews>
  <sheetFormatPr baseColWidth="10" defaultRowHeight="15" x14ac:dyDescent="0.25"/>
  <cols>
    <col min="1" max="1" width="23.5703125" customWidth="1"/>
    <col min="6" max="6" width="13.28515625" bestFit="1" customWidth="1"/>
    <col min="8" max="8" width="12.5703125" bestFit="1" customWidth="1"/>
    <col min="10" max="10" width="13.28515625" bestFit="1" customWidth="1"/>
    <col min="12" max="12" width="13.5703125" bestFit="1" customWidth="1"/>
  </cols>
  <sheetData>
    <row r="1" spans="1:6" x14ac:dyDescent="0.25">
      <c r="A1" s="301" t="s">
        <v>150</v>
      </c>
      <c r="B1" s="302"/>
      <c r="C1" s="201"/>
      <c r="D1" s="46" t="s">
        <v>151</v>
      </c>
      <c r="E1" s="201"/>
      <c r="F1" s="201"/>
    </row>
    <row r="2" spans="1:6" x14ac:dyDescent="0.25">
      <c r="A2" s="117" t="s">
        <v>93</v>
      </c>
      <c r="B2" s="206">
        <v>0.11</v>
      </c>
      <c r="D2" s="217" t="s">
        <v>152</v>
      </c>
    </row>
    <row r="3" spans="1:6" x14ac:dyDescent="0.25">
      <c r="A3" s="117" t="s">
        <v>138</v>
      </c>
      <c r="B3" s="117">
        <v>100</v>
      </c>
    </row>
    <row r="4" spans="1:6" x14ac:dyDescent="0.25">
      <c r="A4" s="207"/>
      <c r="B4" s="208"/>
    </row>
    <row r="5" spans="1:6" x14ac:dyDescent="0.25">
      <c r="A5" s="117" t="s">
        <v>139</v>
      </c>
      <c r="B5" s="117">
        <v>6</v>
      </c>
    </row>
    <row r="6" spans="1:6" x14ac:dyDescent="0.25">
      <c r="A6" s="117" t="s">
        <v>140</v>
      </c>
      <c r="B6" s="117">
        <v>400</v>
      </c>
    </row>
    <row r="7" spans="1:6" x14ac:dyDescent="0.25">
      <c r="A7" s="30" t="s">
        <v>141</v>
      </c>
      <c r="B7" s="200">
        <f>(B3*B6)/(1+B2)^B5</f>
        <v>21385.633443551662</v>
      </c>
    </row>
    <row r="8" spans="1:6" x14ac:dyDescent="0.25">
      <c r="A8" s="207"/>
      <c r="B8" s="209"/>
    </row>
    <row r="9" spans="1:6" x14ac:dyDescent="0.25">
      <c r="A9" s="117" t="s">
        <v>144</v>
      </c>
      <c r="B9" s="117">
        <v>2</v>
      </c>
    </row>
    <row r="10" spans="1:6" x14ac:dyDescent="0.25">
      <c r="A10" s="117" t="s">
        <v>145</v>
      </c>
      <c r="B10" s="117">
        <v>100</v>
      </c>
    </row>
    <row r="11" spans="1:6" x14ac:dyDescent="0.25">
      <c r="A11" s="30" t="s">
        <v>142</v>
      </c>
      <c r="B11" s="200">
        <f>(B3*B10)/(1+B2)^B9</f>
        <v>8116.2243324405472</v>
      </c>
    </row>
    <row r="12" spans="1:6" x14ac:dyDescent="0.25">
      <c r="A12" s="207"/>
      <c r="B12" s="209"/>
    </row>
    <row r="13" spans="1:6" x14ac:dyDescent="0.25">
      <c r="A13" s="117" t="s">
        <v>146</v>
      </c>
      <c r="B13" s="117">
        <v>7</v>
      </c>
    </row>
    <row r="14" spans="1:6" x14ac:dyDescent="0.25">
      <c r="A14" s="117" t="s">
        <v>147</v>
      </c>
      <c r="B14" s="117">
        <v>400</v>
      </c>
    </row>
    <row r="15" spans="1:6" x14ac:dyDescent="0.25">
      <c r="A15" s="30" t="s">
        <v>143</v>
      </c>
      <c r="B15" s="200">
        <f>(B3*B14)/(1+B2)^B13</f>
        <v>19266.336435632125</v>
      </c>
    </row>
    <row r="16" spans="1:6" x14ac:dyDescent="0.25">
      <c r="A16" s="5"/>
    </row>
    <row r="17" spans="1:5" x14ac:dyDescent="0.25">
      <c r="A17" s="202" t="s">
        <v>148</v>
      </c>
      <c r="B17" s="300" t="s">
        <v>149</v>
      </c>
      <c r="C17" s="300"/>
      <c r="D17" s="300"/>
      <c r="E17" s="300"/>
    </row>
    <row r="18" spans="1:5" x14ac:dyDescent="0.25">
      <c r="A18" s="203">
        <v>2737.3609999999999</v>
      </c>
      <c r="B18" s="205">
        <f>(2*A18)+6*(B7-A18)-(7*B7)</f>
        <v>-32335.077443551665</v>
      </c>
      <c r="C18" s="205">
        <f>6*A18+7*(B7-A18)-(6*B7)</f>
        <v>18648.272443551657</v>
      </c>
      <c r="D18" s="205">
        <f>(2*A18)+7*(B7-A18)-(6*B7)</f>
        <v>7698.8284435516689</v>
      </c>
      <c r="E18" s="205">
        <f>(6*A18)+7*(B7-A18)-(2*B7)</f>
        <v>104190.80621775831</v>
      </c>
    </row>
    <row r="19" spans="1:5" x14ac:dyDescent="0.25">
      <c r="A19" s="203">
        <v>5517.4930000000004</v>
      </c>
      <c r="B19" s="205">
        <f>(2*A19)+6*(B7-A19)-(7*B7)</f>
        <v>-43455.605443551656</v>
      </c>
      <c r="C19" s="205">
        <f>6*A19+7*(B7-A19)-(6*B7)</f>
        <v>15868.140443551645</v>
      </c>
      <c r="D19" s="205">
        <f>(2*A19)+7*(B7-A19)-(6*B7)</f>
        <v>-6201.8315564483346</v>
      </c>
      <c r="E19" s="205">
        <f>(6*A19)+7*(B7-A19)-(2*B7)</f>
        <v>101410.67421775829</v>
      </c>
    </row>
    <row r="20" spans="1:5" x14ac:dyDescent="0.25">
      <c r="A20" s="203">
        <v>6287.3760000000002</v>
      </c>
      <c r="B20" s="205">
        <f>(2*A20)+6*(B7-A20)-(7*B7)</f>
        <v>-46535.137443551648</v>
      </c>
      <c r="C20" s="205">
        <f>6*A20+7*(B7-A20)-(6*B7)</f>
        <v>15098.257443551673</v>
      </c>
      <c r="D20" s="205">
        <f>(2*A20)+7*(B7-A20)-(6*B7)</f>
        <v>-10051.246556448343</v>
      </c>
      <c r="E20" s="205">
        <f>(6*A20)+7*(B7-A20)-(2*B7)</f>
        <v>100640.79121775832</v>
      </c>
    </row>
    <row r="21" spans="1:5" x14ac:dyDescent="0.25">
      <c r="A21" s="204">
        <v>4277.1270000000004</v>
      </c>
      <c r="B21" s="205">
        <f>(2*A21)+6*(B7-A21)-(7*B7)</f>
        <v>-38494.141443551664</v>
      </c>
      <c r="C21" s="205">
        <f>6*A21+7*(B7-A21)-(6*B7)</f>
        <v>17108.506443551683</v>
      </c>
      <c r="D21" s="200">
        <f>(2*A21)+7*(B7-A21)-(6*B7)</f>
        <v>-1.5564483328489587E-3</v>
      </c>
      <c r="E21" s="205">
        <f>(6*A21)+7*(B7-A21)-(2*B7)</f>
        <v>102651.04021775833</v>
      </c>
    </row>
  </sheetData>
  <mergeCells count="2">
    <mergeCell ref="B17:E17"/>
    <mergeCell ref="A1:B1"/>
  </mergeCells>
  <pageMargins left="0.7" right="0.7" top="0.78740157499999996" bottom="0.78740157499999996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FF73C-A423-4273-84DB-678188C2277E}">
  <dimension ref="A1:G19"/>
  <sheetViews>
    <sheetView workbookViewId="0">
      <selection activeCell="A21" sqref="A21"/>
    </sheetView>
  </sheetViews>
  <sheetFormatPr baseColWidth="10" defaultRowHeight="15" x14ac:dyDescent="0.25"/>
  <cols>
    <col min="2" max="2" width="13.5703125" bestFit="1" customWidth="1"/>
    <col min="3" max="3" width="23.42578125" bestFit="1" customWidth="1"/>
  </cols>
  <sheetData>
    <row r="1" spans="1:7" x14ac:dyDescent="0.25">
      <c r="D1" s="303" t="s">
        <v>178</v>
      </c>
      <c r="E1" s="303"/>
      <c r="F1" s="303" t="s">
        <v>179</v>
      </c>
      <c r="G1" s="303"/>
    </row>
    <row r="2" spans="1:7" x14ac:dyDescent="0.25">
      <c r="A2" s="222"/>
      <c r="B2" s="225" t="s">
        <v>165</v>
      </c>
      <c r="C2" s="223">
        <v>0.12</v>
      </c>
      <c r="D2" s="224" t="s">
        <v>180</v>
      </c>
      <c r="E2" s="31">
        <v>3</v>
      </c>
      <c r="F2" s="224" t="s">
        <v>180</v>
      </c>
      <c r="G2" s="31">
        <v>8</v>
      </c>
    </row>
    <row r="3" spans="1:7" x14ac:dyDescent="0.25">
      <c r="A3" s="304" t="s">
        <v>181</v>
      </c>
      <c r="B3" s="211">
        <v>4</v>
      </c>
      <c r="C3" s="31">
        <v>900</v>
      </c>
      <c r="D3" s="31"/>
      <c r="E3" s="31">
        <v>250</v>
      </c>
      <c r="F3" s="31"/>
      <c r="G3" s="31">
        <v>200</v>
      </c>
    </row>
    <row r="4" spans="1:7" x14ac:dyDescent="0.25">
      <c r="A4" s="304"/>
      <c r="B4" s="211">
        <v>6</v>
      </c>
      <c r="C4" s="31">
        <v>1300</v>
      </c>
      <c r="D4" s="210"/>
    </row>
    <row r="5" spans="1:7" x14ac:dyDescent="0.25">
      <c r="A5" s="304"/>
      <c r="B5" s="211">
        <v>7</v>
      </c>
      <c r="C5" s="31">
        <v>3700</v>
      </c>
      <c r="D5" s="210"/>
    </row>
    <row r="7" spans="1:7" x14ac:dyDescent="0.25">
      <c r="A7" s="30" t="s">
        <v>159</v>
      </c>
      <c r="B7" s="33" t="s">
        <v>182</v>
      </c>
      <c r="C7" s="226">
        <f>C3/(1+C2)^B3+C4/(1+C2)^B4+C5/(1+C2)^B5</f>
        <v>2904.2788248413708</v>
      </c>
    </row>
    <row r="8" spans="1:7" x14ac:dyDescent="0.25">
      <c r="B8" s="199"/>
      <c r="C8" s="199"/>
    </row>
    <row r="9" spans="1:7" x14ac:dyDescent="0.25">
      <c r="A9" s="30" t="s">
        <v>183</v>
      </c>
      <c r="B9" s="217" t="s">
        <v>152</v>
      </c>
      <c r="C9" s="199"/>
    </row>
    <row r="10" spans="1:7" x14ac:dyDescent="0.25">
      <c r="B10" s="199"/>
      <c r="C10" s="199"/>
    </row>
    <row r="11" spans="1:7" x14ac:dyDescent="0.25">
      <c r="A11" s="30" t="s">
        <v>162</v>
      </c>
      <c r="B11" s="31" t="s">
        <v>189</v>
      </c>
      <c r="C11" s="31">
        <v>6</v>
      </c>
    </row>
    <row r="12" spans="1:7" x14ac:dyDescent="0.25">
      <c r="B12" s="33" t="s">
        <v>188</v>
      </c>
      <c r="C12" s="217">
        <f>C4/(C7*(1+C2)^B4)</f>
        <v>0.22677590453681393</v>
      </c>
    </row>
    <row r="13" spans="1:7" x14ac:dyDescent="0.25">
      <c r="B13" s="199"/>
      <c r="C13" s="199"/>
    </row>
    <row r="14" spans="1:7" x14ac:dyDescent="0.25">
      <c r="A14" s="30" t="s">
        <v>184</v>
      </c>
      <c r="B14" s="33" t="s">
        <v>188</v>
      </c>
      <c r="C14" s="217">
        <f>B3*(C3/(C7*(1+C2)^B3))+B4*(C4/(C7*(1+C2)^B4))+B5*(C5/(C7*(1+C2)^B5))</f>
        <v>6.1824065758034585</v>
      </c>
    </row>
    <row r="15" spans="1:7" x14ac:dyDescent="0.25">
      <c r="B15" s="199"/>
      <c r="C15" s="199"/>
    </row>
    <row r="16" spans="1:7" x14ac:dyDescent="0.25">
      <c r="A16" s="30" t="s">
        <v>174</v>
      </c>
      <c r="B16" s="33" t="s">
        <v>186</v>
      </c>
      <c r="C16" s="217" t="s">
        <v>190</v>
      </c>
    </row>
    <row r="17" spans="1:3" x14ac:dyDescent="0.25">
      <c r="B17" s="33" t="s">
        <v>187</v>
      </c>
      <c r="C17" s="217" t="s">
        <v>191</v>
      </c>
    </row>
    <row r="18" spans="1:3" x14ac:dyDescent="0.25">
      <c r="B18" s="199"/>
      <c r="C18" s="199"/>
    </row>
    <row r="19" spans="1:3" x14ac:dyDescent="0.25">
      <c r="A19" s="30" t="s">
        <v>176</v>
      </c>
      <c r="B19" s="33" t="s">
        <v>185</v>
      </c>
      <c r="C19" s="226">
        <f>(G2*C7-C14*C7)/5</f>
        <v>1055.7596188129871</v>
      </c>
    </row>
  </sheetData>
  <mergeCells count="3">
    <mergeCell ref="D1:E1"/>
    <mergeCell ref="F1:G1"/>
    <mergeCell ref="A3:A5"/>
  </mergeCells>
  <pageMargins left="0.7" right="0.7" top="0.78740157499999996" bottom="0.78740157499999996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ED6AF-1DCA-4B55-A466-B8720EB4F9C1}">
  <dimension ref="A1:F7"/>
  <sheetViews>
    <sheetView tabSelected="1" workbookViewId="0">
      <selection activeCell="B8" sqref="B8"/>
    </sheetView>
  </sheetViews>
  <sheetFormatPr baseColWidth="10" defaultRowHeight="15" x14ac:dyDescent="0.25"/>
  <cols>
    <col min="3" max="3" width="12.140625" bestFit="1" customWidth="1"/>
  </cols>
  <sheetData>
    <row r="1" spans="1:6" x14ac:dyDescent="0.25">
      <c r="B1" s="212"/>
      <c r="C1" s="46" t="s">
        <v>153</v>
      </c>
      <c r="D1" s="46" t="s">
        <v>154</v>
      </c>
      <c r="E1" s="300" t="s">
        <v>155</v>
      </c>
      <c r="F1" s="300"/>
    </row>
    <row r="2" spans="1:6" x14ac:dyDescent="0.25">
      <c r="B2" s="117" t="s">
        <v>156</v>
      </c>
      <c r="C2" s="31">
        <v>970</v>
      </c>
      <c r="D2" s="31">
        <v>1070</v>
      </c>
      <c r="E2" s="211" t="s">
        <v>163</v>
      </c>
      <c r="F2" s="206">
        <v>0.09</v>
      </c>
    </row>
    <row r="3" spans="1:6" x14ac:dyDescent="0.25">
      <c r="B3" s="117" t="s">
        <v>157</v>
      </c>
      <c r="C3" s="31">
        <v>940</v>
      </c>
      <c r="D3" s="31">
        <v>1000</v>
      </c>
      <c r="E3" s="211" t="s">
        <v>158</v>
      </c>
      <c r="F3" s="117">
        <v>900</v>
      </c>
    </row>
    <row r="4" spans="1:6" x14ac:dyDescent="0.25">
      <c r="E4" s="210"/>
    </row>
    <row r="5" spans="1:6" x14ac:dyDescent="0.25">
      <c r="A5" s="30" t="s">
        <v>159</v>
      </c>
      <c r="B5" s="214" t="s">
        <v>164</v>
      </c>
      <c r="C5" s="213">
        <f>C2/C3-1</f>
        <v>3.1914893617021267E-2</v>
      </c>
      <c r="D5" s="213">
        <f>(D2/D3)^0.5-1</f>
        <v>3.4408043278860045E-2</v>
      </c>
    </row>
    <row r="7" spans="1:6" x14ac:dyDescent="0.25">
      <c r="A7" s="30" t="s">
        <v>160</v>
      </c>
      <c r="B7" s="214" t="s">
        <v>161</v>
      </c>
      <c r="C7" s="213">
        <f>F2*F3*(1+C5)^(-1)+(F2*F3+F3)*(1+D5)^(-2)</f>
        <v>995.31727526736677</v>
      </c>
    </row>
  </sheetData>
  <mergeCells count="1">
    <mergeCell ref="E1:F1"/>
  </mergeCells>
  <pageMargins left="0.7" right="0.7" top="0.78740157499999996" bottom="0.78740157499999996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DAB17-0EDC-4B0D-AE4F-7F664790E418}">
  <dimension ref="A1:F14"/>
  <sheetViews>
    <sheetView workbookViewId="0">
      <selection activeCell="A17" sqref="A17"/>
    </sheetView>
  </sheetViews>
  <sheetFormatPr baseColWidth="10" defaultRowHeight="15" x14ac:dyDescent="0.25"/>
  <cols>
    <col min="2" max="2" width="14.28515625" bestFit="1" customWidth="1"/>
    <col min="4" max="4" width="14.85546875" customWidth="1"/>
    <col min="5" max="5" width="52.42578125" bestFit="1" customWidth="1"/>
  </cols>
  <sheetData>
    <row r="1" spans="1:6" x14ac:dyDescent="0.25">
      <c r="B1" s="117" t="s">
        <v>180</v>
      </c>
      <c r="C1" s="31">
        <v>7</v>
      </c>
    </row>
    <row r="2" spans="1:6" x14ac:dyDescent="0.25">
      <c r="B2" s="117" t="s">
        <v>156</v>
      </c>
      <c r="C2" s="31">
        <v>1100</v>
      </c>
    </row>
    <row r="3" spans="1:6" x14ac:dyDescent="0.25">
      <c r="B3" s="117" t="s">
        <v>106</v>
      </c>
      <c r="C3" s="219">
        <v>0.08</v>
      </c>
    </row>
    <row r="4" spans="1:6" x14ac:dyDescent="0.25">
      <c r="B4" s="117" t="s">
        <v>194</v>
      </c>
      <c r="C4" s="219">
        <v>0.09</v>
      </c>
    </row>
    <row r="5" spans="1:6" x14ac:dyDescent="0.25">
      <c r="C5" s="199"/>
    </row>
    <row r="6" spans="1:6" x14ac:dyDescent="0.25">
      <c r="A6" s="229" t="s">
        <v>159</v>
      </c>
      <c r="B6" s="203" t="s">
        <v>195</v>
      </c>
      <c r="C6" s="217">
        <f>(C4*C2)/(1+C3)+(C4*C2)/(1+C3)^2+(C4*C2)/(1+C3)^3+(C4*C2)/(1+C3)^4+(C4*C2)/(1+C3)^5+(C4*C2)/(1+C3)^6+(C4*C2+C2)/(1+C3)^7</f>
        <v>1157.2700706514561</v>
      </c>
    </row>
    <row r="7" spans="1:6" x14ac:dyDescent="0.25">
      <c r="A7" s="10"/>
      <c r="B7" s="231" t="s">
        <v>198</v>
      </c>
      <c r="C7" s="230">
        <v>1</v>
      </c>
    </row>
    <row r="8" spans="1:6" x14ac:dyDescent="0.25">
      <c r="B8" s="203" t="s">
        <v>220</v>
      </c>
      <c r="C8" s="217">
        <f>(C4*C2)/(1+C3)+(C4*C2)/(1+C3)^2+(C4*C2)/(1+C3)^3+(C4*C2)/(1+C3)^4+(C4*C2)/(1+C3)^5+(C4*C2+C2)/(1+C3)^6</f>
        <v>1150.8516763035727</v>
      </c>
      <c r="D8" s="232"/>
      <c r="E8" s="30" t="s">
        <v>199</v>
      </c>
      <c r="F8" s="213">
        <f>C2*C4</f>
        <v>99</v>
      </c>
    </row>
    <row r="9" spans="1:6" x14ac:dyDescent="0.25">
      <c r="B9" s="203" t="s">
        <v>196</v>
      </c>
      <c r="C9" s="217">
        <f>(C2*C4+C8-C6)/C6</f>
        <v>8.000000000000014E-2</v>
      </c>
      <c r="E9" s="30" t="s">
        <v>197</v>
      </c>
    </row>
    <row r="10" spans="1:6" x14ac:dyDescent="0.25">
      <c r="C10" s="199"/>
    </row>
    <row r="11" spans="1:6" x14ac:dyDescent="0.25">
      <c r="A11" s="229" t="s">
        <v>160</v>
      </c>
      <c r="B11" s="233" t="s">
        <v>106</v>
      </c>
      <c r="C11" s="219">
        <v>0.1</v>
      </c>
    </row>
    <row r="12" spans="1:6" x14ac:dyDescent="0.25">
      <c r="B12" s="203" t="s">
        <v>195</v>
      </c>
      <c r="C12" s="217">
        <f>(C2*C4)/(1+C11)+(C2*C4)/(1+C11)^2+(C2*C4)/(1+C11)^3+(C2*C4)/(1+C11)^4+(C2*C4)/(1+C11)^5+(C2*C4+C2)/(1+C11)^6</f>
        <v>1052.0921323059151</v>
      </c>
    </row>
    <row r="13" spans="1:6" x14ac:dyDescent="0.25">
      <c r="B13" s="203" t="s">
        <v>221</v>
      </c>
      <c r="C13" s="217">
        <f>(C2*C4)/(1+C11)+(C2*C4)/(1+C11)^2+(C2*C4)/(1+C11)^3+(C2*C4)/(1+C11)^4+(C2*C4+C2)/(1+C11)^5</f>
        <v>1058.3013455365067</v>
      </c>
    </row>
    <row r="14" spans="1:6" x14ac:dyDescent="0.25">
      <c r="B14" s="203" t="s">
        <v>196</v>
      </c>
      <c r="C14" s="217">
        <f>(C2*C4+C13-C12)/C12</f>
        <v>0.10000000000000005</v>
      </c>
    </row>
  </sheetData>
  <pageMargins left="0.7" right="0.7" top="0.78740157499999996" bottom="0.78740157499999996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2CCA9-DEF9-4569-A605-E3E51FE3E284}">
  <dimension ref="A1:C22"/>
  <sheetViews>
    <sheetView workbookViewId="0">
      <selection activeCell="A24" sqref="A24"/>
    </sheetView>
  </sheetViews>
  <sheetFormatPr baseColWidth="10" defaultRowHeight="15" x14ac:dyDescent="0.25"/>
  <cols>
    <col min="2" max="2" width="13.140625" bestFit="1" customWidth="1"/>
    <col min="3" max="3" width="17" bestFit="1" customWidth="1"/>
  </cols>
  <sheetData>
    <row r="1" spans="1:3" x14ac:dyDescent="0.25">
      <c r="B1" s="211" t="s">
        <v>165</v>
      </c>
      <c r="C1" s="219">
        <v>0.11</v>
      </c>
    </row>
    <row r="2" spans="1:3" x14ac:dyDescent="0.25">
      <c r="B2" s="211" t="s">
        <v>167</v>
      </c>
      <c r="C2" s="31">
        <v>4</v>
      </c>
    </row>
    <row r="3" spans="1:3" x14ac:dyDescent="0.25">
      <c r="B3" s="211" t="s">
        <v>168</v>
      </c>
      <c r="C3" s="219">
        <v>0.05</v>
      </c>
    </row>
    <row r="4" spans="1:3" x14ac:dyDescent="0.25">
      <c r="B4" s="211" t="s">
        <v>158</v>
      </c>
      <c r="C4" s="31">
        <v>100</v>
      </c>
    </row>
    <row r="6" spans="1:3" x14ac:dyDescent="0.25">
      <c r="A6" s="30" t="s">
        <v>169</v>
      </c>
      <c r="B6" s="218" t="s">
        <v>170</v>
      </c>
      <c r="C6" s="217">
        <f>(C3*C4)/(1+C1)+(C3*C4)/(1+C1)^2+(C3*C4)/(1+C1)^3+(C3*C4+C4)/(1+C1)^4</f>
        <v>81.38532586245455</v>
      </c>
    </row>
    <row r="8" spans="1:3" x14ac:dyDescent="0.25">
      <c r="A8" s="30" t="s">
        <v>162</v>
      </c>
      <c r="B8" s="211" t="s">
        <v>166</v>
      </c>
      <c r="C8" s="31">
        <v>108</v>
      </c>
    </row>
    <row r="9" spans="1:3" x14ac:dyDescent="0.25">
      <c r="B9" s="218" t="s">
        <v>171</v>
      </c>
      <c r="C9" s="217">
        <f>((C4+C2*C3*C4)/C8)^(1/C2)-1</f>
        <v>2.6690096080340897E-2</v>
      </c>
    </row>
    <row r="10" spans="1:3" x14ac:dyDescent="0.25">
      <c r="B10" s="218" t="s">
        <v>173</v>
      </c>
      <c r="C10" s="220" t="s">
        <v>172</v>
      </c>
    </row>
    <row r="12" spans="1:3" x14ac:dyDescent="0.25">
      <c r="A12" s="30" t="s">
        <v>192</v>
      </c>
      <c r="B12" s="228" t="s">
        <v>171</v>
      </c>
      <c r="C12" s="217" t="s">
        <v>193</v>
      </c>
    </row>
    <row r="15" spans="1:3" x14ac:dyDescent="0.25">
      <c r="A15" s="30" t="s">
        <v>174</v>
      </c>
      <c r="B15" s="218" t="s">
        <v>171</v>
      </c>
      <c r="C15" s="227">
        <f>0.065</f>
        <v>6.5000000000000002E-2</v>
      </c>
    </row>
    <row r="16" spans="1:3" x14ac:dyDescent="0.25">
      <c r="B16" s="218" t="s">
        <v>175</v>
      </c>
      <c r="C16" s="216">
        <f>(C3*C4)/(1+C15)+(C3*C4)/(1+C15)^2+(C3*C4)/(1+C15)^3+(C3*C4+C4)/(1+C15)^4</f>
        <v>94.861302097572732</v>
      </c>
    </row>
    <row r="19" spans="1:3" x14ac:dyDescent="0.25">
      <c r="A19" s="30" t="s">
        <v>176</v>
      </c>
      <c r="B19" s="218" t="s">
        <v>171</v>
      </c>
      <c r="C19" s="217">
        <f>((C4+C2*C3*C4)/C20)^(1/C2)-1</f>
        <v>3.3946307914341167E-2</v>
      </c>
    </row>
    <row r="20" spans="1:3" x14ac:dyDescent="0.25">
      <c r="B20" s="211" t="s">
        <v>175</v>
      </c>
      <c r="C20" s="221">
        <f>105</f>
        <v>105</v>
      </c>
    </row>
    <row r="22" spans="1:3" x14ac:dyDescent="0.25">
      <c r="A22" s="30" t="s">
        <v>174</v>
      </c>
      <c r="B22" s="217">
        <v>1</v>
      </c>
      <c r="C22" s="217" t="s">
        <v>177</v>
      </c>
    </row>
  </sheetData>
  <pageMargins left="0.7" right="0.7" top="0.78740157499999996" bottom="0.78740157499999996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98DFE-FDFC-4305-82A3-B5FF41F885F7}">
  <dimension ref="A1:I22"/>
  <sheetViews>
    <sheetView workbookViewId="0">
      <selection activeCell="A18" sqref="A18"/>
    </sheetView>
  </sheetViews>
  <sheetFormatPr baseColWidth="10" defaultRowHeight="15" x14ac:dyDescent="0.25"/>
  <cols>
    <col min="2" max="2" width="12.7109375" bestFit="1" customWidth="1"/>
    <col min="3" max="3" width="16.7109375" bestFit="1" customWidth="1"/>
  </cols>
  <sheetData>
    <row r="1" spans="1:9" x14ac:dyDescent="0.25">
      <c r="B1" s="305" t="s">
        <v>200</v>
      </c>
      <c r="C1" s="305"/>
      <c r="D1" s="305" t="s">
        <v>201</v>
      </c>
      <c r="E1" s="305"/>
      <c r="F1" s="234" t="s">
        <v>202</v>
      </c>
      <c r="G1" s="31">
        <v>-0.6</v>
      </c>
    </row>
    <row r="2" spans="1:9" x14ac:dyDescent="0.25">
      <c r="B2" s="225" t="s">
        <v>203</v>
      </c>
      <c r="C2" s="31">
        <v>0.12</v>
      </c>
      <c r="D2" s="225" t="s">
        <v>204</v>
      </c>
      <c r="E2" s="31">
        <v>0.36</v>
      </c>
      <c r="F2" s="234" t="s">
        <v>205</v>
      </c>
      <c r="G2" s="31">
        <v>0.04</v>
      </c>
    </row>
    <row r="3" spans="1:9" x14ac:dyDescent="0.25">
      <c r="B3" s="225" t="s">
        <v>206</v>
      </c>
      <c r="C3" s="31">
        <v>0.06</v>
      </c>
      <c r="D3" s="225" t="s">
        <v>207</v>
      </c>
      <c r="E3" s="31">
        <v>0.3</v>
      </c>
      <c r="F3" s="234" t="s">
        <v>208</v>
      </c>
      <c r="G3" s="31" t="s">
        <v>209</v>
      </c>
    </row>
    <row r="5" spans="1:9" x14ac:dyDescent="0.25">
      <c r="A5" s="30" t="s">
        <v>159</v>
      </c>
      <c r="B5" s="217" t="s">
        <v>159</v>
      </c>
    </row>
    <row r="6" spans="1:9" x14ac:dyDescent="0.25">
      <c r="B6" s="199"/>
    </row>
    <row r="7" spans="1:9" x14ac:dyDescent="0.25">
      <c r="A7" s="30" t="s">
        <v>160</v>
      </c>
      <c r="B7" s="217" t="s">
        <v>210</v>
      </c>
    </row>
    <row r="9" spans="1:9" x14ac:dyDescent="0.25">
      <c r="A9" s="30" t="s">
        <v>162</v>
      </c>
      <c r="B9" s="229" t="s">
        <v>222</v>
      </c>
      <c r="C9" s="218" t="s">
        <v>211</v>
      </c>
      <c r="D9" s="30">
        <f>C2*F9+E2*F10-G2</f>
        <v>0.11818203982150399</v>
      </c>
      <c r="E9" s="218" t="s">
        <v>212</v>
      </c>
      <c r="F9" s="213">
        <v>0.84090816741040031</v>
      </c>
      <c r="H9" s="210" t="s">
        <v>213</v>
      </c>
      <c r="I9" t="s">
        <v>214</v>
      </c>
    </row>
    <row r="10" spans="1:9" x14ac:dyDescent="0.25">
      <c r="C10" s="218" t="s">
        <v>215</v>
      </c>
      <c r="D10" s="30">
        <f>(F9^2*C3^2+F10^2*E3^2+2*G1*C3*E3*F9*F10)^0.5</f>
        <v>4.3976033828454268E-2</v>
      </c>
      <c r="E10" s="218" t="s">
        <v>216</v>
      </c>
      <c r="F10" s="213">
        <v>0.15909183258959989</v>
      </c>
    </row>
    <row r="11" spans="1:9" x14ac:dyDescent="0.25">
      <c r="C11" s="218" t="s">
        <v>224</v>
      </c>
      <c r="D11" s="30">
        <f>D9/D10</f>
        <v>2.6874192493693108</v>
      </c>
      <c r="E11" s="117" t="s">
        <v>217</v>
      </c>
      <c r="F11" s="117">
        <f>F9+F10</f>
        <v>1.0000000000000002</v>
      </c>
    </row>
    <row r="13" spans="1:9" x14ac:dyDescent="0.25">
      <c r="A13" s="30" t="s">
        <v>192</v>
      </c>
      <c r="B13" s="218" t="s">
        <v>225</v>
      </c>
      <c r="C13" s="213" t="s">
        <v>218</v>
      </c>
    </row>
    <row r="15" spans="1:9" x14ac:dyDescent="0.25">
      <c r="A15" s="30" t="s">
        <v>174</v>
      </c>
      <c r="B15" s="216" t="s">
        <v>219</v>
      </c>
      <c r="C15" s="237"/>
    </row>
    <row r="22" spans="8:8" x14ac:dyDescent="0.25">
      <c r="H22" t="s">
        <v>223</v>
      </c>
    </row>
  </sheetData>
  <mergeCells count="2">
    <mergeCell ref="B1:C1"/>
    <mergeCell ref="D1:E1"/>
  </mergeCells>
  <pageMargins left="0.7" right="0.7" top="0.78740157499999996" bottom="0.78740157499999996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8EC64-289D-4884-B7C6-011BF3BDB9BF}">
  <dimension ref="A1:G6"/>
  <sheetViews>
    <sheetView workbookViewId="0">
      <selection activeCell="C37" sqref="C37"/>
    </sheetView>
  </sheetViews>
  <sheetFormatPr baseColWidth="10" defaultRowHeight="15" x14ac:dyDescent="0.25"/>
  <sheetData>
    <row r="1" spans="1:7" x14ac:dyDescent="0.25">
      <c r="B1" s="305" t="s">
        <v>226</v>
      </c>
      <c r="C1" s="305"/>
      <c r="D1" s="305" t="s">
        <v>227</v>
      </c>
      <c r="E1" s="305"/>
      <c r="F1" s="225" t="s">
        <v>205</v>
      </c>
      <c r="G1" s="206">
        <v>0.04</v>
      </c>
    </row>
    <row r="2" spans="1:7" x14ac:dyDescent="0.25">
      <c r="B2" s="225" t="s">
        <v>228</v>
      </c>
      <c r="C2" s="117">
        <v>1</v>
      </c>
      <c r="D2" s="225" t="s">
        <v>229</v>
      </c>
      <c r="E2" s="117">
        <v>1.1000000000000001</v>
      </c>
    </row>
    <row r="3" spans="1:7" x14ac:dyDescent="0.25">
      <c r="B3" s="225" t="s">
        <v>203</v>
      </c>
      <c r="C3" s="206">
        <v>0.12</v>
      </c>
      <c r="D3" s="225" t="s">
        <v>204</v>
      </c>
      <c r="E3" s="206">
        <v>0.23</v>
      </c>
    </row>
    <row r="5" spans="1:7" x14ac:dyDescent="0.25">
      <c r="A5" s="30" t="s">
        <v>159</v>
      </c>
      <c r="B5" s="30" t="s">
        <v>230</v>
      </c>
      <c r="C5" s="235">
        <f>G1+(C2*(C3-G1))</f>
        <v>0.12</v>
      </c>
    </row>
    <row r="6" spans="1:7" x14ac:dyDescent="0.25">
      <c r="B6" s="30" t="s">
        <v>231</v>
      </c>
      <c r="C6" s="236">
        <f>G1+(E2*(E3-G1))</f>
        <v>0.24900000000000003</v>
      </c>
      <c r="D6" s="237"/>
    </row>
  </sheetData>
  <mergeCells count="2">
    <mergeCell ref="B1:C1"/>
    <mergeCell ref="D1:E1"/>
  </mergeCells>
  <pageMargins left="0.7" right="0.7" top="0.78740157499999996" bottom="0.78740157499999996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F0DB1-F69C-4460-8D3B-2BB2CD709C48}">
  <dimension ref="A3:B5"/>
  <sheetViews>
    <sheetView workbookViewId="0">
      <selection activeCell="B5" sqref="B5"/>
    </sheetView>
  </sheetViews>
  <sheetFormatPr baseColWidth="10" defaultRowHeight="15" x14ac:dyDescent="0.25"/>
  <cols>
    <col min="1" max="1" width="33.5703125" bestFit="1" customWidth="1"/>
    <col min="2" max="2" width="12" bestFit="1" customWidth="1"/>
  </cols>
  <sheetData>
    <row r="3" spans="1:2" x14ac:dyDescent="0.25">
      <c r="A3" s="30" t="s">
        <v>232</v>
      </c>
      <c r="B3" s="306" t="s">
        <v>233</v>
      </c>
    </row>
    <row r="5" spans="1:2" x14ac:dyDescent="0.25">
      <c r="A5" s="213" t="s">
        <v>234</v>
      </c>
      <c r="B5" s="307" t="s">
        <v>235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2FAB5-5A49-4D6A-A21C-02AD3BF7C221}">
  <dimension ref="A3:B5"/>
  <sheetViews>
    <sheetView workbookViewId="0">
      <selection activeCell="B10" sqref="B10"/>
    </sheetView>
  </sheetViews>
  <sheetFormatPr baseColWidth="10" defaultRowHeight="15" x14ac:dyDescent="0.25"/>
  <cols>
    <col min="1" max="1" width="33.5703125" bestFit="1" customWidth="1"/>
  </cols>
  <sheetData>
    <row r="3" spans="1:2" x14ac:dyDescent="0.25">
      <c r="A3" s="30" t="s">
        <v>232</v>
      </c>
      <c r="B3" s="306" t="s">
        <v>233</v>
      </c>
    </row>
    <row r="5" spans="1:2" x14ac:dyDescent="0.25">
      <c r="A5" s="213" t="s">
        <v>234</v>
      </c>
      <c r="B5" s="307" t="s">
        <v>235</v>
      </c>
    </row>
  </sheetData>
  <pageMargins left="0.7" right="0.7" top="0.78740157499999996" bottom="0.78740157499999996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A688D-7D5F-4AFC-B7A7-A5E2A86162D3}">
  <dimension ref="A2:B4"/>
  <sheetViews>
    <sheetView workbookViewId="0">
      <selection activeCell="A7" sqref="A7"/>
    </sheetView>
  </sheetViews>
  <sheetFormatPr baseColWidth="10" defaultRowHeight="15" x14ac:dyDescent="0.25"/>
  <cols>
    <col min="1" max="1" width="29.28515625" bestFit="1" customWidth="1"/>
  </cols>
  <sheetData>
    <row r="2" spans="1:2" x14ac:dyDescent="0.25">
      <c r="A2" s="117" t="s">
        <v>236</v>
      </c>
      <c r="B2" s="31">
        <v>23</v>
      </c>
    </row>
    <row r="3" spans="1:2" x14ac:dyDescent="0.25">
      <c r="A3" s="117" t="s">
        <v>237</v>
      </c>
      <c r="B3" s="31">
        <v>0.1</v>
      </c>
    </row>
    <row r="4" spans="1:2" x14ac:dyDescent="0.25">
      <c r="A4" s="30" t="s">
        <v>19</v>
      </c>
      <c r="B4" s="226">
        <f>B3/SQRT(B2)</f>
        <v>2.085144140570748E-2</v>
      </c>
    </row>
  </sheetData>
  <pageMargins left="0.7" right="0.7" top="0.78740157499999996" bottom="0.78740157499999996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17EA1-69EB-4873-9196-165196993E0D}">
  <dimension ref="A1:J6"/>
  <sheetViews>
    <sheetView workbookViewId="0">
      <selection activeCell="B10" sqref="B10"/>
    </sheetView>
  </sheetViews>
  <sheetFormatPr baseColWidth="10" defaultRowHeight="15" x14ac:dyDescent="0.25"/>
  <cols>
    <col min="1" max="1" width="33.140625" bestFit="1" customWidth="1"/>
    <col min="2" max="2" width="38.5703125" bestFit="1" customWidth="1"/>
    <col min="6" max="6" width="16.140625" bestFit="1" customWidth="1"/>
    <col min="8" max="8" width="16.140625" bestFit="1" customWidth="1"/>
    <col min="9" max="9" width="17" bestFit="1" customWidth="1"/>
    <col min="10" max="10" width="12.7109375" bestFit="1" customWidth="1"/>
  </cols>
  <sheetData>
    <row r="1" spans="1:10" x14ac:dyDescent="0.25">
      <c r="D1" s="31" t="s">
        <v>241</v>
      </c>
      <c r="E1" s="31" t="s">
        <v>245</v>
      </c>
      <c r="F1" s="31" t="s">
        <v>246</v>
      </c>
      <c r="G1" s="31" t="s">
        <v>247</v>
      </c>
      <c r="H1" s="31" t="s">
        <v>248</v>
      </c>
      <c r="I1" s="31" t="s">
        <v>249</v>
      </c>
      <c r="J1" s="31" t="s">
        <v>250</v>
      </c>
    </row>
    <row r="2" spans="1:10" x14ac:dyDescent="0.25">
      <c r="A2" s="117" t="s">
        <v>238</v>
      </c>
      <c r="B2" s="117" t="s">
        <v>239</v>
      </c>
      <c r="D2" s="31">
        <v>0.17</v>
      </c>
      <c r="E2" s="31">
        <v>0.8</v>
      </c>
      <c r="F2" s="31">
        <v>0.01</v>
      </c>
      <c r="G2" s="31">
        <v>0.3</v>
      </c>
      <c r="H2" s="31">
        <v>0.04</v>
      </c>
      <c r="I2" s="31">
        <v>0.09</v>
      </c>
      <c r="J2" s="31">
        <v>0.04</v>
      </c>
    </row>
    <row r="3" spans="1:10" x14ac:dyDescent="0.25">
      <c r="A3" s="308" t="s">
        <v>240</v>
      </c>
      <c r="B3" s="217" t="s">
        <v>241</v>
      </c>
    </row>
    <row r="4" spans="1:10" x14ac:dyDescent="0.25">
      <c r="A4" s="30" t="s">
        <v>242</v>
      </c>
      <c r="B4" s="217">
        <v>0</v>
      </c>
    </row>
    <row r="5" spans="1:10" x14ac:dyDescent="0.25">
      <c r="A5" s="308" t="s">
        <v>243</v>
      </c>
      <c r="B5" s="217">
        <f>SQRT(I2)</f>
        <v>0.3</v>
      </c>
    </row>
    <row r="6" spans="1:10" x14ac:dyDescent="0.25">
      <c r="A6" s="308" t="s">
        <v>244</v>
      </c>
      <c r="B6" s="217">
        <f>SQRT(0+E2^2*F2+G2^2*H2+I2)</f>
        <v>0.31622776601683794</v>
      </c>
    </row>
  </sheetData>
  <pageMargins left="0.7" right="0.7" top="0.78740157499999996" bottom="0.78740157499999996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4FC75-A7B5-42A0-971B-6DAC3DB23100}">
  <dimension ref="A2:B4"/>
  <sheetViews>
    <sheetView workbookViewId="0">
      <selection activeCell="A3" sqref="A3"/>
    </sheetView>
  </sheetViews>
  <sheetFormatPr baseColWidth="10" defaultRowHeight="15" x14ac:dyDescent="0.25"/>
  <cols>
    <col min="1" max="1" width="40.28515625" customWidth="1"/>
    <col min="2" max="2" width="52.42578125" bestFit="1" customWidth="1"/>
  </cols>
  <sheetData>
    <row r="2" spans="1:2" x14ac:dyDescent="0.25">
      <c r="B2" s="215" t="s">
        <v>254</v>
      </c>
    </row>
    <row r="3" spans="1:2" x14ac:dyDescent="0.25">
      <c r="A3" s="30" t="s">
        <v>251</v>
      </c>
      <c r="B3" s="213" t="s">
        <v>252</v>
      </c>
    </row>
    <row r="4" spans="1:2" x14ac:dyDescent="0.25">
      <c r="B4" s="213" t="s">
        <v>253</v>
      </c>
    </row>
  </sheetData>
  <phoneticPr fontId="12" type="noConversion"/>
  <pageMargins left="0.7" right="0.7" top="0.78740157499999996" bottom="0.78740157499999996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EB317-4DFB-4740-8D14-253FC85E1284}">
  <dimension ref="A2:B9"/>
  <sheetViews>
    <sheetView workbookViewId="0">
      <selection activeCell="A6" sqref="A6:B6"/>
    </sheetView>
  </sheetViews>
  <sheetFormatPr baseColWidth="10" defaultRowHeight="15" x14ac:dyDescent="0.25"/>
  <cols>
    <col min="1" max="1" width="36.85546875" bestFit="1" customWidth="1"/>
    <col min="2" max="2" width="17.7109375" bestFit="1" customWidth="1"/>
  </cols>
  <sheetData>
    <row r="2" spans="1:2" x14ac:dyDescent="0.25">
      <c r="A2" s="117" t="s">
        <v>255</v>
      </c>
      <c r="B2" s="31">
        <v>1.2</v>
      </c>
    </row>
    <row r="3" spans="1:2" x14ac:dyDescent="0.25">
      <c r="A3" s="117" t="s">
        <v>256</v>
      </c>
      <c r="B3" s="31">
        <v>0.02</v>
      </c>
    </row>
    <row r="4" spans="1:2" x14ac:dyDescent="0.25">
      <c r="A4" s="117" t="s">
        <v>241</v>
      </c>
      <c r="B4" s="31">
        <v>0.13</v>
      </c>
    </row>
    <row r="5" spans="1:2" x14ac:dyDescent="0.25">
      <c r="A5" s="308" t="s">
        <v>257</v>
      </c>
      <c r="B5" s="226">
        <f>B4-B3</f>
        <v>0.11</v>
      </c>
    </row>
    <row r="6" spans="1:2" x14ac:dyDescent="0.25">
      <c r="A6" s="308" t="s">
        <v>258</v>
      </c>
      <c r="B6" s="213" t="s">
        <v>260</v>
      </c>
    </row>
    <row r="7" spans="1:2" x14ac:dyDescent="0.25">
      <c r="A7" s="308" t="s">
        <v>259</v>
      </c>
      <c r="B7" s="217">
        <f>B3+B2*(B4-B3)</f>
        <v>0.152</v>
      </c>
    </row>
    <row r="8" spans="1:2" x14ac:dyDescent="0.25">
      <c r="A8" s="308" t="s">
        <v>261</v>
      </c>
      <c r="B8" s="309">
        <v>0.16</v>
      </c>
    </row>
    <row r="9" spans="1:2" x14ac:dyDescent="0.25">
      <c r="A9" s="308" t="s">
        <v>262</v>
      </c>
      <c r="B9" s="213" t="str">
        <f>IF(B8&gt;B7,"Undervalued&amp;Buy","Overvalued&amp;Short sell")</f>
        <v>Undervalued&amp;Buy</v>
      </c>
    </row>
  </sheetData>
  <pageMargins left="0.7" right="0.7" top="0.78740157499999996" bottom="0.78740157499999996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3A1F9-4DC6-455C-B6A2-6E48ECEC9D83}">
  <dimension ref="A2:E13"/>
  <sheetViews>
    <sheetView workbookViewId="0">
      <selection activeCell="D30" sqref="D30"/>
    </sheetView>
  </sheetViews>
  <sheetFormatPr baseColWidth="10" defaultRowHeight="15" x14ac:dyDescent="0.25"/>
  <cols>
    <col min="1" max="1" width="36.85546875" bestFit="1" customWidth="1"/>
    <col min="2" max="2" width="17.7109375" bestFit="1" customWidth="1"/>
    <col min="5" max="5" width="23.7109375" bestFit="1" customWidth="1"/>
  </cols>
  <sheetData>
    <row r="2" spans="1:5" x14ac:dyDescent="0.25">
      <c r="B2" s="31" t="s">
        <v>263</v>
      </c>
      <c r="C2" s="31" t="s">
        <v>264</v>
      </c>
    </row>
    <row r="3" spans="1:5" x14ac:dyDescent="0.25">
      <c r="A3" s="117" t="s">
        <v>255</v>
      </c>
      <c r="B3" s="31">
        <v>0.7</v>
      </c>
      <c r="C3" s="31">
        <v>1.6</v>
      </c>
    </row>
    <row r="4" spans="1:5" x14ac:dyDescent="0.25">
      <c r="A4" s="117" t="s">
        <v>266</v>
      </c>
      <c r="B4" s="31">
        <v>0.06</v>
      </c>
      <c r="C4" s="31">
        <f>B4</f>
        <v>0.06</v>
      </c>
    </row>
    <row r="5" spans="1:5" x14ac:dyDescent="0.25">
      <c r="A5" s="117" t="s">
        <v>267</v>
      </c>
      <c r="B5" s="31">
        <v>0.15</v>
      </c>
      <c r="C5" s="31">
        <f>B5</f>
        <v>0.15</v>
      </c>
    </row>
    <row r="6" spans="1:5" x14ac:dyDescent="0.25">
      <c r="A6" s="117" t="s">
        <v>271</v>
      </c>
      <c r="B6" s="31">
        <v>0.14000000000000001</v>
      </c>
      <c r="C6" s="31">
        <v>0.17</v>
      </c>
    </row>
    <row r="7" spans="1:5" x14ac:dyDescent="0.25">
      <c r="A7" s="117" t="s">
        <v>265</v>
      </c>
      <c r="B7" s="31">
        <v>0.35</v>
      </c>
      <c r="C7" s="31">
        <v>0.26</v>
      </c>
    </row>
    <row r="9" spans="1:5" x14ac:dyDescent="0.25">
      <c r="A9" s="310" t="s">
        <v>258</v>
      </c>
      <c r="B9" s="311" t="s">
        <v>260</v>
      </c>
    </row>
    <row r="10" spans="1:5" x14ac:dyDescent="0.25">
      <c r="A10" s="308" t="s">
        <v>268</v>
      </c>
      <c r="B10" s="217">
        <f>B4+B3*(B5-B4)</f>
        <v>0.123</v>
      </c>
      <c r="C10" s="217">
        <f>C4+C3*(C5-C4)</f>
        <v>0.20399999999999999</v>
      </c>
    </row>
    <row r="11" spans="1:5" x14ac:dyDescent="0.25">
      <c r="A11" s="308" t="s">
        <v>269</v>
      </c>
      <c r="B11" s="217">
        <f>B10-B6</f>
        <v>-1.7000000000000015E-2</v>
      </c>
      <c r="C11" s="217">
        <f>C10-C6</f>
        <v>3.3999999999999975E-2</v>
      </c>
    </row>
    <row r="12" spans="1:5" x14ac:dyDescent="0.25">
      <c r="A12" s="308" t="s">
        <v>270</v>
      </c>
      <c r="B12" s="312">
        <f>(B6-B4)/B3</f>
        <v>0.11428571428571431</v>
      </c>
      <c r="C12" s="217">
        <f>(C6-C4)/C3</f>
        <v>6.8750000000000006E-2</v>
      </c>
      <c r="D12" s="314" t="s">
        <v>235</v>
      </c>
      <c r="E12" s="213" t="s">
        <v>274</v>
      </c>
    </row>
    <row r="13" spans="1:5" ht="30" x14ac:dyDescent="0.25">
      <c r="A13" s="313" t="s">
        <v>272</v>
      </c>
      <c r="B13" s="217">
        <f>(B6-B5)/B7</f>
        <v>-2.8571428571428518E-2</v>
      </c>
      <c r="C13" s="217">
        <f>(C6-C5)/C7</f>
        <v>7.6923076923076983E-2</v>
      </c>
      <c r="D13" s="314" t="s">
        <v>235</v>
      </c>
      <c r="E13" s="213" t="s">
        <v>273</v>
      </c>
    </row>
  </sheetData>
  <pageMargins left="0.7" right="0.7" top="0.78740157499999996" bottom="0.78740157499999996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E30CC-7A18-4A0F-8C23-7C55BE95BDC9}">
  <dimension ref="A2:B3"/>
  <sheetViews>
    <sheetView workbookViewId="0">
      <selection activeCell="B6" sqref="B6"/>
    </sheetView>
  </sheetViews>
  <sheetFormatPr baseColWidth="10" defaultRowHeight="15" x14ac:dyDescent="0.25"/>
  <cols>
    <col min="1" max="1" width="21.7109375" bestFit="1" customWidth="1"/>
    <col min="2" max="2" width="40.5703125" bestFit="1" customWidth="1"/>
  </cols>
  <sheetData>
    <row r="2" spans="1:2" x14ac:dyDescent="0.25">
      <c r="A2" s="30" t="s">
        <v>275</v>
      </c>
      <c r="B2" s="213" t="s">
        <v>276</v>
      </c>
    </row>
    <row r="3" spans="1:2" x14ac:dyDescent="0.25">
      <c r="B3" s="215" t="s">
        <v>277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20</vt:i4>
      </vt:variant>
    </vt:vector>
  </HeadingPairs>
  <TitlesOfParts>
    <vt:vector size="20" baseType="lpstr">
      <vt:lpstr>Exam1</vt:lpstr>
      <vt:lpstr>Discounted_CF_Valuation </vt:lpstr>
      <vt:lpstr>Capital_Budgeting_Decisions</vt:lpstr>
      <vt:lpstr>Structure_Of_CFs_Infl_Impact</vt:lpstr>
      <vt:lpstr>Bond_Valuation</vt:lpstr>
      <vt:lpstr>Problem 1</vt:lpstr>
      <vt:lpstr>Problem 2</vt:lpstr>
      <vt:lpstr>Problem 4</vt:lpstr>
      <vt:lpstr>Problem 5</vt:lpstr>
      <vt:lpstr>Problem 6</vt:lpstr>
      <vt:lpstr>Problem 7</vt:lpstr>
      <vt:lpstr>Problem 8</vt:lpstr>
      <vt:lpstr>Problem 9</vt:lpstr>
      <vt:lpstr>Problem 10</vt:lpstr>
      <vt:lpstr>Problem 11</vt:lpstr>
      <vt:lpstr>Problem 12</vt:lpstr>
      <vt:lpstr>Problem 13</vt:lpstr>
      <vt:lpstr>Problem 14</vt:lpstr>
      <vt:lpstr>Problem 15</vt:lpstr>
      <vt:lpstr>Problem 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 Brunnbauer</dc:creator>
  <cp:lastModifiedBy>Christoph Brunnbauer</cp:lastModifiedBy>
  <dcterms:created xsi:type="dcterms:W3CDTF">2019-09-25T12:22:34Z</dcterms:created>
  <dcterms:modified xsi:type="dcterms:W3CDTF">2019-10-15T13:33:07Z</dcterms:modified>
</cp:coreProperties>
</file>